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7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Báo CT _Model\"/>
    </mc:Choice>
  </mc:AlternateContent>
  <xr:revisionPtr revIDLastSave="0" documentId="13_ncr:1_{7C56B5DA-247B-413A-8044-5706C72492DC}" xr6:coauthVersionLast="47" xr6:coauthVersionMax="47" xr10:uidLastSave="{00000000-0000-0000-0000-000000000000}"/>
  <bookViews>
    <workbookView xWindow="-110" yWindow="-110" windowWidth="19420" windowHeight="10300" firstSheet="9" activeTab="11" xr2:uid="{482CE798-0C2B-4B2D-B190-B2838D10D3E0}"/>
  </bookViews>
  <sheets>
    <sheet name="Data" sheetId="1" r:id="rId1"/>
    <sheet name="Data-Cũ" sheetId="3" state="hidden" r:id="rId2"/>
    <sheet name="Tóm tắt" sheetId="2" r:id="rId3"/>
    <sheet name="Chart" sheetId="4" r:id="rId4"/>
    <sheet name="Chart (Suntory)" sheetId="16" r:id="rId5"/>
    <sheet name="Chart FC" sheetId="13" r:id="rId6"/>
    <sheet name="Chart SL" sheetId="9" r:id="rId7"/>
    <sheet name="Chart 1" sheetId="5" r:id="rId8"/>
    <sheet name="Chart 2_Thi truong" sheetId="6" r:id="rId9"/>
    <sheet name="Chart 2_KTQT" sheetId="7" r:id="rId10"/>
    <sheet name="Chart 2_TT&amp;KTQT" sheetId="8" r:id="rId11"/>
    <sheet name="Chart 2_TT&amp;KTQT (Suntory)" sheetId="15" r:id="rId12"/>
    <sheet name="Chart 3_TT5&amp;FC7_ByProduct_Cus" sheetId="10" r:id="rId13"/>
    <sheet name="Chart 3_TT5&amp;FC7_ByCustomer-Pro" sheetId="11" r:id="rId14"/>
    <sheet name="Sheet3" sheetId="12" r:id="rId15"/>
    <sheet name="Sheet1" sheetId="14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Data!$A$4:$DP$444</definedName>
    <definedName name="_xlnm._FilterDatabase" localSheetId="1" hidden="1">'Data-Cũ'!$B$4:$CC$440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5" l="1"/>
  <c r="E11" i="15"/>
  <c r="P11" i="15"/>
  <c r="N43" i="15"/>
  <c r="N42" i="15"/>
  <c r="N11" i="15"/>
  <c r="N10" i="15"/>
  <c r="N9" i="15"/>
  <c r="P8" i="15"/>
  <c r="P7" i="15"/>
  <c r="P6" i="15"/>
  <c r="E42" i="15"/>
  <c r="D42" i="15"/>
  <c r="O41" i="15"/>
  <c r="O40" i="15"/>
  <c r="O39" i="15"/>
  <c r="E9" i="15"/>
  <c r="D9" i="15"/>
  <c r="O8" i="15"/>
  <c r="O7" i="15"/>
  <c r="O6" i="15"/>
  <c r="AV5" i="16"/>
  <c r="AU5" i="16"/>
  <c r="AT5" i="16"/>
  <c r="AV4" i="16"/>
  <c r="AU4" i="16"/>
  <c r="AT4" i="16"/>
  <c r="BT5" i="16"/>
  <c r="BS5" i="16"/>
  <c r="BR5" i="16"/>
  <c r="BT4" i="16"/>
  <c r="BS4" i="16"/>
  <c r="BR4" i="16"/>
  <c r="BL5" i="16"/>
  <c r="BK5" i="16"/>
  <c r="BJ5" i="16"/>
  <c r="BL4" i="16"/>
  <c r="BK4" i="16"/>
  <c r="BJ4" i="16"/>
  <c r="BH4" i="16"/>
  <c r="BG4" i="16"/>
  <c r="BF4" i="16"/>
  <c r="AZ5" i="16"/>
  <c r="AY5" i="16"/>
  <c r="AX5" i="16"/>
  <c r="AZ4" i="16"/>
  <c r="AY4" i="16"/>
  <c r="AX4" i="16"/>
  <c r="AT76" i="16"/>
  <c r="AS76" i="16"/>
  <c r="AT75" i="16"/>
  <c r="AS75" i="16"/>
  <c r="AT74" i="16"/>
  <c r="AS74" i="16"/>
  <c r="AW73" i="16"/>
  <c r="AV73" i="16"/>
  <c r="AU73" i="16"/>
  <c r="AT73" i="16"/>
  <c r="AV52" i="16"/>
  <c r="AU52" i="16"/>
  <c r="AT52" i="16"/>
  <c r="AV51" i="16"/>
  <c r="AU51" i="16"/>
  <c r="AT51" i="16"/>
  <c r="AR51" i="16"/>
  <c r="AV50" i="16"/>
  <c r="AU50" i="16"/>
  <c r="AT50" i="16"/>
  <c r="AS45" i="16"/>
  <c r="AS44" i="16"/>
  <c r="AS43" i="16"/>
  <c r="AW42" i="16"/>
  <c r="AV42" i="16"/>
  <c r="AU42" i="16"/>
  <c r="AT42" i="16"/>
  <c r="AR20" i="16"/>
  <c r="BD11" i="16"/>
  <c r="BC11" i="16"/>
  <c r="BB11" i="16"/>
  <c r="BD10" i="16"/>
  <c r="BC10" i="16"/>
  <c r="BB10" i="16"/>
  <c r="BD9" i="16"/>
  <c r="BC9" i="16"/>
  <c r="BB9" i="16"/>
  <c r="BD8" i="16"/>
  <c r="BC8" i="16"/>
  <c r="BB8" i="16"/>
  <c r="BD7" i="16"/>
  <c r="BC7" i="16"/>
  <c r="BB7" i="16"/>
  <c r="BD6" i="16"/>
  <c r="BC6" i="16"/>
  <c r="BB6" i="16"/>
  <c r="AT76" i="4"/>
  <c r="AS76" i="4"/>
  <c r="AT75" i="4"/>
  <c r="AS75" i="4"/>
  <c r="AT74" i="4"/>
  <c r="AS74" i="4"/>
  <c r="AW73" i="4"/>
  <c r="AV73" i="4"/>
  <c r="AU73" i="4"/>
  <c r="AT73" i="4"/>
  <c r="AV52" i="4"/>
  <c r="AU52" i="4"/>
  <c r="AT52" i="4"/>
  <c r="AV51" i="4"/>
  <c r="AU51" i="4"/>
  <c r="AT51" i="4"/>
  <c r="AR51" i="4"/>
  <c r="AV50" i="4"/>
  <c r="AU50" i="4"/>
  <c r="AT50" i="4"/>
  <c r="P168" i="15"/>
  <c r="D168" i="15"/>
  <c r="E167" i="15"/>
  <c r="D167" i="15"/>
  <c r="AA166" i="15"/>
  <c r="Z166" i="15"/>
  <c r="Y166" i="15"/>
  <c r="W166" i="15"/>
  <c r="P166" i="15"/>
  <c r="O166" i="15"/>
  <c r="M166" i="15"/>
  <c r="B166" i="15"/>
  <c r="AA165" i="15"/>
  <c r="Z165" i="15"/>
  <c r="Y165" i="15"/>
  <c r="P165" i="15"/>
  <c r="O165" i="15"/>
  <c r="X163" i="15"/>
  <c r="W163" i="15"/>
  <c r="N163" i="15"/>
  <c r="M163" i="15"/>
  <c r="C163" i="15"/>
  <c r="B163" i="15"/>
  <c r="P136" i="15"/>
  <c r="D136" i="15"/>
  <c r="E135" i="15"/>
  <c r="D135" i="15"/>
  <c r="AA134" i="15"/>
  <c r="Z134" i="15"/>
  <c r="Y134" i="15"/>
  <c r="W134" i="15"/>
  <c r="P134" i="15"/>
  <c r="O134" i="15"/>
  <c r="M134" i="15"/>
  <c r="B134" i="15"/>
  <c r="AA133" i="15"/>
  <c r="Z133" i="15"/>
  <c r="Y133" i="15"/>
  <c r="P133" i="15"/>
  <c r="O133" i="15"/>
  <c r="AA132" i="15"/>
  <c r="Z132" i="15"/>
  <c r="Y132" i="15"/>
  <c r="P132" i="15"/>
  <c r="O132" i="15"/>
  <c r="X130" i="15"/>
  <c r="W130" i="15"/>
  <c r="N130" i="15"/>
  <c r="M130" i="15"/>
  <c r="C130" i="15"/>
  <c r="B130" i="15"/>
  <c r="E105" i="15"/>
  <c r="D105" i="15"/>
  <c r="E104" i="15"/>
  <c r="D104" i="15"/>
  <c r="AA103" i="15"/>
  <c r="Z103" i="15"/>
  <c r="Y103" i="15"/>
  <c r="W103" i="15"/>
  <c r="P103" i="15"/>
  <c r="O103" i="15"/>
  <c r="M103" i="15"/>
  <c r="B103" i="15"/>
  <c r="AA102" i="15"/>
  <c r="Z102" i="15"/>
  <c r="Y102" i="15"/>
  <c r="P102" i="15"/>
  <c r="O102" i="15"/>
  <c r="AA101" i="15"/>
  <c r="Z101" i="15"/>
  <c r="Y101" i="15"/>
  <c r="P101" i="15"/>
  <c r="O101" i="15"/>
  <c r="X99" i="15"/>
  <c r="W99" i="15"/>
  <c r="N99" i="15"/>
  <c r="M99" i="15"/>
  <c r="C99" i="15"/>
  <c r="B99" i="15"/>
  <c r="P74" i="15"/>
  <c r="D74" i="15"/>
  <c r="E73" i="15"/>
  <c r="D73" i="15"/>
  <c r="AA72" i="15"/>
  <c r="Z72" i="15"/>
  <c r="Y72" i="15"/>
  <c r="W72" i="15"/>
  <c r="P72" i="15"/>
  <c r="O72" i="15"/>
  <c r="M72" i="15"/>
  <c r="B72" i="15"/>
  <c r="AA71" i="15"/>
  <c r="Z71" i="15"/>
  <c r="Y71" i="15"/>
  <c r="P71" i="15"/>
  <c r="O71" i="15"/>
  <c r="AA70" i="15"/>
  <c r="Z70" i="15"/>
  <c r="Y70" i="15"/>
  <c r="P70" i="15"/>
  <c r="O70" i="15"/>
  <c r="AR68" i="15"/>
  <c r="AQ68" i="15"/>
  <c r="AP68" i="15"/>
  <c r="AO68" i="15"/>
  <c r="AN68" i="15"/>
  <c r="AM68" i="15"/>
  <c r="AL68" i="15"/>
  <c r="AK68" i="15"/>
  <c r="AJ68" i="15"/>
  <c r="X68" i="15"/>
  <c r="W68" i="15"/>
  <c r="N68" i="15"/>
  <c r="M68" i="15"/>
  <c r="C68" i="15"/>
  <c r="B68" i="15"/>
  <c r="AR67" i="15"/>
  <c r="AQ67" i="15"/>
  <c r="AP67" i="15"/>
  <c r="AO67" i="15"/>
  <c r="AN67" i="15"/>
  <c r="AM67" i="15"/>
  <c r="AL67" i="15"/>
  <c r="AK67" i="15"/>
  <c r="AJ67" i="15"/>
  <c r="AR66" i="15"/>
  <c r="AQ66" i="15"/>
  <c r="AP66" i="15"/>
  <c r="AO66" i="15"/>
  <c r="AN66" i="15"/>
  <c r="AM66" i="15"/>
  <c r="AL66" i="15"/>
  <c r="AK66" i="15"/>
  <c r="AJ66" i="15"/>
  <c r="AR65" i="15"/>
  <c r="AQ65" i="15"/>
  <c r="AP65" i="15"/>
  <c r="AO65" i="15"/>
  <c r="AN65" i="15"/>
  <c r="AM65" i="15"/>
  <c r="AL65" i="15"/>
  <c r="AK65" i="15"/>
  <c r="AJ64" i="15"/>
  <c r="P43" i="15"/>
  <c r="D43" i="15"/>
  <c r="AA41" i="15"/>
  <c r="Z41" i="15"/>
  <c r="Y41" i="15"/>
  <c r="W41" i="15"/>
  <c r="P41" i="15"/>
  <c r="M41" i="15"/>
  <c r="B41" i="15"/>
  <c r="AA40" i="15"/>
  <c r="Z40" i="15"/>
  <c r="Y40" i="15"/>
  <c r="Q40" i="15"/>
  <c r="P40" i="15"/>
  <c r="AA39" i="15"/>
  <c r="Z39" i="15"/>
  <c r="Y39" i="15"/>
  <c r="P39" i="15"/>
  <c r="X37" i="15"/>
  <c r="W37" i="15"/>
  <c r="N37" i="15"/>
  <c r="M37" i="15"/>
  <c r="C37" i="15"/>
  <c r="B37" i="15"/>
  <c r="AR36" i="15"/>
  <c r="AQ36" i="15"/>
  <c r="AP36" i="15"/>
  <c r="AO36" i="15"/>
  <c r="AN36" i="15"/>
  <c r="AM36" i="15"/>
  <c r="AL36" i="15"/>
  <c r="AK36" i="15"/>
  <c r="AJ36" i="15"/>
  <c r="AR35" i="15"/>
  <c r="AQ35" i="15"/>
  <c r="AP35" i="15"/>
  <c r="AO35" i="15"/>
  <c r="AN35" i="15"/>
  <c r="AM35" i="15"/>
  <c r="AL35" i="15"/>
  <c r="AK35" i="15"/>
  <c r="AJ35" i="15"/>
  <c r="AR34" i="15"/>
  <c r="AQ34" i="15"/>
  <c r="AP34" i="15"/>
  <c r="AO34" i="15"/>
  <c r="AN34" i="15"/>
  <c r="AM34" i="15"/>
  <c r="AL34" i="15"/>
  <c r="AK34" i="15"/>
  <c r="AJ34" i="15"/>
  <c r="AR33" i="15"/>
  <c r="AQ33" i="15"/>
  <c r="AP33" i="15"/>
  <c r="AO33" i="15"/>
  <c r="AN33" i="15"/>
  <c r="AM33" i="15"/>
  <c r="AL33" i="15"/>
  <c r="AK33" i="15"/>
  <c r="AJ32" i="15"/>
  <c r="P10" i="15"/>
  <c r="F10" i="15"/>
  <c r="D10" i="15"/>
  <c r="AA8" i="15"/>
  <c r="Z8" i="15"/>
  <c r="Y8" i="15"/>
  <c r="W8" i="15"/>
  <c r="M8" i="15"/>
  <c r="B8" i="15"/>
  <c r="BY7" i="15"/>
  <c r="BX7" i="15"/>
  <c r="BW7" i="15"/>
  <c r="BV7" i="15"/>
  <c r="BU7" i="15"/>
  <c r="BT7" i="15"/>
  <c r="BS7" i="15"/>
  <c r="BR7" i="15"/>
  <c r="BQ7" i="15"/>
  <c r="BI7" i="15"/>
  <c r="BH7" i="15"/>
  <c r="BG7" i="15"/>
  <c r="BF7" i="15"/>
  <c r="BE7" i="15"/>
  <c r="BD7" i="15"/>
  <c r="BC7" i="15"/>
  <c r="BB7" i="15"/>
  <c r="BA7" i="15"/>
  <c r="AR7" i="15"/>
  <c r="AQ7" i="15"/>
  <c r="AP7" i="15"/>
  <c r="AO7" i="15"/>
  <c r="AN7" i="15"/>
  <c r="AM7" i="15"/>
  <c r="AL7" i="15"/>
  <c r="AK7" i="15"/>
  <c r="AJ7" i="15"/>
  <c r="AA7" i="15"/>
  <c r="Z7" i="15"/>
  <c r="Y7" i="15"/>
  <c r="BY6" i="15"/>
  <c r="BX6" i="15"/>
  <c r="BW6" i="15"/>
  <c r="BV6" i="15"/>
  <c r="BU6" i="15"/>
  <c r="BT6" i="15"/>
  <c r="BS6" i="15"/>
  <c r="BR6" i="15"/>
  <c r="BQ6" i="15"/>
  <c r="BI6" i="15"/>
  <c r="BH6" i="15"/>
  <c r="BG6" i="15"/>
  <c r="BF6" i="15"/>
  <c r="BE6" i="15"/>
  <c r="BD6" i="15"/>
  <c r="BC6" i="15"/>
  <c r="BB6" i="15"/>
  <c r="BA6" i="15"/>
  <c r="AR6" i="15"/>
  <c r="AQ6" i="15"/>
  <c r="AP6" i="15"/>
  <c r="AO6" i="15"/>
  <c r="AN6" i="15"/>
  <c r="AM6" i="15"/>
  <c r="AL6" i="15"/>
  <c r="AK6" i="15"/>
  <c r="AJ6" i="15"/>
  <c r="AA6" i="15"/>
  <c r="Z6" i="15"/>
  <c r="Y6" i="15"/>
  <c r="BY5" i="15"/>
  <c r="BX5" i="15"/>
  <c r="BW5" i="15"/>
  <c r="BV5" i="15"/>
  <c r="BU5" i="15"/>
  <c r="BT5" i="15"/>
  <c r="BS5" i="15"/>
  <c r="BR5" i="15"/>
  <c r="BQ5" i="15"/>
  <c r="BI5" i="15"/>
  <c r="BH5" i="15"/>
  <c r="BG5" i="15"/>
  <c r="BF5" i="15"/>
  <c r="BE5" i="15"/>
  <c r="BD5" i="15"/>
  <c r="BC5" i="15"/>
  <c r="BB5" i="15"/>
  <c r="BA5" i="15"/>
  <c r="AR5" i="15"/>
  <c r="AQ5" i="15"/>
  <c r="AP5" i="15"/>
  <c r="AO5" i="15"/>
  <c r="AN5" i="15"/>
  <c r="AM5" i="15"/>
  <c r="AL5" i="15"/>
  <c r="AK5" i="15"/>
  <c r="AJ5" i="15"/>
  <c r="BY4" i="15"/>
  <c r="BX4" i="15"/>
  <c r="BW4" i="15"/>
  <c r="BV4" i="15"/>
  <c r="BU4" i="15"/>
  <c r="BT4" i="15"/>
  <c r="BS4" i="15"/>
  <c r="BR4" i="15"/>
  <c r="BI4" i="15"/>
  <c r="BH4" i="15"/>
  <c r="BG4" i="15"/>
  <c r="BF4" i="15"/>
  <c r="BE4" i="15"/>
  <c r="BD4" i="15"/>
  <c r="BC4" i="15"/>
  <c r="BB4" i="15"/>
  <c r="AR4" i="15"/>
  <c r="AQ4" i="15"/>
  <c r="AP4" i="15"/>
  <c r="AO4" i="15"/>
  <c r="AN4" i="15"/>
  <c r="AM4" i="15"/>
  <c r="AL4" i="15"/>
  <c r="AK4" i="15"/>
  <c r="X4" i="15"/>
  <c r="W4" i="15"/>
  <c r="N4" i="15"/>
  <c r="M4" i="15"/>
  <c r="C4" i="15"/>
  <c r="B4" i="15"/>
  <c r="BQ3" i="15"/>
  <c r="BA3" i="15"/>
  <c r="AJ3" i="15"/>
  <c r="F1" i="15"/>
  <c r="E1" i="15"/>
  <c r="D1" i="15"/>
  <c r="B170" i="11"/>
  <c r="C172" i="11"/>
  <c r="C171" i="11"/>
  <c r="C170" i="11"/>
  <c r="C169" i="11"/>
  <c r="C168" i="11"/>
  <c r="C167" i="11"/>
  <c r="C166" i="11"/>
  <c r="C165" i="11"/>
  <c r="B138" i="11"/>
  <c r="C139" i="11"/>
  <c r="C138" i="11"/>
  <c r="C137" i="11"/>
  <c r="C136" i="11"/>
  <c r="C135" i="11"/>
  <c r="C134" i="11"/>
  <c r="C133" i="11"/>
  <c r="C132" i="11"/>
  <c r="C108" i="11"/>
  <c r="C107" i="11"/>
  <c r="C106" i="11"/>
  <c r="C105" i="11"/>
  <c r="C104" i="11"/>
  <c r="C103" i="11"/>
  <c r="C102" i="11"/>
  <c r="B103" i="11"/>
  <c r="B104" i="11"/>
  <c r="C101" i="11"/>
  <c r="C77" i="11"/>
  <c r="C76" i="11"/>
  <c r="B76" i="11"/>
  <c r="C75" i="11"/>
  <c r="C74" i="11"/>
  <c r="C73" i="11"/>
  <c r="C72" i="11"/>
  <c r="C71" i="11"/>
  <c r="C70" i="11"/>
  <c r="P169" i="11"/>
  <c r="P168" i="11"/>
  <c r="P167" i="11"/>
  <c r="P166" i="11"/>
  <c r="P165" i="11"/>
  <c r="P136" i="11"/>
  <c r="P135" i="11"/>
  <c r="P134" i="11"/>
  <c r="P133" i="11"/>
  <c r="P132" i="11"/>
  <c r="P105" i="11"/>
  <c r="P104" i="11"/>
  <c r="P103" i="11"/>
  <c r="P102" i="11"/>
  <c r="P101" i="11"/>
  <c r="P74" i="11"/>
  <c r="P73" i="11"/>
  <c r="P72" i="11"/>
  <c r="P71" i="11"/>
  <c r="P70" i="11"/>
  <c r="P43" i="11"/>
  <c r="P42" i="11"/>
  <c r="P41" i="11"/>
  <c r="P40" i="11"/>
  <c r="P39" i="11"/>
  <c r="D169" i="11"/>
  <c r="D168" i="11"/>
  <c r="D167" i="11"/>
  <c r="D166" i="11"/>
  <c r="D165" i="11"/>
  <c r="D136" i="11"/>
  <c r="D135" i="11"/>
  <c r="D134" i="11"/>
  <c r="D133" i="11"/>
  <c r="D132" i="11"/>
  <c r="D105" i="11"/>
  <c r="D104" i="11"/>
  <c r="D103" i="11"/>
  <c r="D102" i="11"/>
  <c r="D101" i="11"/>
  <c r="D74" i="11"/>
  <c r="D73" i="11"/>
  <c r="D72" i="11"/>
  <c r="D71" i="11"/>
  <c r="D70" i="11"/>
  <c r="D43" i="11"/>
  <c r="D42" i="11"/>
  <c r="D41" i="11"/>
  <c r="D40" i="11"/>
  <c r="D39" i="11"/>
  <c r="B46" i="11"/>
  <c r="C46" i="11"/>
  <c r="B45" i="11"/>
  <c r="C45" i="11"/>
  <c r="C44" i="11"/>
  <c r="C43" i="11"/>
  <c r="C42" i="11"/>
  <c r="C41" i="11"/>
  <c r="C40" i="11"/>
  <c r="C39" i="11"/>
  <c r="Z37" i="11"/>
  <c r="Z4" i="11"/>
  <c r="O163" i="11"/>
  <c r="O130" i="11"/>
  <c r="O99" i="11"/>
  <c r="O37" i="11"/>
  <c r="O68" i="11"/>
  <c r="C163" i="11"/>
  <c r="C130" i="11"/>
  <c r="C99" i="11"/>
  <c r="C68" i="11"/>
  <c r="C37" i="11"/>
  <c r="P10" i="11"/>
  <c r="P9" i="11"/>
  <c r="C12" i="11"/>
  <c r="C13" i="11"/>
  <c r="C11" i="11"/>
  <c r="C10" i="11"/>
  <c r="C9" i="11"/>
  <c r="C8" i="11"/>
  <c r="C7" i="11"/>
  <c r="C6" i="11"/>
  <c r="C4" i="11"/>
  <c r="L29" i="12"/>
  <c r="L30" i="12"/>
  <c r="L31" i="12"/>
  <c r="L32" i="12"/>
  <c r="L33" i="12"/>
  <c r="L34" i="12"/>
  <c r="L35" i="12"/>
  <c r="L36" i="12"/>
  <c r="L28" i="12"/>
  <c r="D10" i="11"/>
  <c r="D9" i="11"/>
  <c r="D6" i="11"/>
  <c r="P10" i="10"/>
  <c r="P9" i="10"/>
  <c r="D10" i="10"/>
  <c r="D9" i="10"/>
  <c r="D6" i="10"/>
  <c r="E1" i="10" a="1"/>
  <c r="AT45" i="13"/>
  <c r="AS45" i="13"/>
  <c r="AT44" i="13"/>
  <c r="AS44" i="13"/>
  <c r="AT43" i="13"/>
  <c r="AS43" i="13"/>
  <c r="AW42" i="13"/>
  <c r="AV42" i="13"/>
  <c r="AU42" i="13"/>
  <c r="AT42" i="13"/>
  <c r="AV21" i="13"/>
  <c r="AT21" i="13"/>
  <c r="AV20" i="13"/>
  <c r="AT20" i="13"/>
  <c r="AR20" i="13"/>
  <c r="AR21" i="13" s="1"/>
  <c r="AR22" i="13" s="1"/>
  <c r="AR23" i="13" s="1"/>
  <c r="AV19" i="13"/>
  <c r="AT19" i="13"/>
  <c r="BD11" i="13"/>
  <c r="BC11" i="13"/>
  <c r="BB11" i="13"/>
  <c r="BD10" i="13"/>
  <c r="BC10" i="13"/>
  <c r="BB10" i="13"/>
  <c r="BD9" i="13"/>
  <c r="BC9" i="13"/>
  <c r="BB9" i="13"/>
  <c r="BD8" i="13"/>
  <c r="BC8" i="13"/>
  <c r="BB8" i="13"/>
  <c r="BD7" i="13"/>
  <c r="BC7" i="13"/>
  <c r="BB7" i="13"/>
  <c r="BD6" i="13"/>
  <c r="BC6" i="13"/>
  <c r="BB6" i="13"/>
  <c r="BD5" i="13"/>
  <c r="BC5" i="13"/>
  <c r="BB5" i="13"/>
  <c r="BD4" i="13"/>
  <c r="AU21" i="13" s="1"/>
  <c r="AW21" i="13" s="1"/>
  <c r="AX21" i="13" s="1"/>
  <c r="BC4" i="13"/>
  <c r="AU20" i="13" s="1"/>
  <c r="AW20" i="13" s="1"/>
  <c r="AX20" i="13" s="1"/>
  <c r="BB4" i="13"/>
  <c r="AU19" i="13" s="1"/>
  <c r="AW19" i="13" s="1"/>
  <c r="AX19" i="13" s="1"/>
  <c r="R168" i="11"/>
  <c r="E168" i="11"/>
  <c r="F167" i="11"/>
  <c r="R167" i="11" s="1"/>
  <c r="E167" i="11"/>
  <c r="AC166" i="11"/>
  <c r="AB166" i="11"/>
  <c r="AD166" i="11" s="1"/>
  <c r="AE166" i="11" s="1"/>
  <c r="AA166" i="11"/>
  <c r="Y166" i="11"/>
  <c r="Y167" i="11" s="1"/>
  <c r="Y168" i="11" s="1"/>
  <c r="Y169" i="11" s="1"/>
  <c r="R166" i="11"/>
  <c r="Q166" i="11"/>
  <c r="N166" i="11"/>
  <c r="N167" i="11" s="1"/>
  <c r="N168" i="11" s="1"/>
  <c r="N169" i="11" s="1"/>
  <c r="B166" i="11"/>
  <c r="B167" i="11" s="1"/>
  <c r="B168" i="11" s="1"/>
  <c r="B169" i="11" s="1"/>
  <c r="AC165" i="11"/>
  <c r="AB165" i="11"/>
  <c r="AD165" i="11" s="1"/>
  <c r="AE165" i="11" s="1"/>
  <c r="AA165" i="11"/>
  <c r="R165" i="11"/>
  <c r="Q165" i="11"/>
  <c r="Z163" i="11"/>
  <c r="Y163" i="11"/>
  <c r="N163" i="11"/>
  <c r="B163" i="11"/>
  <c r="R136" i="11"/>
  <c r="E136" i="11"/>
  <c r="F135" i="11"/>
  <c r="R135" i="11" s="1"/>
  <c r="E135" i="11"/>
  <c r="AC134" i="11"/>
  <c r="AB134" i="11"/>
  <c r="AD134" i="11" s="1"/>
  <c r="AE134" i="11" s="1"/>
  <c r="AA134" i="11"/>
  <c r="Y134" i="11"/>
  <c r="Y135" i="11" s="1"/>
  <c r="Y136" i="11" s="1"/>
  <c r="Y137" i="11" s="1"/>
  <c r="R134" i="11"/>
  <c r="Q134" i="11"/>
  <c r="S134" i="11" s="1"/>
  <c r="T134" i="11" s="1"/>
  <c r="N134" i="11"/>
  <c r="N135" i="11" s="1"/>
  <c r="N136" i="11" s="1"/>
  <c r="N137" i="11" s="1"/>
  <c r="B134" i="11"/>
  <c r="B135" i="11" s="1"/>
  <c r="B136" i="11" s="1"/>
  <c r="B137" i="11" s="1"/>
  <c r="AC133" i="11"/>
  <c r="AB133" i="11"/>
  <c r="AD133" i="11" s="1"/>
  <c r="AE133" i="11" s="1"/>
  <c r="AA133" i="11"/>
  <c r="R133" i="11"/>
  <c r="Q133" i="11"/>
  <c r="AC132" i="11"/>
  <c r="AB132" i="11"/>
  <c r="AD132" i="11" s="1"/>
  <c r="AE132" i="11" s="1"/>
  <c r="AA132" i="11"/>
  <c r="R132" i="11"/>
  <c r="Q132" i="11"/>
  <c r="Z130" i="11"/>
  <c r="Y130" i="11"/>
  <c r="N130" i="11"/>
  <c r="B130" i="11"/>
  <c r="F105" i="11"/>
  <c r="R105" i="11" s="1"/>
  <c r="E105" i="11"/>
  <c r="F104" i="11"/>
  <c r="R104" i="11" s="1"/>
  <c r="E104" i="11"/>
  <c r="AC103" i="11"/>
  <c r="AB103" i="11"/>
  <c r="AD103" i="11" s="1"/>
  <c r="AE103" i="11" s="1"/>
  <c r="AA103" i="11"/>
  <c r="Y103" i="11"/>
  <c r="Y104" i="11" s="1"/>
  <c r="Y105" i="11" s="1"/>
  <c r="Y106" i="11" s="1"/>
  <c r="R103" i="11"/>
  <c r="Q103" i="11"/>
  <c r="S103" i="11" s="1"/>
  <c r="T103" i="11" s="1"/>
  <c r="N103" i="11"/>
  <c r="N104" i="11" s="1"/>
  <c r="N105" i="11" s="1"/>
  <c r="N106" i="11" s="1"/>
  <c r="AC102" i="11"/>
  <c r="AB102" i="11"/>
  <c r="AD102" i="11" s="1"/>
  <c r="AE102" i="11" s="1"/>
  <c r="AA102" i="11"/>
  <c r="R102" i="11"/>
  <c r="Q102" i="11"/>
  <c r="S102" i="11" s="1"/>
  <c r="T102" i="11" s="1"/>
  <c r="AC101" i="11"/>
  <c r="AB101" i="11"/>
  <c r="AD101" i="11" s="1"/>
  <c r="AE101" i="11" s="1"/>
  <c r="AA101" i="11"/>
  <c r="R101" i="11"/>
  <c r="Q101" i="11"/>
  <c r="Z99" i="11"/>
  <c r="Y99" i="11"/>
  <c r="N99" i="11"/>
  <c r="B99" i="11"/>
  <c r="R74" i="11"/>
  <c r="E74" i="11"/>
  <c r="F73" i="11"/>
  <c r="R73" i="11" s="1"/>
  <c r="E73" i="11"/>
  <c r="AC72" i="11"/>
  <c r="AB72" i="11"/>
  <c r="AD72" i="11" s="1"/>
  <c r="AE72" i="11" s="1"/>
  <c r="AA72" i="11"/>
  <c r="Y72" i="11"/>
  <c r="Y73" i="11" s="1"/>
  <c r="Y74" i="11" s="1"/>
  <c r="Y75" i="11" s="1"/>
  <c r="R72" i="11"/>
  <c r="Q72" i="11"/>
  <c r="S72" i="11" s="1"/>
  <c r="T72" i="11" s="1"/>
  <c r="N72" i="11"/>
  <c r="N73" i="11" s="1"/>
  <c r="N74" i="11" s="1"/>
  <c r="N75" i="11" s="1"/>
  <c r="B72" i="11"/>
  <c r="B73" i="11" s="1"/>
  <c r="B74" i="11" s="1"/>
  <c r="B75" i="11" s="1"/>
  <c r="AC71" i="11"/>
  <c r="AB71" i="11"/>
  <c r="AD71" i="11" s="1"/>
  <c r="AE71" i="11" s="1"/>
  <c r="AA71" i="11"/>
  <c r="R71" i="11"/>
  <c r="Q71" i="11"/>
  <c r="S71" i="11" s="1"/>
  <c r="T71" i="11" s="1"/>
  <c r="AC70" i="11"/>
  <c r="AB70" i="11"/>
  <c r="AA70" i="11"/>
  <c r="R70" i="11"/>
  <c r="Q70" i="11"/>
  <c r="S70" i="11" s="1"/>
  <c r="T70" i="11" s="1"/>
  <c r="AT68" i="11"/>
  <c r="AS68" i="11"/>
  <c r="AR68" i="11"/>
  <c r="AQ68" i="11"/>
  <c r="AP68" i="11"/>
  <c r="AO68" i="11"/>
  <c r="AN68" i="11"/>
  <c r="AM68" i="11"/>
  <c r="AL68" i="11"/>
  <c r="Z68" i="11"/>
  <c r="Y68" i="11"/>
  <c r="N68" i="11"/>
  <c r="B68" i="11"/>
  <c r="AT67" i="11"/>
  <c r="AS67" i="11"/>
  <c r="AR67" i="11"/>
  <c r="AQ67" i="11"/>
  <c r="AP67" i="11"/>
  <c r="AO67" i="11"/>
  <c r="AN67" i="11"/>
  <c r="AM67" i="11"/>
  <c r="AL67" i="11"/>
  <c r="AT66" i="11"/>
  <c r="AS66" i="11"/>
  <c r="AR66" i="11"/>
  <c r="AQ66" i="11"/>
  <c r="AP66" i="11"/>
  <c r="AO66" i="11"/>
  <c r="AN66" i="11"/>
  <c r="AM66" i="11"/>
  <c r="AL66" i="11"/>
  <c r="AT65" i="11"/>
  <c r="AS65" i="11"/>
  <c r="AR65" i="11"/>
  <c r="AQ65" i="11"/>
  <c r="AP65" i="11"/>
  <c r="AO65" i="11"/>
  <c r="AN65" i="11"/>
  <c r="AM65" i="11"/>
  <c r="AL64" i="11"/>
  <c r="R43" i="11"/>
  <c r="E43" i="11"/>
  <c r="F42" i="11"/>
  <c r="R42" i="11" s="1"/>
  <c r="E42" i="11"/>
  <c r="AC41" i="11"/>
  <c r="AB41" i="11"/>
  <c r="AD41" i="11" s="1"/>
  <c r="AE41" i="11" s="1"/>
  <c r="AA41" i="11"/>
  <c r="Y41" i="11"/>
  <c r="Y42" i="11" s="1"/>
  <c r="Y43" i="11" s="1"/>
  <c r="Y44" i="11" s="1"/>
  <c r="R41" i="11"/>
  <c r="Q41" i="11"/>
  <c r="S41" i="11" s="1"/>
  <c r="T41" i="11" s="1"/>
  <c r="N41" i="11"/>
  <c r="N42" i="11" s="1"/>
  <c r="N43" i="11" s="1"/>
  <c r="N44" i="11" s="1"/>
  <c r="B41" i="11"/>
  <c r="B42" i="11" s="1"/>
  <c r="B43" i="11" s="1"/>
  <c r="B44" i="11" s="1"/>
  <c r="AC40" i="11"/>
  <c r="AB40" i="11"/>
  <c r="AD40" i="11" s="1"/>
  <c r="AE40" i="11" s="1"/>
  <c r="AA40" i="11"/>
  <c r="R40" i="11"/>
  <c r="Q40" i="11"/>
  <c r="S40" i="11" s="1"/>
  <c r="T40" i="11" s="1"/>
  <c r="AC39" i="11"/>
  <c r="AB39" i="11"/>
  <c r="AD39" i="11" s="1"/>
  <c r="AE39" i="11" s="1"/>
  <c r="AA39" i="11"/>
  <c r="R39" i="11"/>
  <c r="Q39" i="11"/>
  <c r="S39" i="11" s="1"/>
  <c r="T39" i="11" s="1"/>
  <c r="Y37" i="11"/>
  <c r="N37" i="11"/>
  <c r="B37" i="11"/>
  <c r="AT36" i="11"/>
  <c r="AS36" i="11"/>
  <c r="AR36" i="11"/>
  <c r="AQ36" i="11"/>
  <c r="AP36" i="11"/>
  <c r="AO36" i="11"/>
  <c r="AN36" i="11"/>
  <c r="AM36" i="11"/>
  <c r="AL36" i="11"/>
  <c r="AT35" i="11"/>
  <c r="AS35" i="11"/>
  <c r="AR35" i="11"/>
  <c r="AQ35" i="11"/>
  <c r="AP35" i="11"/>
  <c r="AO35" i="11"/>
  <c r="AN35" i="11"/>
  <c r="AM35" i="11"/>
  <c r="AL35" i="11"/>
  <c r="AT34" i="11"/>
  <c r="AS34" i="11"/>
  <c r="AR34" i="11"/>
  <c r="AQ34" i="11"/>
  <c r="AP34" i="11"/>
  <c r="AO34" i="11"/>
  <c r="AN34" i="11"/>
  <c r="AM34" i="11"/>
  <c r="AL34" i="11"/>
  <c r="AT33" i="11"/>
  <c r="AS33" i="11"/>
  <c r="AR33" i="11"/>
  <c r="AQ33" i="11"/>
  <c r="AP33" i="11"/>
  <c r="AO33" i="11"/>
  <c r="AN33" i="11"/>
  <c r="AM33" i="11"/>
  <c r="AL32" i="11"/>
  <c r="G11" i="11"/>
  <c r="R10" i="11"/>
  <c r="E10" i="11"/>
  <c r="F9" i="11"/>
  <c r="R9" i="11" s="1"/>
  <c r="E9" i="11"/>
  <c r="AC8" i="11"/>
  <c r="AB8" i="11"/>
  <c r="AD8" i="11" s="1"/>
  <c r="AE8" i="11" s="1"/>
  <c r="AA8" i="11"/>
  <c r="Y8" i="11"/>
  <c r="Y9" i="11" s="1"/>
  <c r="Y10" i="11" s="1"/>
  <c r="Y11" i="11" s="1"/>
  <c r="R8" i="11"/>
  <c r="Q8" i="11"/>
  <c r="S8" i="11" s="1"/>
  <c r="T8" i="11" s="1"/>
  <c r="N8" i="11"/>
  <c r="N9" i="11" s="1"/>
  <c r="N10" i="11" s="1"/>
  <c r="N11" i="11" s="1"/>
  <c r="B8" i="11"/>
  <c r="B9" i="11" s="1"/>
  <c r="B10" i="11" s="1"/>
  <c r="B11" i="11" s="1"/>
  <c r="CA7" i="11"/>
  <c r="BZ7" i="11"/>
  <c r="BY7" i="11"/>
  <c r="BX7" i="11"/>
  <c r="BW7" i="11"/>
  <c r="BV7" i="11"/>
  <c r="BU7" i="11"/>
  <c r="BT7" i="11"/>
  <c r="BS7" i="11"/>
  <c r="BK7" i="11"/>
  <c r="BJ7" i="11"/>
  <c r="BI7" i="11"/>
  <c r="BH7" i="11"/>
  <c r="BG7" i="11"/>
  <c r="BF7" i="11"/>
  <c r="BE7" i="11"/>
  <c r="BD7" i="11"/>
  <c r="BC7" i="11"/>
  <c r="AT7" i="11"/>
  <c r="AS7" i="11"/>
  <c r="AR7" i="11"/>
  <c r="AQ7" i="11"/>
  <c r="AP7" i="11"/>
  <c r="AO7" i="11"/>
  <c r="AN7" i="11"/>
  <c r="AM7" i="11"/>
  <c r="AL7" i="11"/>
  <c r="AC7" i="11"/>
  <c r="AB7" i="11"/>
  <c r="AD7" i="11" s="1"/>
  <c r="AE7" i="11" s="1"/>
  <c r="AA7" i="11"/>
  <c r="R7" i="11"/>
  <c r="Q7" i="11"/>
  <c r="CA6" i="11"/>
  <c r="BZ6" i="11"/>
  <c r="BY6" i="11"/>
  <c r="BX6" i="11"/>
  <c r="BW6" i="11"/>
  <c r="BV6" i="11"/>
  <c r="BU6" i="11"/>
  <c r="BT6" i="11"/>
  <c r="BS6" i="11"/>
  <c r="BK6" i="11"/>
  <c r="BJ6" i="11"/>
  <c r="BI6" i="11"/>
  <c r="BH6" i="11"/>
  <c r="BG6" i="11"/>
  <c r="BF6" i="11"/>
  <c r="BE6" i="11"/>
  <c r="BD6" i="11"/>
  <c r="BC6" i="11"/>
  <c r="AT6" i="11"/>
  <c r="AS6" i="11"/>
  <c r="AR6" i="11"/>
  <c r="AQ6" i="11"/>
  <c r="AP6" i="11"/>
  <c r="AO6" i="11"/>
  <c r="AN6" i="11"/>
  <c r="AM6" i="11"/>
  <c r="AL6" i="11"/>
  <c r="AC6" i="11"/>
  <c r="AB6" i="11"/>
  <c r="AD6" i="11" s="1"/>
  <c r="AE6" i="11" s="1"/>
  <c r="AA6" i="11"/>
  <c r="R6" i="11"/>
  <c r="Q6" i="11"/>
  <c r="S6" i="11" s="1"/>
  <c r="T6" i="11" s="1"/>
  <c r="CA5" i="11"/>
  <c r="BZ5" i="11"/>
  <c r="BY5" i="11"/>
  <c r="BX5" i="11"/>
  <c r="BW5" i="11"/>
  <c r="BV5" i="11"/>
  <c r="BU5" i="11"/>
  <c r="BT5" i="11"/>
  <c r="BS5" i="11"/>
  <c r="BK5" i="11"/>
  <c r="BJ5" i="11"/>
  <c r="BI5" i="11"/>
  <c r="BH5" i="11"/>
  <c r="BG5" i="11"/>
  <c r="BF5" i="11"/>
  <c r="BE5" i="11"/>
  <c r="BD5" i="11"/>
  <c r="BC5" i="11"/>
  <c r="AT5" i="11"/>
  <c r="AS5" i="11"/>
  <c r="AR5" i="11"/>
  <c r="AQ5" i="11"/>
  <c r="AP5" i="11"/>
  <c r="AO5" i="11"/>
  <c r="AN5" i="11"/>
  <c r="AM5" i="11"/>
  <c r="AL5" i="11"/>
  <c r="CA4" i="11"/>
  <c r="BZ4" i="11"/>
  <c r="BY4" i="11"/>
  <c r="BX4" i="11"/>
  <c r="BW4" i="11"/>
  <c r="BV4" i="11"/>
  <c r="BU4" i="11"/>
  <c r="BT4" i="11"/>
  <c r="BK4" i="11"/>
  <c r="BJ4" i="11"/>
  <c r="BI4" i="11"/>
  <c r="BH4" i="11"/>
  <c r="BG4" i="11"/>
  <c r="BF4" i="11"/>
  <c r="BE4" i="11"/>
  <c r="BD4" i="11"/>
  <c r="AT4" i="11"/>
  <c r="AS4" i="11"/>
  <c r="AR4" i="11"/>
  <c r="AQ4" i="11"/>
  <c r="AP4" i="11"/>
  <c r="AO4" i="11"/>
  <c r="AN4" i="11"/>
  <c r="AM4" i="11"/>
  <c r="Y4" i="11"/>
  <c r="N4" i="11"/>
  <c r="B4" i="11"/>
  <c r="BS3" i="11"/>
  <c r="BC3" i="11"/>
  <c r="AL3" i="11"/>
  <c r="G1" i="11"/>
  <c r="F1" i="11"/>
  <c r="E1" i="11"/>
  <c r="R168" i="10"/>
  <c r="E168" i="10"/>
  <c r="F167" i="10"/>
  <c r="R167" i="10" s="1"/>
  <c r="E167" i="10"/>
  <c r="AC166" i="10"/>
  <c r="AB166" i="10"/>
  <c r="AD166" i="10" s="1"/>
  <c r="AE166" i="10" s="1"/>
  <c r="AA166" i="10"/>
  <c r="Y166" i="10"/>
  <c r="Y167" i="10" s="1"/>
  <c r="Y168" i="10" s="1"/>
  <c r="Y169" i="10" s="1"/>
  <c r="R166" i="10"/>
  <c r="Q166" i="10"/>
  <c r="S166" i="10" s="1"/>
  <c r="T166" i="10" s="1"/>
  <c r="N166" i="10"/>
  <c r="N167" i="10" s="1"/>
  <c r="N168" i="10" s="1"/>
  <c r="N169" i="10" s="1"/>
  <c r="B166" i="10"/>
  <c r="B167" i="10" s="1"/>
  <c r="B168" i="10" s="1"/>
  <c r="B169" i="10" s="1"/>
  <c r="AC165" i="10"/>
  <c r="AB165" i="10"/>
  <c r="AD165" i="10" s="1"/>
  <c r="AE165" i="10" s="1"/>
  <c r="AA165" i="10"/>
  <c r="R165" i="10"/>
  <c r="Q165" i="10"/>
  <c r="S165" i="10" s="1"/>
  <c r="T165" i="10" s="1"/>
  <c r="Z163" i="10"/>
  <c r="Y163" i="10"/>
  <c r="O163" i="10"/>
  <c r="N163" i="10"/>
  <c r="C163" i="10"/>
  <c r="B163" i="10"/>
  <c r="R136" i="10"/>
  <c r="E136" i="10"/>
  <c r="F135" i="10"/>
  <c r="R135" i="10" s="1"/>
  <c r="E135" i="10"/>
  <c r="AC134" i="10"/>
  <c r="AB134" i="10"/>
  <c r="AD134" i="10" s="1"/>
  <c r="AE134" i="10" s="1"/>
  <c r="AA134" i="10"/>
  <c r="Y134" i="10"/>
  <c r="Y135" i="10" s="1"/>
  <c r="Y136" i="10" s="1"/>
  <c r="Y137" i="10" s="1"/>
  <c r="R134" i="10"/>
  <c r="Q134" i="10"/>
  <c r="S134" i="10" s="1"/>
  <c r="T134" i="10" s="1"/>
  <c r="N134" i="10"/>
  <c r="N135" i="10" s="1"/>
  <c r="N136" i="10" s="1"/>
  <c r="N137" i="10" s="1"/>
  <c r="B134" i="10"/>
  <c r="B135" i="10" s="1"/>
  <c r="B136" i="10" s="1"/>
  <c r="B137" i="10" s="1"/>
  <c r="AC133" i="10"/>
  <c r="AB133" i="10"/>
  <c r="AD133" i="10" s="1"/>
  <c r="AE133" i="10" s="1"/>
  <c r="AA133" i="10"/>
  <c r="R133" i="10"/>
  <c r="Q133" i="10"/>
  <c r="S133" i="10" s="1"/>
  <c r="T133" i="10" s="1"/>
  <c r="AC132" i="10"/>
  <c r="AB132" i="10"/>
  <c r="AD132" i="10" s="1"/>
  <c r="AE132" i="10" s="1"/>
  <c r="AA132" i="10"/>
  <c r="R132" i="10"/>
  <c r="Q132" i="10"/>
  <c r="Z130" i="10"/>
  <c r="Y130" i="10"/>
  <c r="O130" i="10"/>
  <c r="N130" i="10"/>
  <c r="C130" i="10"/>
  <c r="B130" i="10"/>
  <c r="F105" i="10"/>
  <c r="R105" i="10" s="1"/>
  <c r="E105" i="10"/>
  <c r="F104" i="10"/>
  <c r="R104" i="10" s="1"/>
  <c r="E104" i="10"/>
  <c r="AC103" i="10"/>
  <c r="AB103" i="10"/>
  <c r="AD103" i="10" s="1"/>
  <c r="AE103" i="10" s="1"/>
  <c r="AA103" i="10"/>
  <c r="Y103" i="10"/>
  <c r="Y104" i="10" s="1"/>
  <c r="Y105" i="10" s="1"/>
  <c r="Y106" i="10" s="1"/>
  <c r="R103" i="10"/>
  <c r="Q103" i="10"/>
  <c r="S103" i="10" s="1"/>
  <c r="T103" i="10" s="1"/>
  <c r="N103" i="10"/>
  <c r="N104" i="10" s="1"/>
  <c r="N105" i="10" s="1"/>
  <c r="N106" i="10" s="1"/>
  <c r="B103" i="10"/>
  <c r="B104" i="10" s="1"/>
  <c r="B105" i="10" s="1"/>
  <c r="B106" i="10" s="1"/>
  <c r="AC102" i="10"/>
  <c r="AB102" i="10"/>
  <c r="AD102" i="10" s="1"/>
  <c r="AE102" i="10" s="1"/>
  <c r="AA102" i="10"/>
  <c r="R102" i="10"/>
  <c r="Q102" i="10"/>
  <c r="S102" i="10" s="1"/>
  <c r="T102" i="10" s="1"/>
  <c r="AC101" i="10"/>
  <c r="AB101" i="10"/>
  <c r="AD101" i="10" s="1"/>
  <c r="AE101" i="10" s="1"/>
  <c r="AA101" i="10"/>
  <c r="R101" i="10"/>
  <c r="Q101" i="10"/>
  <c r="S101" i="10" s="1"/>
  <c r="T101" i="10" s="1"/>
  <c r="Z99" i="10"/>
  <c r="Y99" i="10"/>
  <c r="O99" i="10"/>
  <c r="N99" i="10"/>
  <c r="C99" i="10"/>
  <c r="B99" i="10"/>
  <c r="R74" i="10"/>
  <c r="E74" i="10"/>
  <c r="F73" i="10"/>
  <c r="R73" i="10" s="1"/>
  <c r="E73" i="10"/>
  <c r="AC72" i="10"/>
  <c r="AB72" i="10"/>
  <c r="AD72" i="10" s="1"/>
  <c r="AE72" i="10" s="1"/>
  <c r="AA72" i="10"/>
  <c r="Y72" i="10"/>
  <c r="Y73" i="10" s="1"/>
  <c r="Y74" i="10" s="1"/>
  <c r="Y75" i="10" s="1"/>
  <c r="R72" i="10"/>
  <c r="Q72" i="10"/>
  <c r="S72" i="10" s="1"/>
  <c r="T72" i="10" s="1"/>
  <c r="N72" i="10"/>
  <c r="N73" i="10" s="1"/>
  <c r="N74" i="10" s="1"/>
  <c r="N75" i="10" s="1"/>
  <c r="B72" i="10"/>
  <c r="B73" i="10" s="1"/>
  <c r="B74" i="10" s="1"/>
  <c r="B75" i="10" s="1"/>
  <c r="AC71" i="10"/>
  <c r="AB71" i="10"/>
  <c r="AD71" i="10" s="1"/>
  <c r="AE71" i="10" s="1"/>
  <c r="AA71" i="10"/>
  <c r="R71" i="10"/>
  <c r="Q71" i="10"/>
  <c r="S71" i="10" s="1"/>
  <c r="T71" i="10" s="1"/>
  <c r="AC70" i="10"/>
  <c r="AB70" i="10"/>
  <c r="AD70" i="10" s="1"/>
  <c r="AE70" i="10" s="1"/>
  <c r="AA70" i="10"/>
  <c r="R70" i="10"/>
  <c r="Q70" i="10"/>
  <c r="S70" i="10" s="1"/>
  <c r="T70" i="10" s="1"/>
  <c r="AT68" i="10"/>
  <c r="AS68" i="10"/>
  <c r="AR68" i="10"/>
  <c r="AQ68" i="10"/>
  <c r="AP68" i="10"/>
  <c r="AO68" i="10"/>
  <c r="AN68" i="10"/>
  <c r="AM68" i="10"/>
  <c r="AL68" i="10"/>
  <c r="Z68" i="10"/>
  <c r="Y68" i="10"/>
  <c r="O68" i="10"/>
  <c r="N68" i="10"/>
  <c r="C68" i="10"/>
  <c r="B68" i="10"/>
  <c r="AT67" i="10"/>
  <c r="AS67" i="10"/>
  <c r="AR67" i="10"/>
  <c r="AQ67" i="10"/>
  <c r="AP67" i="10"/>
  <c r="AO67" i="10"/>
  <c r="AN67" i="10"/>
  <c r="AM67" i="10"/>
  <c r="AL67" i="10"/>
  <c r="AT66" i="10"/>
  <c r="AS66" i="10"/>
  <c r="AR66" i="10"/>
  <c r="AQ66" i="10"/>
  <c r="AP66" i="10"/>
  <c r="AO66" i="10"/>
  <c r="AN66" i="10"/>
  <c r="AM66" i="10"/>
  <c r="AL66" i="10"/>
  <c r="AT65" i="10"/>
  <c r="AS65" i="10"/>
  <c r="AR65" i="10"/>
  <c r="AQ65" i="10"/>
  <c r="AP65" i="10"/>
  <c r="AO65" i="10"/>
  <c r="AN65" i="10"/>
  <c r="AM65" i="10"/>
  <c r="AL64" i="10"/>
  <c r="R43" i="10"/>
  <c r="E43" i="10"/>
  <c r="F42" i="10"/>
  <c r="R42" i="10" s="1"/>
  <c r="E42" i="10"/>
  <c r="AC41" i="10"/>
  <c r="AB41" i="10"/>
  <c r="AD41" i="10" s="1"/>
  <c r="AE41" i="10" s="1"/>
  <c r="AA41" i="10"/>
  <c r="Y41" i="10"/>
  <c r="Y42" i="10" s="1"/>
  <c r="Y43" i="10" s="1"/>
  <c r="Y44" i="10" s="1"/>
  <c r="R41" i="10"/>
  <c r="Q41" i="10"/>
  <c r="S41" i="10" s="1"/>
  <c r="T41" i="10" s="1"/>
  <c r="N41" i="10"/>
  <c r="N42" i="10" s="1"/>
  <c r="N43" i="10" s="1"/>
  <c r="N44" i="10" s="1"/>
  <c r="B41" i="10"/>
  <c r="B42" i="10" s="1"/>
  <c r="B43" i="10" s="1"/>
  <c r="B44" i="10" s="1"/>
  <c r="AC40" i="10"/>
  <c r="AB40" i="10"/>
  <c r="AD40" i="10" s="1"/>
  <c r="AE40" i="10" s="1"/>
  <c r="AA40" i="10"/>
  <c r="R40" i="10"/>
  <c r="Q40" i="10"/>
  <c r="S40" i="10" s="1"/>
  <c r="T40" i="10" s="1"/>
  <c r="AC39" i="10"/>
  <c r="AB39" i="10"/>
  <c r="AD39" i="10" s="1"/>
  <c r="AE39" i="10" s="1"/>
  <c r="AA39" i="10"/>
  <c r="R39" i="10"/>
  <c r="Q39" i="10"/>
  <c r="S39" i="10" s="1"/>
  <c r="T39" i="10" s="1"/>
  <c r="Z37" i="10"/>
  <c r="Y37" i="10"/>
  <c r="O37" i="10"/>
  <c r="N37" i="10"/>
  <c r="C37" i="10"/>
  <c r="B37" i="10"/>
  <c r="AT36" i="10"/>
  <c r="AS36" i="10"/>
  <c r="AR36" i="10"/>
  <c r="AQ36" i="10"/>
  <c r="AP36" i="10"/>
  <c r="AO36" i="10"/>
  <c r="AN36" i="10"/>
  <c r="AM36" i="10"/>
  <c r="AL36" i="10"/>
  <c r="AT35" i="10"/>
  <c r="AS35" i="10"/>
  <c r="AR35" i="10"/>
  <c r="AQ35" i="10"/>
  <c r="AP35" i="10"/>
  <c r="AO35" i="10"/>
  <c r="AN35" i="10"/>
  <c r="AM35" i="10"/>
  <c r="AL35" i="10"/>
  <c r="AT34" i="10"/>
  <c r="AS34" i="10"/>
  <c r="AR34" i="10"/>
  <c r="AQ34" i="10"/>
  <c r="AP34" i="10"/>
  <c r="AO34" i="10"/>
  <c r="AN34" i="10"/>
  <c r="AM34" i="10"/>
  <c r="AL34" i="10"/>
  <c r="AT33" i="10"/>
  <c r="AS33" i="10"/>
  <c r="AR33" i="10"/>
  <c r="AQ33" i="10"/>
  <c r="AP33" i="10"/>
  <c r="AO33" i="10"/>
  <c r="AN33" i="10"/>
  <c r="AM33" i="10"/>
  <c r="AL32" i="10"/>
  <c r="G11" i="10"/>
  <c r="R10" i="10"/>
  <c r="E10" i="10"/>
  <c r="F9" i="10"/>
  <c r="R9" i="10" s="1"/>
  <c r="E9" i="10"/>
  <c r="AC8" i="10"/>
  <c r="AB8" i="10"/>
  <c r="AD8" i="10" s="1"/>
  <c r="AE8" i="10" s="1"/>
  <c r="AA8" i="10"/>
  <c r="Y8" i="10"/>
  <c r="Y9" i="10" s="1"/>
  <c r="Y10" i="10" s="1"/>
  <c r="Y11" i="10" s="1"/>
  <c r="R8" i="10"/>
  <c r="Q8" i="10"/>
  <c r="S8" i="10" s="1"/>
  <c r="T8" i="10" s="1"/>
  <c r="N8" i="10"/>
  <c r="N9" i="10" s="1"/>
  <c r="N10" i="10" s="1"/>
  <c r="N11" i="10" s="1"/>
  <c r="B8" i="10"/>
  <c r="B9" i="10" s="1"/>
  <c r="B10" i="10" s="1"/>
  <c r="B11" i="10" s="1"/>
  <c r="CA7" i="10"/>
  <c r="BZ7" i="10"/>
  <c r="BY7" i="10"/>
  <c r="BX7" i="10"/>
  <c r="BW7" i="10"/>
  <c r="BV7" i="10"/>
  <c r="BU7" i="10"/>
  <c r="BT7" i="10"/>
  <c r="BS7" i="10"/>
  <c r="BK7" i="10"/>
  <c r="BJ7" i="10"/>
  <c r="BI7" i="10"/>
  <c r="BH7" i="10"/>
  <c r="BG7" i="10"/>
  <c r="BF7" i="10"/>
  <c r="BE7" i="10"/>
  <c r="BD7" i="10"/>
  <c r="BC7" i="10"/>
  <c r="AT7" i="10"/>
  <c r="AS7" i="10"/>
  <c r="AR7" i="10"/>
  <c r="AQ7" i="10"/>
  <c r="AP7" i="10"/>
  <c r="AO7" i="10"/>
  <c r="AN7" i="10"/>
  <c r="AM7" i="10"/>
  <c r="AL7" i="10"/>
  <c r="AC7" i="10"/>
  <c r="AB7" i="10"/>
  <c r="AD7" i="10" s="1"/>
  <c r="AE7" i="10" s="1"/>
  <c r="AA7" i="10"/>
  <c r="R7" i="10"/>
  <c r="Q7" i="10"/>
  <c r="S7" i="10" s="1"/>
  <c r="T7" i="10" s="1"/>
  <c r="CA6" i="10"/>
  <c r="BZ6" i="10"/>
  <c r="BY6" i="10"/>
  <c r="BX6" i="10"/>
  <c r="BW6" i="10"/>
  <c r="BV6" i="10"/>
  <c r="BU6" i="10"/>
  <c r="BT6" i="10"/>
  <c r="BS6" i="10"/>
  <c r="BK6" i="10"/>
  <c r="BJ6" i="10"/>
  <c r="BI6" i="10"/>
  <c r="BH6" i="10"/>
  <c r="BG6" i="10"/>
  <c r="BF6" i="10"/>
  <c r="BE6" i="10"/>
  <c r="BD6" i="10"/>
  <c r="BC6" i="10"/>
  <c r="AT6" i="10"/>
  <c r="AS6" i="10"/>
  <c r="AR6" i="10"/>
  <c r="AQ6" i="10"/>
  <c r="AP6" i="10"/>
  <c r="AO6" i="10"/>
  <c r="AN6" i="10"/>
  <c r="AM6" i="10"/>
  <c r="AL6" i="10"/>
  <c r="AC6" i="10"/>
  <c r="AB6" i="10"/>
  <c r="AD6" i="10" s="1"/>
  <c r="AE6" i="10" s="1"/>
  <c r="AA6" i="10"/>
  <c r="R6" i="10"/>
  <c r="Q6" i="10"/>
  <c r="S6" i="10" s="1"/>
  <c r="T6" i="10" s="1"/>
  <c r="CA5" i="10"/>
  <c r="BZ5" i="10"/>
  <c r="BY5" i="10"/>
  <c r="BX5" i="10"/>
  <c r="BW5" i="10"/>
  <c r="BV5" i="10"/>
  <c r="BU5" i="10"/>
  <c r="BT5" i="10"/>
  <c r="BS5" i="10"/>
  <c r="BK5" i="10"/>
  <c r="BJ5" i="10"/>
  <c r="BI5" i="10"/>
  <c r="BH5" i="10"/>
  <c r="BG5" i="10"/>
  <c r="BF5" i="10"/>
  <c r="BE5" i="10"/>
  <c r="BD5" i="10"/>
  <c r="BC5" i="10"/>
  <c r="AT5" i="10"/>
  <c r="AS5" i="10"/>
  <c r="AR5" i="10"/>
  <c r="AQ5" i="10"/>
  <c r="AP5" i="10"/>
  <c r="AO5" i="10"/>
  <c r="AN5" i="10"/>
  <c r="AM5" i="10"/>
  <c r="AL5" i="10"/>
  <c r="CA4" i="10"/>
  <c r="BZ4" i="10"/>
  <c r="BY4" i="10"/>
  <c r="BX4" i="10"/>
  <c r="BW4" i="10"/>
  <c r="BV4" i="10"/>
  <c r="BU4" i="10"/>
  <c r="BT4" i="10"/>
  <c r="BK4" i="10"/>
  <c r="BJ4" i="10"/>
  <c r="BI4" i="10"/>
  <c r="BH4" i="10"/>
  <c r="BG4" i="10"/>
  <c r="BF4" i="10"/>
  <c r="BE4" i="10"/>
  <c r="BD4" i="10"/>
  <c r="AT4" i="10"/>
  <c r="AS4" i="10"/>
  <c r="AR4" i="10"/>
  <c r="AQ4" i="10"/>
  <c r="AP4" i="10"/>
  <c r="AO4" i="10"/>
  <c r="AN4" i="10"/>
  <c r="AM4" i="10"/>
  <c r="Z4" i="10"/>
  <c r="Y4" i="10"/>
  <c r="O4" i="10"/>
  <c r="N4" i="10"/>
  <c r="C4" i="10"/>
  <c r="B4" i="10"/>
  <c r="BS3" i="10"/>
  <c r="BC3" i="10"/>
  <c r="AL3" i="10"/>
  <c r="G1" i="10"/>
  <c r="F1" i="10"/>
  <c r="E135" i="8"/>
  <c r="P135" i="8" s="1"/>
  <c r="D135" i="8"/>
  <c r="D136" i="8"/>
  <c r="N130" i="8"/>
  <c r="C130" i="8"/>
  <c r="P136" i="8"/>
  <c r="AA134" i="8"/>
  <c r="Y134" i="8"/>
  <c r="W134" i="8"/>
  <c r="W135" i="8" s="1"/>
  <c r="W136" i="8" s="1"/>
  <c r="W137" i="8" s="1"/>
  <c r="P134" i="8"/>
  <c r="M134" i="8"/>
  <c r="M135" i="8" s="1"/>
  <c r="M136" i="8" s="1"/>
  <c r="M137" i="8" s="1"/>
  <c r="B134" i="8"/>
  <c r="B135" i="8" s="1"/>
  <c r="B136" i="8" s="1"/>
  <c r="B137" i="8" s="1"/>
  <c r="AA133" i="8"/>
  <c r="Y133" i="8"/>
  <c r="P133" i="8"/>
  <c r="AA132" i="8"/>
  <c r="Y132" i="8"/>
  <c r="P132" i="8"/>
  <c r="X130" i="8"/>
  <c r="W130" i="8"/>
  <c r="M130" i="8"/>
  <c r="B130" i="8"/>
  <c r="AA166" i="8"/>
  <c r="Y166" i="8"/>
  <c r="AA165" i="8"/>
  <c r="Y165" i="8"/>
  <c r="D168" i="8"/>
  <c r="O11" i="15" l="1"/>
  <c r="F11" i="15"/>
  <c r="G11" i="15" s="1"/>
  <c r="Q11" i="15"/>
  <c r="R11" i="15" s="1"/>
  <c r="Q7" i="15"/>
  <c r="AT21" i="16"/>
  <c r="AT45" i="16"/>
  <c r="AT44" i="16"/>
  <c r="AT20" i="16"/>
  <c r="AT19" i="16"/>
  <c r="AT43" i="16"/>
  <c r="AV21" i="16"/>
  <c r="AV20" i="16"/>
  <c r="AV19" i="16"/>
  <c r="BD5" i="16"/>
  <c r="BC5" i="16"/>
  <c r="BB5" i="16"/>
  <c r="BD4" i="16"/>
  <c r="BC4" i="16"/>
  <c r="BB4" i="16"/>
  <c r="AU20" i="16"/>
  <c r="AW20" i="16" s="1"/>
  <c r="AX20" i="16" s="1"/>
  <c r="AW52" i="16"/>
  <c r="AX52" i="16" s="1"/>
  <c r="AR21" i="16"/>
  <c r="AR22" i="16" s="1"/>
  <c r="AR23" i="16" s="1"/>
  <c r="AW51" i="16"/>
  <c r="AX51" i="16" s="1"/>
  <c r="AW50" i="16"/>
  <c r="AX50" i="16" s="1"/>
  <c r="AR52" i="16"/>
  <c r="AR53" i="16" s="1"/>
  <c r="AR54" i="16" s="1"/>
  <c r="AU19" i="16"/>
  <c r="AW19" i="16" s="1"/>
  <c r="AX19" i="16" s="1"/>
  <c r="AW52" i="4"/>
  <c r="AX52" i="4" s="1"/>
  <c r="AW51" i="4"/>
  <c r="AX51" i="4" s="1"/>
  <c r="AR52" i="4"/>
  <c r="AR53" i="4" s="1"/>
  <c r="AR54" i="4" s="1"/>
  <c r="AW50" i="4"/>
  <c r="AX50" i="4" s="1"/>
  <c r="O168" i="15"/>
  <c r="Q168" i="15" s="1"/>
  <c r="R168" i="15" s="1"/>
  <c r="F168" i="15"/>
  <c r="G168" i="15" s="1"/>
  <c r="W167" i="15"/>
  <c r="W168" i="15" s="1"/>
  <c r="W169" i="15" s="1"/>
  <c r="P167" i="15"/>
  <c r="O167" i="15"/>
  <c r="Q167" i="15" s="1"/>
  <c r="R167" i="15" s="1"/>
  <c r="M167" i="15"/>
  <c r="M168" i="15" s="1"/>
  <c r="M169" i="15" s="1"/>
  <c r="F167" i="15"/>
  <c r="G167" i="15" s="1"/>
  <c r="B167" i="15"/>
  <c r="B168" i="15" s="1"/>
  <c r="B169" i="15" s="1"/>
  <c r="AB166" i="15"/>
  <c r="AC166" i="15" s="1"/>
  <c r="Q166" i="15"/>
  <c r="R166" i="15" s="1"/>
  <c r="E166" i="15"/>
  <c r="D166" i="15"/>
  <c r="F166" i="15" s="1"/>
  <c r="G166" i="15" s="1"/>
  <c r="AB165" i="15"/>
  <c r="AC165" i="15" s="1"/>
  <c r="Q165" i="15"/>
  <c r="R165" i="15" s="1"/>
  <c r="E165" i="15"/>
  <c r="D165" i="15"/>
  <c r="F165" i="15" s="1"/>
  <c r="G165" i="15" s="1"/>
  <c r="O136" i="15"/>
  <c r="Q136" i="15" s="1"/>
  <c r="R136" i="15" s="1"/>
  <c r="F136" i="15"/>
  <c r="G136" i="15" s="1"/>
  <c r="W135" i="15"/>
  <c r="W136" i="15" s="1"/>
  <c r="W137" i="15" s="1"/>
  <c r="P135" i="15"/>
  <c r="O135" i="15"/>
  <c r="Q135" i="15" s="1"/>
  <c r="R135" i="15" s="1"/>
  <c r="M135" i="15"/>
  <c r="M136" i="15" s="1"/>
  <c r="M137" i="15" s="1"/>
  <c r="F135" i="15"/>
  <c r="G135" i="15" s="1"/>
  <c r="B135" i="15"/>
  <c r="B136" i="15" s="1"/>
  <c r="B137" i="15" s="1"/>
  <c r="AB134" i="15"/>
  <c r="AC134" i="15" s="1"/>
  <c r="Q134" i="15"/>
  <c r="R134" i="15" s="1"/>
  <c r="E134" i="15"/>
  <c r="D134" i="15"/>
  <c r="F134" i="15" s="1"/>
  <c r="G134" i="15" s="1"/>
  <c r="AB133" i="15"/>
  <c r="AC133" i="15" s="1"/>
  <c r="Q133" i="15"/>
  <c r="R133" i="15" s="1"/>
  <c r="E133" i="15"/>
  <c r="D133" i="15"/>
  <c r="F133" i="15" s="1"/>
  <c r="G133" i="15" s="1"/>
  <c r="AB132" i="15"/>
  <c r="AC132" i="15" s="1"/>
  <c r="Q132" i="15"/>
  <c r="R132" i="15" s="1"/>
  <c r="E132" i="15"/>
  <c r="D132" i="15"/>
  <c r="F132" i="15" s="1"/>
  <c r="G132" i="15" s="1"/>
  <c r="P105" i="15"/>
  <c r="O105" i="15"/>
  <c r="Q105" i="15" s="1"/>
  <c r="R105" i="15" s="1"/>
  <c r="F105" i="15"/>
  <c r="G105" i="15" s="1"/>
  <c r="W104" i="15"/>
  <c r="W105" i="15" s="1"/>
  <c r="W106" i="15" s="1"/>
  <c r="P104" i="15"/>
  <c r="O104" i="15"/>
  <c r="Q104" i="15" s="1"/>
  <c r="R104" i="15" s="1"/>
  <c r="M104" i="15"/>
  <c r="M105" i="15" s="1"/>
  <c r="M106" i="15" s="1"/>
  <c r="F104" i="15"/>
  <c r="G104" i="15" s="1"/>
  <c r="B104" i="15"/>
  <c r="B105" i="15" s="1"/>
  <c r="B106" i="15" s="1"/>
  <c r="AB103" i="15"/>
  <c r="AC103" i="15" s="1"/>
  <c r="Q103" i="15"/>
  <c r="R103" i="15" s="1"/>
  <c r="E103" i="15"/>
  <c r="D103" i="15"/>
  <c r="F103" i="15" s="1"/>
  <c r="G103" i="15" s="1"/>
  <c r="AB102" i="15"/>
  <c r="AC102" i="15" s="1"/>
  <c r="Q102" i="15"/>
  <c r="R102" i="15" s="1"/>
  <c r="E102" i="15"/>
  <c r="D102" i="15"/>
  <c r="F102" i="15" s="1"/>
  <c r="G102" i="15" s="1"/>
  <c r="AB101" i="15"/>
  <c r="AC101" i="15" s="1"/>
  <c r="Q101" i="15"/>
  <c r="R101" i="15" s="1"/>
  <c r="E101" i="15"/>
  <c r="D101" i="15"/>
  <c r="F101" i="15" s="1"/>
  <c r="G101" i="15" s="1"/>
  <c r="O74" i="15"/>
  <c r="Q74" i="15" s="1"/>
  <c r="R74" i="15" s="1"/>
  <c r="F74" i="15"/>
  <c r="G74" i="15" s="1"/>
  <c r="W73" i="15"/>
  <c r="W74" i="15" s="1"/>
  <c r="W75" i="15" s="1"/>
  <c r="P73" i="15"/>
  <c r="O73" i="15"/>
  <c r="Q73" i="15" s="1"/>
  <c r="R73" i="15" s="1"/>
  <c r="M73" i="15"/>
  <c r="M74" i="15" s="1"/>
  <c r="M75" i="15" s="1"/>
  <c r="F73" i="15"/>
  <c r="G73" i="15" s="1"/>
  <c r="B73" i="15"/>
  <c r="B74" i="15" s="1"/>
  <c r="B75" i="15" s="1"/>
  <c r="AB72" i="15"/>
  <c r="AC72" i="15" s="1"/>
  <c r="Q72" i="15"/>
  <c r="R72" i="15" s="1"/>
  <c r="E72" i="15"/>
  <c r="D72" i="15"/>
  <c r="F72" i="15" s="1"/>
  <c r="G72" i="15" s="1"/>
  <c r="AB71" i="15"/>
  <c r="AC71" i="15" s="1"/>
  <c r="Q71" i="15"/>
  <c r="R71" i="15" s="1"/>
  <c r="E71" i="15"/>
  <c r="D71" i="15"/>
  <c r="F71" i="15" s="1"/>
  <c r="G71" i="15" s="1"/>
  <c r="AB70" i="15"/>
  <c r="AC70" i="15" s="1"/>
  <c r="Q70" i="15"/>
  <c r="R70" i="15" s="1"/>
  <c r="E70" i="15"/>
  <c r="D70" i="15"/>
  <c r="F70" i="15" s="1"/>
  <c r="G70" i="15" s="1"/>
  <c r="O43" i="15"/>
  <c r="Q43" i="15" s="1"/>
  <c r="R43" i="15" s="1"/>
  <c r="F43" i="15"/>
  <c r="G43" i="15" s="1"/>
  <c r="W42" i="15"/>
  <c r="W43" i="15" s="1"/>
  <c r="W44" i="15" s="1"/>
  <c r="P42" i="15"/>
  <c r="O42" i="15"/>
  <c r="M42" i="15"/>
  <c r="M43" i="15" s="1"/>
  <c r="M44" i="15" s="1"/>
  <c r="F42" i="15"/>
  <c r="G42" i="15" s="1"/>
  <c r="B42" i="15"/>
  <c r="B43" i="15" s="1"/>
  <c r="B44" i="15" s="1"/>
  <c r="AB41" i="15"/>
  <c r="AC41" i="15" s="1"/>
  <c r="Q41" i="15"/>
  <c r="R41" i="15" s="1"/>
  <c r="E41" i="15"/>
  <c r="AB40" i="15"/>
  <c r="AC40" i="15" s="1"/>
  <c r="R40" i="15"/>
  <c r="Q39" i="15"/>
  <c r="R39" i="15" s="1"/>
  <c r="E39" i="15"/>
  <c r="O10" i="15"/>
  <c r="Q10" i="15" s="1"/>
  <c r="R10" i="15" s="1"/>
  <c r="G10" i="15"/>
  <c r="P9" i="15"/>
  <c r="M9" i="15"/>
  <c r="M10" i="15" s="1"/>
  <c r="M11" i="15" s="1"/>
  <c r="F9" i="15"/>
  <c r="G9" i="15" s="1"/>
  <c r="AB8" i="15"/>
  <c r="AC8" i="15" s="1"/>
  <c r="Q8" i="15"/>
  <c r="R8" i="15" s="1"/>
  <c r="E8" i="15"/>
  <c r="D8" i="15"/>
  <c r="AB7" i="15"/>
  <c r="AC7" i="15" s="1"/>
  <c r="D7" i="15"/>
  <c r="AB6" i="15"/>
  <c r="AC6" i="15" s="1"/>
  <c r="E40" i="15"/>
  <c r="D40" i="15"/>
  <c r="F40" i="15" s="1"/>
  <c r="G40" i="15" s="1"/>
  <c r="AB39" i="15"/>
  <c r="AC39" i="15" s="1"/>
  <c r="D39" i="15"/>
  <c r="F39" i="15" s="1"/>
  <c r="G39" i="15" s="1"/>
  <c r="O9" i="15"/>
  <c r="Q9" i="15" s="1"/>
  <c r="R9" i="15" s="1"/>
  <c r="Q6" i="15"/>
  <c r="R6" i="15" s="1"/>
  <c r="E6" i="15"/>
  <c r="D6" i="15"/>
  <c r="D41" i="15"/>
  <c r="F41" i="15" s="1"/>
  <c r="G41" i="15" s="1"/>
  <c r="W9" i="15"/>
  <c r="W10" i="15" s="1"/>
  <c r="W11" i="15" s="1"/>
  <c r="B9" i="15"/>
  <c r="B10" i="15" s="1"/>
  <c r="B11" i="15" s="1"/>
  <c r="E7" i="15"/>
  <c r="B171" i="11"/>
  <c r="B172" i="11" s="1"/>
  <c r="B139" i="11"/>
  <c r="B105" i="11"/>
  <c r="B106" i="11" s="1"/>
  <c r="B107" i="11" s="1"/>
  <c r="B108" i="11" s="1"/>
  <c r="B77" i="11"/>
  <c r="P8" i="11"/>
  <c r="P7" i="11"/>
  <c r="P6" i="11"/>
  <c r="O4" i="11"/>
  <c r="B12" i="11"/>
  <c r="B13" i="11" s="1"/>
  <c r="S166" i="11"/>
  <c r="T166" i="11" s="1"/>
  <c r="S165" i="11"/>
  <c r="T165" i="11" s="1"/>
  <c r="S133" i="11"/>
  <c r="T133" i="11" s="1"/>
  <c r="S132" i="11"/>
  <c r="T132" i="11" s="1"/>
  <c r="AD70" i="11"/>
  <c r="AE70" i="11" s="1"/>
  <c r="S7" i="11"/>
  <c r="T7" i="11" s="1"/>
  <c r="D8" i="11"/>
  <c r="S101" i="11"/>
  <c r="T101" i="11" s="1"/>
  <c r="D7" i="11"/>
  <c r="P8" i="10"/>
  <c r="P7" i="10"/>
  <c r="P6" i="10"/>
  <c r="S132" i="10"/>
  <c r="T132" i="10" s="1"/>
  <c r="D7" i="10"/>
  <c r="D8" i="10"/>
  <c r="F166" i="10"/>
  <c r="Q168" i="11"/>
  <c r="S168" i="11" s="1"/>
  <c r="T168" i="11" s="1"/>
  <c r="G168" i="11"/>
  <c r="H168" i="11" s="1"/>
  <c r="Q167" i="11"/>
  <c r="S167" i="11" s="1"/>
  <c r="T167" i="11" s="1"/>
  <c r="G167" i="11"/>
  <c r="H167" i="11" s="1"/>
  <c r="Q136" i="11"/>
  <c r="S136" i="11" s="1"/>
  <c r="T136" i="11" s="1"/>
  <c r="G136" i="11"/>
  <c r="H136" i="11" s="1"/>
  <c r="G135" i="11"/>
  <c r="H135" i="11" s="1"/>
  <c r="Q135" i="11"/>
  <c r="S135" i="11" s="1"/>
  <c r="T135" i="11" s="1"/>
  <c r="Q105" i="11"/>
  <c r="S105" i="11" s="1"/>
  <c r="T105" i="11" s="1"/>
  <c r="G105" i="11"/>
  <c r="H105" i="11" s="1"/>
  <c r="Q104" i="11"/>
  <c r="S104" i="11" s="1"/>
  <c r="T104" i="11" s="1"/>
  <c r="G104" i="11"/>
  <c r="H104" i="11" s="1"/>
  <c r="Q74" i="11"/>
  <c r="S74" i="11" s="1"/>
  <c r="T74" i="11" s="1"/>
  <c r="G74" i="11"/>
  <c r="H74" i="11" s="1"/>
  <c r="Q73" i="11"/>
  <c r="S73" i="11" s="1"/>
  <c r="T73" i="11" s="1"/>
  <c r="G73" i="11"/>
  <c r="H73" i="11" s="1"/>
  <c r="Q43" i="11"/>
  <c r="S43" i="11" s="1"/>
  <c r="T43" i="11" s="1"/>
  <c r="G43" i="11"/>
  <c r="H43" i="11" s="1"/>
  <c r="Q42" i="11"/>
  <c r="S42" i="11" s="1"/>
  <c r="T42" i="11" s="1"/>
  <c r="G42" i="11"/>
  <c r="H42" i="11" s="1"/>
  <c r="G10" i="11"/>
  <c r="H10" i="11" s="1"/>
  <c r="Q10" i="11"/>
  <c r="S10" i="11" s="1"/>
  <c r="T10" i="11" s="1"/>
  <c r="Q9" i="11"/>
  <c r="S9" i="11" s="1"/>
  <c r="T9" i="11" s="1"/>
  <c r="G9" i="11"/>
  <c r="H9" i="11" s="1"/>
  <c r="F134" i="11"/>
  <c r="E41" i="11"/>
  <c r="E134" i="11"/>
  <c r="G134" i="11" s="1"/>
  <c r="H134" i="11" s="1"/>
  <c r="F103" i="11"/>
  <c r="E103" i="11"/>
  <c r="G103" i="11" s="1"/>
  <c r="H103" i="11" s="1"/>
  <c r="F72" i="11"/>
  <c r="F8" i="11"/>
  <c r="E8" i="11"/>
  <c r="G8" i="11" s="1"/>
  <c r="H8" i="11" s="1"/>
  <c r="E72" i="11"/>
  <c r="G72" i="11" s="1"/>
  <c r="H72" i="11" s="1"/>
  <c r="F166" i="11"/>
  <c r="F41" i="11"/>
  <c r="E166" i="11"/>
  <c r="G166" i="11" s="1"/>
  <c r="H166" i="11" s="1"/>
  <c r="F133" i="11"/>
  <c r="F165" i="11"/>
  <c r="E165" i="11"/>
  <c r="G165" i="11" s="1"/>
  <c r="H165" i="11" s="1"/>
  <c r="E71" i="11"/>
  <c r="E102" i="11"/>
  <c r="F71" i="11"/>
  <c r="F102" i="11"/>
  <c r="F40" i="11"/>
  <c r="E40" i="11"/>
  <c r="F7" i="11"/>
  <c r="E7" i="11"/>
  <c r="G7" i="11" s="1"/>
  <c r="H7" i="11" s="1"/>
  <c r="E133" i="11"/>
  <c r="G133" i="11" s="1"/>
  <c r="H133" i="11" s="1"/>
  <c r="F39" i="11"/>
  <c r="E39" i="11"/>
  <c r="G39" i="11" s="1"/>
  <c r="H39" i="11" s="1"/>
  <c r="F70" i="11"/>
  <c r="E132" i="11"/>
  <c r="E101" i="11"/>
  <c r="F101" i="11"/>
  <c r="E70" i="11"/>
  <c r="G70" i="11" s="1"/>
  <c r="H70" i="11" s="1"/>
  <c r="F132" i="11"/>
  <c r="F6" i="11"/>
  <c r="E6" i="11"/>
  <c r="G6" i="11" s="1"/>
  <c r="H6" i="11" s="1"/>
  <c r="Q168" i="10"/>
  <c r="S168" i="10" s="1"/>
  <c r="T168" i="10" s="1"/>
  <c r="G168" i="10"/>
  <c r="H168" i="10" s="1"/>
  <c r="Q167" i="10"/>
  <c r="S167" i="10" s="1"/>
  <c r="T167" i="10" s="1"/>
  <c r="G167" i="10"/>
  <c r="H167" i="10" s="1"/>
  <c r="Q136" i="10"/>
  <c r="S136" i="10" s="1"/>
  <c r="T136" i="10" s="1"/>
  <c r="G136" i="10"/>
  <c r="H136" i="10" s="1"/>
  <c r="Q135" i="10"/>
  <c r="S135" i="10" s="1"/>
  <c r="T135" i="10" s="1"/>
  <c r="G135" i="10"/>
  <c r="H135" i="10" s="1"/>
  <c r="Q105" i="10"/>
  <c r="S105" i="10" s="1"/>
  <c r="T105" i="10" s="1"/>
  <c r="G105" i="10"/>
  <c r="H105" i="10" s="1"/>
  <c r="Q104" i="10"/>
  <c r="S104" i="10" s="1"/>
  <c r="T104" i="10" s="1"/>
  <c r="G104" i="10"/>
  <c r="H104" i="10" s="1"/>
  <c r="G74" i="10"/>
  <c r="H74" i="10" s="1"/>
  <c r="Q74" i="10"/>
  <c r="S74" i="10" s="1"/>
  <c r="T74" i="10" s="1"/>
  <c r="Q73" i="10"/>
  <c r="S73" i="10" s="1"/>
  <c r="T73" i="10" s="1"/>
  <c r="G73" i="10"/>
  <c r="H73" i="10" s="1"/>
  <c r="Q43" i="10"/>
  <c r="S43" i="10" s="1"/>
  <c r="T43" i="10" s="1"/>
  <c r="G43" i="10"/>
  <c r="H43" i="10" s="1"/>
  <c r="Q42" i="10"/>
  <c r="S42" i="10" s="1"/>
  <c r="T42" i="10" s="1"/>
  <c r="G42" i="10"/>
  <c r="H42" i="10" s="1"/>
  <c r="Q10" i="10"/>
  <c r="S10" i="10" s="1"/>
  <c r="T10" i="10" s="1"/>
  <c r="G10" i="10"/>
  <c r="H10" i="10" s="1"/>
  <c r="Q9" i="10"/>
  <c r="S9" i="10" s="1"/>
  <c r="T9" i="10" s="1"/>
  <c r="G9" i="10"/>
  <c r="H9" i="10" s="1"/>
  <c r="F103" i="10"/>
  <c r="E72" i="10"/>
  <c r="F72" i="10"/>
  <c r="E103" i="10"/>
  <c r="G103" i="10" s="1"/>
  <c r="H103" i="10" s="1"/>
  <c r="E41" i="10"/>
  <c r="E166" i="10"/>
  <c r="G166" i="10" s="1"/>
  <c r="H166" i="10" s="1"/>
  <c r="F41" i="10"/>
  <c r="F134" i="10"/>
  <c r="E134" i="10"/>
  <c r="G134" i="10" s="1"/>
  <c r="H134" i="10" s="1"/>
  <c r="F8" i="10"/>
  <c r="E8" i="10"/>
  <c r="G8" i="10" s="1"/>
  <c r="H8" i="10" s="1"/>
  <c r="F40" i="10"/>
  <c r="E40" i="10"/>
  <c r="G40" i="10" s="1"/>
  <c r="H40" i="10" s="1"/>
  <c r="E71" i="10"/>
  <c r="F102" i="10"/>
  <c r="F133" i="10"/>
  <c r="E165" i="10"/>
  <c r="F165" i="10"/>
  <c r="E133" i="10"/>
  <c r="G133" i="10" s="1"/>
  <c r="H133" i="10" s="1"/>
  <c r="F71" i="10"/>
  <c r="F7" i="10"/>
  <c r="E7" i="10"/>
  <c r="G7" i="10" s="1"/>
  <c r="H7" i="10" s="1"/>
  <c r="E102" i="10"/>
  <c r="G102" i="10" s="1"/>
  <c r="H102" i="10" s="1"/>
  <c r="E132" i="10"/>
  <c r="E70" i="10"/>
  <c r="F70" i="10"/>
  <c r="E39" i="10"/>
  <c r="F6" i="10"/>
  <c r="F39" i="10"/>
  <c r="F132" i="10"/>
  <c r="F101" i="10"/>
  <c r="E101" i="10"/>
  <c r="E6" i="10"/>
  <c r="G6" i="10" s="1"/>
  <c r="H6" i="10" s="1"/>
  <c r="O136" i="8"/>
  <c r="Q136" i="8" s="1"/>
  <c r="R136" i="8" s="1"/>
  <c r="F136" i="8"/>
  <c r="G136" i="8" s="1"/>
  <c r="O135" i="8"/>
  <c r="Q135" i="8" s="1"/>
  <c r="R135" i="8" s="1"/>
  <c r="F135" i="8"/>
  <c r="G135" i="8" s="1"/>
  <c r="E44" i="9"/>
  <c r="B43" i="9"/>
  <c r="B44" i="9" s="1"/>
  <c r="B45" i="9" s="1"/>
  <c r="F45" i="9"/>
  <c r="G42" i="9"/>
  <c r="F42" i="9"/>
  <c r="E42" i="9"/>
  <c r="D42" i="9"/>
  <c r="G41" i="9"/>
  <c r="F41" i="9"/>
  <c r="E41" i="9"/>
  <c r="D41" i="9"/>
  <c r="C39" i="9"/>
  <c r="B39" i="9"/>
  <c r="G7" i="9"/>
  <c r="G6" i="9"/>
  <c r="G5" i="9"/>
  <c r="F7" i="9"/>
  <c r="F8" i="9" s="1"/>
  <c r="F44" i="9" s="1"/>
  <c r="F6" i="9"/>
  <c r="F5" i="9"/>
  <c r="F9" i="9" s="1"/>
  <c r="G8" i="9"/>
  <c r="G44" i="9" s="1"/>
  <c r="G9" i="9"/>
  <c r="E5" i="9"/>
  <c r="E9" i="9" s="1"/>
  <c r="E6" i="9"/>
  <c r="E7" i="9"/>
  <c r="E8" i="9" s="1"/>
  <c r="D7" i="9"/>
  <c r="D6" i="9"/>
  <c r="D5" i="9"/>
  <c r="F10" i="9"/>
  <c r="B7" i="9"/>
  <c r="B8" i="9" s="1"/>
  <c r="B9" i="9" s="1"/>
  <c r="B10" i="9" s="1"/>
  <c r="C3" i="9"/>
  <c r="B3" i="9"/>
  <c r="P39" i="8"/>
  <c r="P168" i="8"/>
  <c r="Q168" i="8" s="1"/>
  <c r="R168" i="8" s="1"/>
  <c r="O168" i="8"/>
  <c r="F11" i="8"/>
  <c r="X163" i="8"/>
  <c r="N163" i="8"/>
  <c r="P166" i="8"/>
  <c r="P165" i="8"/>
  <c r="C163" i="8"/>
  <c r="W166" i="8"/>
  <c r="W167" i="8" s="1"/>
  <c r="W168" i="8" s="1"/>
  <c r="W169" i="8" s="1"/>
  <c r="M166" i="8"/>
  <c r="M167" i="8" s="1"/>
  <c r="M168" i="8" s="1"/>
  <c r="M169" i="8" s="1"/>
  <c r="B166" i="8"/>
  <c r="B167" i="8" s="1"/>
  <c r="B168" i="8" s="1"/>
  <c r="B169" i="8" s="1"/>
  <c r="W163" i="8"/>
  <c r="M163" i="8"/>
  <c r="B163" i="8"/>
  <c r="DZ5" i="2"/>
  <c r="AR13" i="2"/>
  <c r="AE13" i="2"/>
  <c r="R13" i="2"/>
  <c r="F8" i="15" l="1"/>
  <c r="G8" i="15" s="1"/>
  <c r="F6" i="15"/>
  <c r="G6" i="15" s="1"/>
  <c r="Q42" i="15"/>
  <c r="R42" i="15" s="1"/>
  <c r="R7" i="15"/>
  <c r="AU21" i="16"/>
  <c r="AW21" i="16" s="1"/>
  <c r="AX21" i="16" s="1"/>
  <c r="F7" i="15"/>
  <c r="G7" i="15" s="1"/>
  <c r="G101" i="10"/>
  <c r="H101" i="10" s="1"/>
  <c r="G40" i="11"/>
  <c r="H40" i="11" s="1"/>
  <c r="G72" i="10"/>
  <c r="H72" i="10" s="1"/>
  <c r="G41" i="11"/>
  <c r="H41" i="11" s="1"/>
  <c r="G71" i="11"/>
  <c r="H71" i="11" s="1"/>
  <c r="G102" i="11"/>
  <c r="H102" i="11" s="1"/>
  <c r="G132" i="11"/>
  <c r="H132" i="11" s="1"/>
  <c r="G101" i="11"/>
  <c r="H101" i="11" s="1"/>
  <c r="G41" i="10"/>
  <c r="H41" i="10" s="1"/>
  <c r="G165" i="10"/>
  <c r="H165" i="10" s="1"/>
  <c r="G70" i="10"/>
  <c r="H70" i="10" s="1"/>
  <c r="G39" i="10"/>
  <c r="H39" i="10" s="1"/>
  <c r="G71" i="10"/>
  <c r="H71" i="10" s="1"/>
  <c r="G132" i="10"/>
  <c r="H132" i="10" s="1"/>
  <c r="H7" i="9"/>
  <c r="M7" i="9" s="1"/>
  <c r="D9" i="9"/>
  <c r="D8" i="9"/>
  <c r="D44" i="9" s="1"/>
  <c r="H44" i="9" s="1"/>
  <c r="H6" i="9"/>
  <c r="H42" i="9"/>
  <c r="H41" i="9"/>
  <c r="M41" i="9" s="1"/>
  <c r="J7" i="9"/>
  <c r="K7" i="9"/>
  <c r="L7" i="9"/>
  <c r="I7" i="9"/>
  <c r="H9" i="9"/>
  <c r="H8" i="9"/>
  <c r="K8" i="9" s="1"/>
  <c r="H5" i="9"/>
  <c r="AA103" i="8"/>
  <c r="Y103" i="8"/>
  <c r="W103" i="8"/>
  <c r="W104" i="8" s="1"/>
  <c r="W105" i="8" s="1"/>
  <c r="W106" i="8" s="1"/>
  <c r="P103" i="8"/>
  <c r="M103" i="8"/>
  <c r="M104" i="8" s="1"/>
  <c r="M105" i="8" s="1"/>
  <c r="M106" i="8" s="1"/>
  <c r="B103" i="8"/>
  <c r="B104" i="8" s="1"/>
  <c r="B105" i="8" s="1"/>
  <c r="B106" i="8" s="1"/>
  <c r="AA102" i="8"/>
  <c r="Y102" i="8"/>
  <c r="P102" i="8"/>
  <c r="AA101" i="8"/>
  <c r="Y101" i="8"/>
  <c r="P101" i="8"/>
  <c r="X99" i="8"/>
  <c r="W99" i="8"/>
  <c r="N99" i="8"/>
  <c r="M99" i="8"/>
  <c r="C99" i="8"/>
  <c r="B99" i="8"/>
  <c r="AA72" i="8"/>
  <c r="Y72" i="8"/>
  <c r="W72" i="8"/>
  <c r="W73" i="8" s="1"/>
  <c r="W74" i="8" s="1"/>
  <c r="W75" i="8" s="1"/>
  <c r="P72" i="8"/>
  <c r="M72" i="8"/>
  <c r="M73" i="8" s="1"/>
  <c r="M74" i="8" s="1"/>
  <c r="M75" i="8" s="1"/>
  <c r="B72" i="8"/>
  <c r="B73" i="8" s="1"/>
  <c r="B74" i="8" s="1"/>
  <c r="B75" i="8" s="1"/>
  <c r="AA71" i="8"/>
  <c r="Y71" i="8"/>
  <c r="P71" i="8"/>
  <c r="AA70" i="8"/>
  <c r="Y70" i="8"/>
  <c r="P70" i="8"/>
  <c r="AR68" i="8"/>
  <c r="AQ68" i="8"/>
  <c r="AP68" i="8"/>
  <c r="AO68" i="8"/>
  <c r="AN68" i="8"/>
  <c r="AM68" i="8"/>
  <c r="AL68" i="8"/>
  <c r="AK68" i="8"/>
  <c r="AJ68" i="8"/>
  <c r="X68" i="8"/>
  <c r="W68" i="8"/>
  <c r="N68" i="8"/>
  <c r="M68" i="8"/>
  <c r="C68" i="8"/>
  <c r="B68" i="8"/>
  <c r="AR67" i="8"/>
  <c r="AQ67" i="8"/>
  <c r="AP67" i="8"/>
  <c r="AO67" i="8"/>
  <c r="AN67" i="8"/>
  <c r="AM67" i="8"/>
  <c r="AL67" i="8"/>
  <c r="AK67" i="8"/>
  <c r="AJ67" i="8"/>
  <c r="AR66" i="8"/>
  <c r="AQ66" i="8"/>
  <c r="AP66" i="8"/>
  <c r="AO66" i="8"/>
  <c r="AN66" i="8"/>
  <c r="AM66" i="8"/>
  <c r="AL66" i="8"/>
  <c r="AK66" i="8"/>
  <c r="AJ66" i="8"/>
  <c r="AR65" i="8"/>
  <c r="AQ65" i="8"/>
  <c r="AP65" i="8"/>
  <c r="AO65" i="8"/>
  <c r="AN65" i="8"/>
  <c r="AM65" i="8"/>
  <c r="AL65" i="8"/>
  <c r="AK65" i="8"/>
  <c r="AJ64" i="8"/>
  <c r="AA41" i="8"/>
  <c r="Y41" i="8"/>
  <c r="W41" i="8"/>
  <c r="W42" i="8" s="1"/>
  <c r="W43" i="8" s="1"/>
  <c r="W44" i="8" s="1"/>
  <c r="P41" i="8"/>
  <c r="M41" i="8"/>
  <c r="M42" i="8" s="1"/>
  <c r="M43" i="8" s="1"/>
  <c r="M44" i="8" s="1"/>
  <c r="B41" i="8"/>
  <c r="B42" i="8" s="1"/>
  <c r="B43" i="8" s="1"/>
  <c r="B44" i="8" s="1"/>
  <c r="AA40" i="8"/>
  <c r="Y40" i="8"/>
  <c r="P40" i="8"/>
  <c r="AA39" i="8"/>
  <c r="Y39" i="8"/>
  <c r="X37" i="8"/>
  <c r="W37" i="8"/>
  <c r="N37" i="8"/>
  <c r="M37" i="8"/>
  <c r="C37" i="8"/>
  <c r="B37" i="8"/>
  <c r="AJ36" i="8"/>
  <c r="AJ35" i="8"/>
  <c r="AJ34" i="8"/>
  <c r="AR33" i="8"/>
  <c r="AQ33" i="8"/>
  <c r="AP33" i="8"/>
  <c r="AO33" i="8"/>
  <c r="AN33" i="8"/>
  <c r="AM33" i="8"/>
  <c r="AL33" i="8"/>
  <c r="AK33" i="8"/>
  <c r="AJ32" i="8"/>
  <c r="AA8" i="8"/>
  <c r="Y8" i="8"/>
  <c r="W8" i="8"/>
  <c r="W9" i="8" s="1"/>
  <c r="W10" i="8" s="1"/>
  <c r="W11" i="8" s="1"/>
  <c r="P8" i="8"/>
  <c r="M8" i="8"/>
  <c r="M9" i="8" s="1"/>
  <c r="M10" i="8" s="1"/>
  <c r="M11" i="8" s="1"/>
  <c r="B8" i="8"/>
  <c r="B9" i="8" s="1"/>
  <c r="B10" i="8" s="1"/>
  <c r="B11" i="8" s="1"/>
  <c r="BY7" i="8"/>
  <c r="BX7" i="8"/>
  <c r="BW7" i="8"/>
  <c r="BV7" i="8"/>
  <c r="BU7" i="8"/>
  <c r="BT7" i="8"/>
  <c r="BS7" i="8"/>
  <c r="BR7" i="8"/>
  <c r="BQ7" i="8"/>
  <c r="BI7" i="8"/>
  <c r="BH7" i="8"/>
  <c r="BG7" i="8"/>
  <c r="BF7" i="8"/>
  <c r="BE7" i="8"/>
  <c r="BD7" i="8"/>
  <c r="BC7" i="8"/>
  <c r="BB7" i="8"/>
  <c r="BA7" i="8"/>
  <c r="AR7" i="8"/>
  <c r="AQ7" i="8"/>
  <c r="AP7" i="8"/>
  <c r="AO7" i="8"/>
  <c r="AN7" i="8"/>
  <c r="AM7" i="8"/>
  <c r="AL7" i="8"/>
  <c r="AK7" i="8"/>
  <c r="AJ7" i="8"/>
  <c r="AA7" i="8"/>
  <c r="Y7" i="8"/>
  <c r="P7" i="8"/>
  <c r="BY6" i="8"/>
  <c r="BX6" i="8"/>
  <c r="BW6" i="8"/>
  <c r="BV6" i="8"/>
  <c r="BU6" i="8"/>
  <c r="BT6" i="8"/>
  <c r="BS6" i="8"/>
  <c r="BR6" i="8"/>
  <c r="BQ6" i="8"/>
  <c r="BI6" i="8"/>
  <c r="BH6" i="8"/>
  <c r="BG6" i="8"/>
  <c r="BF6" i="8"/>
  <c r="BE6" i="8"/>
  <c r="BD6" i="8"/>
  <c r="BC6" i="8"/>
  <c r="BB6" i="8"/>
  <c r="BA6" i="8"/>
  <c r="AR6" i="8"/>
  <c r="AQ6" i="8"/>
  <c r="AP6" i="8"/>
  <c r="AO6" i="8"/>
  <c r="AN6" i="8"/>
  <c r="AM6" i="8"/>
  <c r="AL6" i="8"/>
  <c r="AK6" i="8"/>
  <c r="AJ6" i="8"/>
  <c r="AA6" i="8"/>
  <c r="Y6" i="8"/>
  <c r="P6" i="8"/>
  <c r="BY5" i="8"/>
  <c r="BX5" i="8"/>
  <c r="BW5" i="8"/>
  <c r="BV5" i="8"/>
  <c r="BU5" i="8"/>
  <c r="BT5" i="8"/>
  <c r="BS5" i="8"/>
  <c r="BR5" i="8"/>
  <c r="BQ5" i="8"/>
  <c r="BI5" i="8"/>
  <c r="BH5" i="8"/>
  <c r="BG5" i="8"/>
  <c r="BF5" i="8"/>
  <c r="BE5" i="8"/>
  <c r="BD5" i="8"/>
  <c r="BC5" i="8"/>
  <c r="BB5" i="8"/>
  <c r="BA5" i="8"/>
  <c r="AR5" i="8"/>
  <c r="AQ5" i="8"/>
  <c r="AP5" i="8"/>
  <c r="AO5" i="8"/>
  <c r="AN5" i="8"/>
  <c r="AM5" i="8"/>
  <c r="AL5" i="8"/>
  <c r="AK5" i="8"/>
  <c r="AJ5" i="8"/>
  <c r="BY4" i="8"/>
  <c r="BX4" i="8"/>
  <c r="BW4" i="8"/>
  <c r="BV4" i="8"/>
  <c r="BU4" i="8"/>
  <c r="BT4" i="8"/>
  <c r="BS4" i="8"/>
  <c r="BR4" i="8"/>
  <c r="BI4" i="8"/>
  <c r="BH4" i="8"/>
  <c r="BG4" i="8"/>
  <c r="BF4" i="8"/>
  <c r="BE4" i="8"/>
  <c r="BD4" i="8"/>
  <c r="BC4" i="8"/>
  <c r="BB4" i="8"/>
  <c r="AR4" i="8"/>
  <c r="AQ4" i="8"/>
  <c r="AP4" i="8"/>
  <c r="AO4" i="8"/>
  <c r="AN4" i="8"/>
  <c r="AM4" i="8"/>
  <c r="AL4" i="8"/>
  <c r="AK4" i="8"/>
  <c r="X4" i="8"/>
  <c r="W4" i="8"/>
  <c r="N4" i="8"/>
  <c r="M4" i="8"/>
  <c r="C4" i="8"/>
  <c r="B4" i="8"/>
  <c r="BQ3" i="8"/>
  <c r="BA3" i="8"/>
  <c r="AJ3" i="8"/>
  <c r="F1" i="8"/>
  <c r="E134" i="8" s="1"/>
  <c r="E1" i="8"/>
  <c r="E133" i="8" s="1"/>
  <c r="D1" i="8"/>
  <c r="P101" i="7"/>
  <c r="P70" i="7"/>
  <c r="P39" i="7"/>
  <c r="P6" i="7"/>
  <c r="AA101" i="7"/>
  <c r="AA70" i="7"/>
  <c r="AR66" i="7"/>
  <c r="AQ66" i="7"/>
  <c r="AP66" i="7"/>
  <c r="AO66" i="7"/>
  <c r="AN66" i="7"/>
  <c r="AM66" i="7"/>
  <c r="AL66" i="7"/>
  <c r="AK66" i="7"/>
  <c r="AJ64" i="7"/>
  <c r="O42" i="7"/>
  <c r="AA39" i="7"/>
  <c r="AA6" i="7"/>
  <c r="AA103" i="7"/>
  <c r="Y103" i="7"/>
  <c r="W103" i="7"/>
  <c r="W104" i="7" s="1"/>
  <c r="W105" i="7" s="1"/>
  <c r="W106" i="7" s="1"/>
  <c r="P103" i="7"/>
  <c r="M103" i="7"/>
  <c r="M104" i="7" s="1"/>
  <c r="M105" i="7" s="1"/>
  <c r="M106" i="7" s="1"/>
  <c r="B103" i="7"/>
  <c r="B104" i="7" s="1"/>
  <c r="B105" i="7" s="1"/>
  <c r="B106" i="7" s="1"/>
  <c r="AA102" i="7"/>
  <c r="Y102" i="7"/>
  <c r="P102" i="7"/>
  <c r="Y101" i="7"/>
  <c r="X99" i="7"/>
  <c r="W99" i="7"/>
  <c r="N99" i="7"/>
  <c r="M99" i="7"/>
  <c r="C99" i="7"/>
  <c r="B99" i="7"/>
  <c r="B73" i="7"/>
  <c r="B74" i="7" s="1"/>
  <c r="B75" i="7" s="1"/>
  <c r="AA72" i="7"/>
  <c r="Y72" i="7"/>
  <c r="W72" i="7"/>
  <c r="W73" i="7" s="1"/>
  <c r="W74" i="7" s="1"/>
  <c r="W75" i="7" s="1"/>
  <c r="P72" i="7"/>
  <c r="M72" i="7"/>
  <c r="M73" i="7" s="1"/>
  <c r="M74" i="7" s="1"/>
  <c r="M75" i="7" s="1"/>
  <c r="B72" i="7"/>
  <c r="AA71" i="7"/>
  <c r="Y71" i="7"/>
  <c r="P71" i="7"/>
  <c r="Y70" i="7"/>
  <c r="AR68" i="7"/>
  <c r="AQ68" i="7"/>
  <c r="AP68" i="7"/>
  <c r="AO68" i="7"/>
  <c r="AN68" i="7"/>
  <c r="AM68" i="7"/>
  <c r="AL68" i="7"/>
  <c r="AK68" i="7"/>
  <c r="AJ68" i="7"/>
  <c r="X68" i="7"/>
  <c r="W68" i="7"/>
  <c r="N68" i="7"/>
  <c r="M68" i="7"/>
  <c r="C68" i="7"/>
  <c r="B68" i="7"/>
  <c r="AR67" i="7"/>
  <c r="AQ67" i="7"/>
  <c r="AP67" i="7"/>
  <c r="AO67" i="7"/>
  <c r="AN67" i="7"/>
  <c r="AM67" i="7"/>
  <c r="AL67" i="7"/>
  <c r="AK67" i="7"/>
  <c r="AJ67" i="7"/>
  <c r="AJ66" i="7"/>
  <c r="AR65" i="7"/>
  <c r="AQ65" i="7"/>
  <c r="AP65" i="7"/>
  <c r="AO65" i="7"/>
  <c r="AN65" i="7"/>
  <c r="AM65" i="7"/>
  <c r="AL65" i="7"/>
  <c r="AK65" i="7"/>
  <c r="B42" i="7"/>
  <c r="B43" i="7" s="1"/>
  <c r="B44" i="7" s="1"/>
  <c r="AA41" i="7"/>
  <c r="Y41" i="7"/>
  <c r="W41" i="7"/>
  <c r="W42" i="7" s="1"/>
  <c r="W43" i="7" s="1"/>
  <c r="W44" i="7" s="1"/>
  <c r="P41" i="7"/>
  <c r="M41" i="7"/>
  <c r="M42" i="7" s="1"/>
  <c r="M43" i="7" s="1"/>
  <c r="M44" i="7" s="1"/>
  <c r="B41" i="7"/>
  <c r="AA40" i="7"/>
  <c r="Y40" i="7"/>
  <c r="P40" i="7"/>
  <c r="Y39" i="7"/>
  <c r="X37" i="7"/>
  <c r="W37" i="7"/>
  <c r="N37" i="7"/>
  <c r="M37" i="7"/>
  <c r="C37" i="7"/>
  <c r="B37" i="7"/>
  <c r="AJ36" i="7"/>
  <c r="AJ35" i="7"/>
  <c r="AJ34" i="7"/>
  <c r="AR33" i="7"/>
  <c r="AQ33" i="7"/>
  <c r="AP33" i="7"/>
  <c r="AO33" i="7"/>
  <c r="AN33" i="7"/>
  <c r="AM33" i="7"/>
  <c r="AL33" i="7"/>
  <c r="AK33" i="7"/>
  <c r="AJ32" i="7"/>
  <c r="AA8" i="7"/>
  <c r="Y8" i="7"/>
  <c r="W8" i="7"/>
  <c r="W9" i="7" s="1"/>
  <c r="W10" i="7" s="1"/>
  <c r="W11" i="7" s="1"/>
  <c r="P8" i="7"/>
  <c r="M8" i="7"/>
  <c r="M9" i="7" s="1"/>
  <c r="M10" i="7" s="1"/>
  <c r="M11" i="7" s="1"/>
  <c r="B8" i="7"/>
  <c r="B9" i="7" s="1"/>
  <c r="B10" i="7" s="1"/>
  <c r="B11" i="7" s="1"/>
  <c r="BY7" i="7"/>
  <c r="BX7" i="7"/>
  <c r="BW7" i="7"/>
  <c r="BV7" i="7"/>
  <c r="BU7" i="7"/>
  <c r="BT7" i="7"/>
  <c r="BS7" i="7"/>
  <c r="BR7" i="7"/>
  <c r="BQ7" i="7"/>
  <c r="BI7" i="7"/>
  <c r="BH7" i="7"/>
  <c r="BG7" i="7"/>
  <c r="BF7" i="7"/>
  <c r="BE7" i="7"/>
  <c r="BD7" i="7"/>
  <c r="BC7" i="7"/>
  <c r="BB7" i="7"/>
  <c r="BA7" i="7"/>
  <c r="AR7" i="7"/>
  <c r="AQ7" i="7"/>
  <c r="AP7" i="7"/>
  <c r="AO7" i="7"/>
  <c r="AN7" i="7"/>
  <c r="AM7" i="7"/>
  <c r="AL7" i="7"/>
  <c r="AK7" i="7"/>
  <c r="AJ7" i="7"/>
  <c r="AA7" i="7"/>
  <c r="Y7" i="7"/>
  <c r="P7" i="7"/>
  <c r="BY6" i="7"/>
  <c r="BX6" i="7"/>
  <c r="BW6" i="7"/>
  <c r="BV6" i="7"/>
  <c r="BU6" i="7"/>
  <c r="BT6" i="7"/>
  <c r="BS6" i="7"/>
  <c r="BR6" i="7"/>
  <c r="BQ6" i="7"/>
  <c r="BI6" i="7"/>
  <c r="BH6" i="7"/>
  <c r="BG6" i="7"/>
  <c r="BF6" i="7"/>
  <c r="BE6" i="7"/>
  <c r="BD6" i="7"/>
  <c r="BC6" i="7"/>
  <c r="BB6" i="7"/>
  <c r="BA6" i="7"/>
  <c r="AR6" i="7"/>
  <c r="AQ6" i="7"/>
  <c r="AP6" i="7"/>
  <c r="AO6" i="7"/>
  <c r="AN6" i="7"/>
  <c r="AM6" i="7"/>
  <c r="AL6" i="7"/>
  <c r="AK6" i="7"/>
  <c r="AJ6" i="7"/>
  <c r="Y6" i="7"/>
  <c r="BY5" i="7"/>
  <c r="BX5" i="7"/>
  <c r="BW5" i="7"/>
  <c r="BV5" i="7"/>
  <c r="BU5" i="7"/>
  <c r="BT5" i="7"/>
  <c r="BS5" i="7"/>
  <c r="BR5" i="7"/>
  <c r="BQ5" i="7"/>
  <c r="BI5" i="7"/>
  <c r="BH5" i="7"/>
  <c r="BG5" i="7"/>
  <c r="BF5" i="7"/>
  <c r="BE5" i="7"/>
  <c r="BD5" i="7"/>
  <c r="BC5" i="7"/>
  <c r="BB5" i="7"/>
  <c r="BA5" i="7"/>
  <c r="AR5" i="7"/>
  <c r="AQ5" i="7"/>
  <c r="AP5" i="7"/>
  <c r="AO5" i="7"/>
  <c r="AN5" i="7"/>
  <c r="AM5" i="7"/>
  <c r="AL5" i="7"/>
  <c r="AK5" i="7"/>
  <c r="AJ5" i="7"/>
  <c r="BY4" i="7"/>
  <c r="BX4" i="7"/>
  <c r="BW4" i="7"/>
  <c r="BV4" i="7"/>
  <c r="BU4" i="7"/>
  <c r="BT4" i="7"/>
  <c r="BS4" i="7"/>
  <c r="BR4" i="7"/>
  <c r="BI4" i="7"/>
  <c r="BH4" i="7"/>
  <c r="BG4" i="7"/>
  <c r="BF4" i="7"/>
  <c r="BE4" i="7"/>
  <c r="BD4" i="7"/>
  <c r="BC4" i="7"/>
  <c r="BB4" i="7"/>
  <c r="AR4" i="7"/>
  <c r="AQ4" i="7"/>
  <c r="AP4" i="7"/>
  <c r="AO4" i="7"/>
  <c r="AN4" i="7"/>
  <c r="AM4" i="7"/>
  <c r="AL4" i="7"/>
  <c r="AK4" i="7"/>
  <c r="X4" i="7"/>
  <c r="W4" i="7"/>
  <c r="N4" i="7"/>
  <c r="M4" i="7"/>
  <c r="C4" i="7"/>
  <c r="B4" i="7"/>
  <c r="BQ3" i="7"/>
  <c r="BA3" i="7"/>
  <c r="AJ3" i="7"/>
  <c r="F1" i="7"/>
  <c r="E1" i="7"/>
  <c r="D1" i="7"/>
  <c r="M104" i="6"/>
  <c r="M105" i="6" s="1"/>
  <c r="M106" i="6" s="1"/>
  <c r="AA103" i="6"/>
  <c r="Y103" i="6"/>
  <c r="W103" i="6"/>
  <c r="W104" i="6" s="1"/>
  <c r="W105" i="6" s="1"/>
  <c r="W106" i="6" s="1"/>
  <c r="P103" i="6"/>
  <c r="M103" i="6"/>
  <c r="B103" i="6"/>
  <c r="B104" i="6" s="1"/>
  <c r="B105" i="6" s="1"/>
  <c r="B106" i="6" s="1"/>
  <c r="AA102" i="6"/>
  <c r="Y102" i="6"/>
  <c r="P102" i="6"/>
  <c r="AA101" i="6"/>
  <c r="Y101" i="6"/>
  <c r="P101" i="6"/>
  <c r="X99" i="6"/>
  <c r="W99" i="6"/>
  <c r="N99" i="6"/>
  <c r="M99" i="6"/>
  <c r="C99" i="6"/>
  <c r="B99" i="6"/>
  <c r="AA72" i="6"/>
  <c r="Y72" i="6"/>
  <c r="W72" i="6"/>
  <c r="W73" i="6" s="1"/>
  <c r="W74" i="6" s="1"/>
  <c r="W75" i="6" s="1"/>
  <c r="P72" i="6"/>
  <c r="M72" i="6"/>
  <c r="M73" i="6" s="1"/>
  <c r="M74" i="6" s="1"/>
  <c r="M75" i="6" s="1"/>
  <c r="B72" i="6"/>
  <c r="B73" i="6" s="1"/>
  <c r="B74" i="6" s="1"/>
  <c r="B75" i="6" s="1"/>
  <c r="AA71" i="6"/>
  <c r="Y71" i="6"/>
  <c r="P71" i="6"/>
  <c r="AA70" i="6"/>
  <c r="Y70" i="6"/>
  <c r="P70" i="6"/>
  <c r="AR68" i="6"/>
  <c r="AQ68" i="6"/>
  <c r="AP68" i="6"/>
  <c r="AO68" i="6"/>
  <c r="AN68" i="6"/>
  <c r="AM68" i="6"/>
  <c r="AL68" i="6"/>
  <c r="AK68" i="6"/>
  <c r="AJ68" i="6"/>
  <c r="X68" i="6"/>
  <c r="W68" i="6"/>
  <c r="N68" i="6"/>
  <c r="M68" i="6"/>
  <c r="C68" i="6"/>
  <c r="B68" i="6"/>
  <c r="AR67" i="6"/>
  <c r="AQ67" i="6"/>
  <c r="AP67" i="6"/>
  <c r="AO67" i="6"/>
  <c r="AN67" i="6"/>
  <c r="AM67" i="6"/>
  <c r="AL67" i="6"/>
  <c r="AK67" i="6"/>
  <c r="AJ67" i="6"/>
  <c r="AR66" i="6"/>
  <c r="AQ66" i="6"/>
  <c r="AP66" i="6"/>
  <c r="AO66" i="6"/>
  <c r="AN66" i="6"/>
  <c r="AM66" i="6"/>
  <c r="AL66" i="6"/>
  <c r="AK66" i="6"/>
  <c r="AJ66" i="6"/>
  <c r="AR65" i="6"/>
  <c r="AQ65" i="6"/>
  <c r="AP65" i="6"/>
  <c r="AO65" i="6"/>
  <c r="AN65" i="6"/>
  <c r="AM65" i="6"/>
  <c r="AL65" i="6"/>
  <c r="AK65" i="6"/>
  <c r="AJ64" i="6"/>
  <c r="O42" i="6"/>
  <c r="AA41" i="6"/>
  <c r="Y41" i="6"/>
  <c r="W41" i="6"/>
  <c r="W42" i="6" s="1"/>
  <c r="W43" i="6" s="1"/>
  <c r="W44" i="6" s="1"/>
  <c r="P41" i="6"/>
  <c r="M41" i="6"/>
  <c r="M42" i="6" s="1"/>
  <c r="M43" i="6" s="1"/>
  <c r="M44" i="6" s="1"/>
  <c r="B41" i="6"/>
  <c r="B42" i="6" s="1"/>
  <c r="B43" i="6" s="1"/>
  <c r="B44" i="6" s="1"/>
  <c r="AA40" i="6"/>
  <c r="Y40" i="6"/>
  <c r="P40" i="6"/>
  <c r="AA39" i="6"/>
  <c r="Y39" i="6"/>
  <c r="P39" i="6"/>
  <c r="X37" i="6"/>
  <c r="W37" i="6"/>
  <c r="N37" i="6"/>
  <c r="M37" i="6"/>
  <c r="C37" i="6"/>
  <c r="B37" i="6"/>
  <c r="AJ36" i="6"/>
  <c r="AJ35" i="6"/>
  <c r="AJ34" i="6"/>
  <c r="AR33" i="6"/>
  <c r="AQ33" i="6"/>
  <c r="AP33" i="6"/>
  <c r="AO33" i="6"/>
  <c r="AN33" i="6"/>
  <c r="AM33" i="6"/>
  <c r="AL33" i="6"/>
  <c r="AK33" i="6"/>
  <c r="AJ32" i="6"/>
  <c r="AA8" i="6"/>
  <c r="Y8" i="6"/>
  <c r="W8" i="6"/>
  <c r="W9" i="6" s="1"/>
  <c r="W10" i="6" s="1"/>
  <c r="W11" i="6" s="1"/>
  <c r="P8" i="6"/>
  <c r="M8" i="6"/>
  <c r="M9" i="6" s="1"/>
  <c r="M10" i="6" s="1"/>
  <c r="M11" i="6" s="1"/>
  <c r="B8" i="6"/>
  <c r="B9" i="6" s="1"/>
  <c r="B10" i="6" s="1"/>
  <c r="B11" i="6" s="1"/>
  <c r="BY7" i="6"/>
  <c r="BX7" i="6"/>
  <c r="BW7" i="6"/>
  <c r="BV7" i="6"/>
  <c r="BU7" i="6"/>
  <c r="BT7" i="6"/>
  <c r="BS7" i="6"/>
  <c r="BR7" i="6"/>
  <c r="BQ7" i="6"/>
  <c r="BI7" i="6"/>
  <c r="BH7" i="6"/>
  <c r="BG7" i="6"/>
  <c r="BF7" i="6"/>
  <c r="BE7" i="6"/>
  <c r="BD7" i="6"/>
  <c r="BC7" i="6"/>
  <c r="BB7" i="6"/>
  <c r="BA7" i="6"/>
  <c r="AR7" i="6"/>
  <c r="AQ7" i="6"/>
  <c r="AP7" i="6"/>
  <c r="AO7" i="6"/>
  <c r="AN7" i="6"/>
  <c r="AM7" i="6"/>
  <c r="AL7" i="6"/>
  <c r="AK7" i="6"/>
  <c r="AJ7" i="6"/>
  <c r="AA7" i="6"/>
  <c r="Y7" i="6"/>
  <c r="P7" i="6"/>
  <c r="BY6" i="6"/>
  <c r="BX6" i="6"/>
  <c r="BW6" i="6"/>
  <c r="BV6" i="6"/>
  <c r="BU6" i="6"/>
  <c r="BT6" i="6"/>
  <c r="BS6" i="6"/>
  <c r="BR6" i="6"/>
  <c r="BQ6" i="6"/>
  <c r="BI6" i="6"/>
  <c r="BH6" i="6"/>
  <c r="BG6" i="6"/>
  <c r="BF6" i="6"/>
  <c r="BE6" i="6"/>
  <c r="BD6" i="6"/>
  <c r="BC6" i="6"/>
  <c r="BB6" i="6"/>
  <c r="BA6" i="6"/>
  <c r="AR6" i="6"/>
  <c r="AQ6" i="6"/>
  <c r="AP6" i="6"/>
  <c r="AO6" i="6"/>
  <c r="AN6" i="6"/>
  <c r="AM6" i="6"/>
  <c r="AL6" i="6"/>
  <c r="AK6" i="6"/>
  <c r="AJ6" i="6"/>
  <c r="AA6" i="6"/>
  <c r="Y6" i="6"/>
  <c r="P6" i="6"/>
  <c r="BY5" i="6"/>
  <c r="BX5" i="6"/>
  <c r="BW5" i="6"/>
  <c r="BV5" i="6"/>
  <c r="BU5" i="6"/>
  <c r="BT5" i="6"/>
  <c r="BS5" i="6"/>
  <c r="BR5" i="6"/>
  <c r="BQ5" i="6"/>
  <c r="BI5" i="6"/>
  <c r="BH5" i="6"/>
  <c r="BG5" i="6"/>
  <c r="BF5" i="6"/>
  <c r="BE5" i="6"/>
  <c r="BD5" i="6"/>
  <c r="BC5" i="6"/>
  <c r="BB5" i="6"/>
  <c r="BA5" i="6"/>
  <c r="AR5" i="6"/>
  <c r="AQ5" i="6"/>
  <c r="AP5" i="6"/>
  <c r="AO5" i="6"/>
  <c r="AN5" i="6"/>
  <c r="AM5" i="6"/>
  <c r="AL5" i="6"/>
  <c r="AK5" i="6"/>
  <c r="AJ5" i="6"/>
  <c r="BY4" i="6"/>
  <c r="BX4" i="6"/>
  <c r="BW4" i="6"/>
  <c r="BV4" i="6"/>
  <c r="BU4" i="6"/>
  <c r="BT4" i="6"/>
  <c r="BS4" i="6"/>
  <c r="BR4" i="6"/>
  <c r="BI4" i="6"/>
  <c r="BH4" i="6"/>
  <c r="BG4" i="6"/>
  <c r="BF4" i="6"/>
  <c r="BE4" i="6"/>
  <c r="BD4" i="6"/>
  <c r="BC4" i="6"/>
  <c r="BB4" i="6"/>
  <c r="AR4" i="6"/>
  <c r="AQ4" i="6"/>
  <c r="AP4" i="6"/>
  <c r="AO4" i="6"/>
  <c r="AN4" i="6"/>
  <c r="AM4" i="6"/>
  <c r="AL4" i="6"/>
  <c r="AK4" i="6"/>
  <c r="X4" i="6"/>
  <c r="W4" i="6"/>
  <c r="N4" i="6"/>
  <c r="M4" i="6"/>
  <c r="C4" i="6"/>
  <c r="B4" i="6"/>
  <c r="BQ3" i="6"/>
  <c r="BA3" i="6"/>
  <c r="AJ3" i="6"/>
  <c r="F1" i="6"/>
  <c r="E1" i="6"/>
  <c r="D1" i="6"/>
  <c r="O42" i="5"/>
  <c r="F1" i="5"/>
  <c r="E1" i="5"/>
  <c r="D1" i="5"/>
  <c r="B103" i="5"/>
  <c r="B104" i="5" s="1"/>
  <c r="B105" i="5" s="1"/>
  <c r="B106" i="5" s="1"/>
  <c r="C99" i="5"/>
  <c r="B99" i="5"/>
  <c r="B72" i="5"/>
  <c r="B73" i="5" s="1"/>
  <c r="B74" i="5" s="1"/>
  <c r="B75" i="5" s="1"/>
  <c r="C68" i="5"/>
  <c r="B68" i="5"/>
  <c r="B42" i="5"/>
  <c r="B43" i="5" s="1"/>
  <c r="B44" i="5" s="1"/>
  <c r="B41" i="5"/>
  <c r="C37" i="5"/>
  <c r="B37" i="5"/>
  <c r="B8" i="5"/>
  <c r="B9" i="5" s="1"/>
  <c r="B10" i="5" s="1"/>
  <c r="B11" i="5" s="1"/>
  <c r="C4" i="5"/>
  <c r="B4" i="5"/>
  <c r="BY7" i="5"/>
  <c r="BY6" i="5"/>
  <c r="BY5" i="5"/>
  <c r="BX7" i="5"/>
  <c r="BX6" i="5"/>
  <c r="BX5" i="5"/>
  <c r="BW7" i="5"/>
  <c r="BW6" i="5"/>
  <c r="BW5" i="5"/>
  <c r="BV7" i="5"/>
  <c r="BV6" i="5"/>
  <c r="BV5" i="5"/>
  <c r="BU7" i="5"/>
  <c r="BU6" i="5"/>
  <c r="BU5" i="5"/>
  <c r="BT7" i="5"/>
  <c r="BT6" i="5"/>
  <c r="BT5" i="5"/>
  <c r="BS6" i="5"/>
  <c r="BS5" i="5"/>
  <c r="BS7" i="5"/>
  <c r="BR7" i="5"/>
  <c r="BR6" i="5"/>
  <c r="BR5" i="5"/>
  <c r="BQ7" i="5"/>
  <c r="BQ6" i="5"/>
  <c r="BQ5" i="5"/>
  <c r="BY4" i="5"/>
  <c r="BX4" i="5"/>
  <c r="BW4" i="5"/>
  <c r="BV4" i="5"/>
  <c r="BU4" i="5"/>
  <c r="BT4" i="5"/>
  <c r="BS4" i="5"/>
  <c r="BR4" i="5"/>
  <c r="BQ3" i="5"/>
  <c r="P103" i="5"/>
  <c r="E103" i="5" s="1"/>
  <c r="M103" i="5"/>
  <c r="M104" i="5" s="1"/>
  <c r="M105" i="5" s="1"/>
  <c r="M106" i="5" s="1"/>
  <c r="P102" i="5"/>
  <c r="E102" i="5" s="1"/>
  <c r="P101" i="5"/>
  <c r="E101" i="5" s="1"/>
  <c r="N99" i="5"/>
  <c r="M99" i="5"/>
  <c r="P72" i="5"/>
  <c r="E72" i="5" s="1"/>
  <c r="M72" i="5"/>
  <c r="M73" i="5" s="1"/>
  <c r="M74" i="5" s="1"/>
  <c r="M75" i="5" s="1"/>
  <c r="P71" i="5"/>
  <c r="E71" i="5" s="1"/>
  <c r="P70" i="5"/>
  <c r="E70" i="5" s="1"/>
  <c r="N68" i="5"/>
  <c r="M68" i="5"/>
  <c r="P41" i="5"/>
  <c r="E41" i="5" s="1"/>
  <c r="M41" i="5"/>
  <c r="M42" i="5" s="1"/>
  <c r="M43" i="5" s="1"/>
  <c r="M44" i="5" s="1"/>
  <c r="P40" i="5"/>
  <c r="E40" i="5" s="1"/>
  <c r="P39" i="5"/>
  <c r="E39" i="5" s="1"/>
  <c r="N37" i="5"/>
  <c r="M37" i="5"/>
  <c r="P8" i="5"/>
  <c r="E8" i="5" s="1"/>
  <c r="M8" i="5"/>
  <c r="M9" i="5" s="1"/>
  <c r="M10" i="5" s="1"/>
  <c r="M11" i="5" s="1"/>
  <c r="P7" i="5"/>
  <c r="E7" i="5" s="1"/>
  <c r="P6" i="5"/>
  <c r="E6" i="5" s="1"/>
  <c r="N4" i="5"/>
  <c r="M4" i="5"/>
  <c r="BI7" i="5"/>
  <c r="BI6" i="5"/>
  <c r="BI5" i="5"/>
  <c r="BH7" i="5"/>
  <c r="BH6" i="5"/>
  <c r="BH5" i="5"/>
  <c r="BG7" i="5"/>
  <c r="BG6" i="5"/>
  <c r="BG5" i="5"/>
  <c r="BF7" i="5"/>
  <c r="BF6" i="5"/>
  <c r="BF5" i="5"/>
  <c r="BE7" i="5"/>
  <c r="BE6" i="5"/>
  <c r="BE5" i="5"/>
  <c r="BD7" i="5"/>
  <c r="BD6" i="5"/>
  <c r="BD5" i="5"/>
  <c r="BB7" i="5"/>
  <c r="BC7" i="5"/>
  <c r="BC6" i="5"/>
  <c r="BC5" i="5"/>
  <c r="BB6" i="5"/>
  <c r="BB5" i="5"/>
  <c r="BA7" i="5"/>
  <c r="BA6" i="5"/>
  <c r="BA5" i="5"/>
  <c r="BI4" i="5"/>
  <c r="BH4" i="5"/>
  <c r="BG4" i="5"/>
  <c r="BF4" i="5"/>
  <c r="BE4" i="5"/>
  <c r="BD4" i="5"/>
  <c r="BC4" i="5"/>
  <c r="BB4" i="5"/>
  <c r="BA3" i="5"/>
  <c r="E101" i="7" l="1"/>
  <c r="E103" i="7"/>
  <c r="E8" i="6"/>
  <c r="E6" i="6"/>
  <c r="E39" i="8"/>
  <c r="E132" i="8"/>
  <c r="E70" i="7"/>
  <c r="E6" i="7"/>
  <c r="E102" i="6"/>
  <c r="E72" i="6"/>
  <c r="E71" i="6"/>
  <c r="E41" i="6"/>
  <c r="E40" i="6"/>
  <c r="E8" i="8"/>
  <c r="E40" i="8"/>
  <c r="E72" i="8"/>
  <c r="E101" i="8"/>
  <c r="E103" i="8"/>
  <c r="E6" i="8"/>
  <c r="E71" i="8"/>
  <c r="E102" i="8"/>
  <c r="E165" i="8"/>
  <c r="E70" i="8"/>
  <c r="E41" i="8"/>
  <c r="E166" i="8"/>
  <c r="E7" i="8"/>
  <c r="L41" i="9"/>
  <c r="K6" i="9"/>
  <c r="I6" i="9"/>
  <c r="M6" i="9"/>
  <c r="L6" i="9"/>
  <c r="L5" i="9"/>
  <c r="J5" i="9"/>
  <c r="K5" i="9"/>
  <c r="M5" i="9"/>
  <c r="I5" i="9"/>
  <c r="J6" i="9"/>
  <c r="L44" i="9"/>
  <c r="K42" i="9"/>
  <c r="J42" i="9"/>
  <c r="I42" i="9"/>
  <c r="M42" i="9"/>
  <c r="L42" i="9"/>
  <c r="K41" i="9"/>
  <c r="J41" i="9"/>
  <c r="I41" i="9"/>
  <c r="M8" i="9"/>
  <c r="I8" i="9"/>
  <c r="J8" i="9"/>
  <c r="L8" i="9"/>
  <c r="I9" i="9"/>
  <c r="M9" i="9"/>
  <c r="K9" i="9"/>
  <c r="J9" i="9"/>
  <c r="L9" i="9"/>
  <c r="E39" i="7"/>
  <c r="E40" i="7"/>
  <c r="E41" i="7"/>
  <c r="E71" i="7"/>
  <c r="E72" i="7"/>
  <c r="E8" i="7"/>
  <c r="E7" i="7"/>
  <c r="E102" i="7"/>
  <c r="E39" i="6"/>
  <c r="E70" i="6"/>
  <c r="E103" i="6"/>
  <c r="E101" i="6"/>
  <c r="E7" i="6"/>
  <c r="I44" i="9" l="1"/>
  <c r="K44" i="9"/>
  <c r="M44" i="9"/>
  <c r="J44" i="9"/>
  <c r="AA103" i="5" l="1"/>
  <c r="Y103" i="5"/>
  <c r="AA102" i="5"/>
  <c r="Y102" i="5"/>
  <c r="AA101" i="5"/>
  <c r="Y101" i="5"/>
  <c r="X99" i="5"/>
  <c r="W103" i="5"/>
  <c r="W104" i="5" s="1"/>
  <c r="W105" i="5" s="1"/>
  <c r="W106" i="5" s="1"/>
  <c r="W99" i="5"/>
  <c r="X68" i="5"/>
  <c r="AA72" i="5"/>
  <c r="Y72" i="5"/>
  <c r="AA71" i="5"/>
  <c r="Z71" i="5"/>
  <c r="Y71" i="5"/>
  <c r="AA70" i="5"/>
  <c r="Y70" i="5"/>
  <c r="W72" i="5"/>
  <c r="W73" i="5" s="1"/>
  <c r="W74" i="5" s="1"/>
  <c r="W75" i="5" s="1"/>
  <c r="AB71" i="5"/>
  <c r="AC71" i="5" s="1"/>
  <c r="W68" i="5"/>
  <c r="AA41" i="5"/>
  <c r="Z41" i="5"/>
  <c r="Y41" i="5"/>
  <c r="AA40" i="5"/>
  <c r="Z40" i="5"/>
  <c r="Y40" i="5"/>
  <c r="AA39" i="5"/>
  <c r="Y39" i="5"/>
  <c r="X37" i="5"/>
  <c r="W41" i="5"/>
  <c r="W42" i="5" s="1"/>
  <c r="W43" i="5" s="1"/>
  <c r="W44" i="5" s="1"/>
  <c r="AB40" i="5"/>
  <c r="AC40" i="5" s="1"/>
  <c r="W37" i="5"/>
  <c r="X4" i="5"/>
  <c r="W4" i="5"/>
  <c r="AR68" i="5"/>
  <c r="AQ68" i="5"/>
  <c r="AP68" i="5"/>
  <c r="AO68" i="5"/>
  <c r="AN68" i="5"/>
  <c r="AM68" i="5"/>
  <c r="AL68" i="5"/>
  <c r="AK68" i="5"/>
  <c r="AR67" i="5"/>
  <c r="AQ67" i="5"/>
  <c r="AP67" i="5"/>
  <c r="AO67" i="5"/>
  <c r="AN67" i="5"/>
  <c r="AM67" i="5"/>
  <c r="AL67" i="5"/>
  <c r="AK67" i="5"/>
  <c r="AR66" i="5"/>
  <c r="AQ66" i="5"/>
  <c r="AP66" i="5"/>
  <c r="AO66" i="5"/>
  <c r="AN66" i="5"/>
  <c r="AM66" i="5"/>
  <c r="AL66" i="5"/>
  <c r="AK66" i="5"/>
  <c r="AJ64" i="5"/>
  <c r="AJ68" i="5"/>
  <c r="AJ67" i="5"/>
  <c r="AJ66" i="5"/>
  <c r="AR65" i="5"/>
  <c r="AQ65" i="5"/>
  <c r="AP65" i="5"/>
  <c r="AO65" i="5"/>
  <c r="AN65" i="5"/>
  <c r="AM65" i="5"/>
  <c r="AL65" i="5"/>
  <c r="AK65" i="5"/>
  <c r="AJ32" i="5"/>
  <c r="AR36" i="5"/>
  <c r="AQ36" i="5"/>
  <c r="AP36" i="5"/>
  <c r="AO36" i="5"/>
  <c r="AN36" i="5"/>
  <c r="AM36" i="5"/>
  <c r="AL36" i="5"/>
  <c r="AK36" i="5"/>
  <c r="AR35" i="5"/>
  <c r="AQ35" i="5"/>
  <c r="AP35" i="5"/>
  <c r="AO35" i="5"/>
  <c r="AN35" i="5"/>
  <c r="AM35" i="5"/>
  <c r="AL35" i="5"/>
  <c r="AK35" i="5"/>
  <c r="AR34" i="5"/>
  <c r="AQ34" i="5"/>
  <c r="AP34" i="5"/>
  <c r="AO34" i="5"/>
  <c r="AN34" i="5"/>
  <c r="AM34" i="5"/>
  <c r="AL34" i="5"/>
  <c r="AK34" i="5"/>
  <c r="AR33" i="5"/>
  <c r="AQ33" i="5"/>
  <c r="AP33" i="5"/>
  <c r="AO33" i="5"/>
  <c r="AN33" i="5"/>
  <c r="AM33" i="5"/>
  <c r="AL33" i="5"/>
  <c r="AK33" i="5"/>
  <c r="AR4" i="5"/>
  <c r="AQ4" i="5"/>
  <c r="AP4" i="5"/>
  <c r="AO4" i="5"/>
  <c r="AN4" i="5"/>
  <c r="AM4" i="5"/>
  <c r="AL4" i="5"/>
  <c r="AK4" i="5"/>
  <c r="AJ36" i="5"/>
  <c r="AJ35" i="5"/>
  <c r="AJ34" i="5"/>
  <c r="AJ3" i="5"/>
  <c r="AJ7" i="5"/>
  <c r="AJ6" i="5"/>
  <c r="AJ5" i="5"/>
  <c r="AR7" i="5"/>
  <c r="AR6" i="5"/>
  <c r="AR5" i="5"/>
  <c r="AQ7" i="5"/>
  <c r="AQ6" i="5"/>
  <c r="AQ5" i="5"/>
  <c r="AP7" i="5"/>
  <c r="AP6" i="5"/>
  <c r="AP5" i="5"/>
  <c r="AO7" i="5"/>
  <c r="AO6" i="5"/>
  <c r="AO5" i="5"/>
  <c r="AN7" i="5"/>
  <c r="AN6" i="5"/>
  <c r="AN5" i="5"/>
  <c r="AM7" i="5"/>
  <c r="AM6" i="5"/>
  <c r="AM5" i="5"/>
  <c r="AL7" i="5"/>
  <c r="AL6" i="5"/>
  <c r="AL5" i="5"/>
  <c r="AK7" i="5"/>
  <c r="AK6" i="5"/>
  <c r="AK5" i="5"/>
  <c r="W8" i="5"/>
  <c r="W9" i="5" s="1"/>
  <c r="W10" i="5" s="1"/>
  <c r="W11" i="5" s="1"/>
  <c r="AA8" i="5"/>
  <c r="Z8" i="5"/>
  <c r="Y8" i="5"/>
  <c r="AA7" i="5"/>
  <c r="Z7" i="5"/>
  <c r="Y7" i="5"/>
  <c r="AA6" i="5"/>
  <c r="Z6" i="5"/>
  <c r="Y6" i="5"/>
  <c r="AW42" i="4"/>
  <c r="AV42" i="4"/>
  <c r="AT42" i="4"/>
  <c r="AU42" i="4"/>
  <c r="AS43" i="4"/>
  <c r="AS45" i="4"/>
  <c r="AS44" i="4"/>
  <c r="AT45" i="4"/>
  <c r="AT44" i="4"/>
  <c r="AT43" i="4"/>
  <c r="EF5" i="2"/>
  <c r="ED5" i="2"/>
  <c r="EB13" i="2"/>
  <c r="EA13" i="2"/>
  <c r="DZ13" i="2"/>
  <c r="AT19" i="4"/>
  <c r="AT20" i="4"/>
  <c r="AT21" i="4"/>
  <c r="AV19" i="4"/>
  <c r="AV20" i="4"/>
  <c r="AV21" i="4"/>
  <c r="AR20" i="4"/>
  <c r="AR21" i="4" s="1"/>
  <c r="AR22" i="4" s="1"/>
  <c r="AR23" i="4" s="1"/>
  <c r="CT5" i="2" a="1"/>
  <c r="DV5" i="2" s="1"/>
  <c r="BD11" i="4"/>
  <c r="BC11" i="4"/>
  <c r="BD10" i="4"/>
  <c r="BC10" i="4"/>
  <c r="BD9" i="4"/>
  <c r="BC9" i="4"/>
  <c r="BD8" i="4"/>
  <c r="BC8" i="4"/>
  <c r="BD7" i="4"/>
  <c r="BC7" i="4"/>
  <c r="BD6" i="4"/>
  <c r="BC6" i="4"/>
  <c r="BD5" i="4"/>
  <c r="BC5" i="4"/>
  <c r="BD4" i="4"/>
  <c r="BC4" i="4"/>
  <c r="BB11" i="4"/>
  <c r="BB10" i="4"/>
  <c r="BB9" i="4"/>
  <c r="BB8" i="4"/>
  <c r="BB7" i="4"/>
  <c r="BB6" i="4"/>
  <c r="BB5" i="4"/>
  <c r="BB4" i="4"/>
  <c r="DX12" i="2"/>
  <c r="DW12" i="2"/>
  <c r="DX11" i="2"/>
  <c r="DW11" i="2"/>
  <c r="DX10" i="2"/>
  <c r="DW10" i="2"/>
  <c r="DX9" i="2"/>
  <c r="DW9" i="2"/>
  <c r="DX8" i="2"/>
  <c r="DW8" i="2"/>
  <c r="DX7" i="2"/>
  <c r="DW7" i="2"/>
  <c r="DX6" i="2"/>
  <c r="DW6" i="2"/>
  <c r="DX5" i="2"/>
  <c r="DW5" i="2"/>
  <c r="BF5" i="2" a="1"/>
  <c r="DV12" i="2"/>
  <c r="DV11" i="2"/>
  <c r="DV10" i="2"/>
  <c r="DV9" i="2"/>
  <c r="DV8" i="2"/>
  <c r="DV7" i="2"/>
  <c r="DV6" i="2"/>
  <c r="DT12" i="2" a="1"/>
  <c r="DS12" i="2" a="1"/>
  <c r="DR12" i="2" a="1"/>
  <c r="DQ12" i="2" a="1"/>
  <c r="DP12" i="2" a="1"/>
  <c r="DO12" i="2" a="1"/>
  <c r="DN12" i="2" a="1"/>
  <c r="DM12" i="2" a="1"/>
  <c r="DL12" i="2" a="1"/>
  <c r="DK12" i="2" a="1"/>
  <c r="DJ12" i="2" a="1"/>
  <c r="DI12" i="2" a="1"/>
  <c r="DH12" i="2" a="1"/>
  <c r="DG12" i="2" a="1"/>
  <c r="DF12" i="2" a="1"/>
  <c r="DE12" i="2" a="1"/>
  <c r="DD12" i="2" a="1"/>
  <c r="DC12" i="2" a="1"/>
  <c r="DB12" i="2" a="1"/>
  <c r="DA12" i="2" a="1"/>
  <c r="CZ12" i="2" a="1"/>
  <c r="CY12" i="2" a="1"/>
  <c r="CX12" i="2" a="1"/>
  <c r="CW12" i="2" a="1"/>
  <c r="CV12" i="2" a="1"/>
  <c r="CU12" i="2" a="1"/>
  <c r="CT12" i="2" a="1"/>
  <c r="CS12" i="2" a="1"/>
  <c r="CR12" i="2" a="1"/>
  <c r="CQ12" i="2" a="1"/>
  <c r="CP12" i="2" a="1"/>
  <c r="CO12" i="2" a="1"/>
  <c r="CN12" i="2" a="1"/>
  <c r="CM12" i="2" a="1"/>
  <c r="CL12" i="2" a="1"/>
  <c r="CK12" i="2" a="1"/>
  <c r="CJ12" i="2" a="1"/>
  <c r="CI12" i="2" a="1"/>
  <c r="CH12" i="2" a="1"/>
  <c r="DT11" i="2" a="1"/>
  <c r="DS11" i="2" a="1"/>
  <c r="DR11" i="2" a="1"/>
  <c r="DQ11" i="2" a="1"/>
  <c r="DP11" i="2" a="1"/>
  <c r="DO11" i="2" a="1"/>
  <c r="DN11" i="2" a="1"/>
  <c r="DM11" i="2" a="1"/>
  <c r="DL11" i="2" a="1"/>
  <c r="DK11" i="2" a="1"/>
  <c r="DJ11" i="2" a="1"/>
  <c r="DI11" i="2" a="1"/>
  <c r="DH11" i="2" a="1"/>
  <c r="DG11" i="2" a="1"/>
  <c r="DF11" i="2" a="1"/>
  <c r="DE11" i="2" a="1"/>
  <c r="DD11" i="2" a="1"/>
  <c r="DC11" i="2" a="1"/>
  <c r="DB11" i="2" a="1"/>
  <c r="DA11" i="2" a="1"/>
  <c r="CZ11" i="2" a="1"/>
  <c r="CY11" i="2" a="1"/>
  <c r="CX11" i="2" a="1"/>
  <c r="CW11" i="2" a="1"/>
  <c r="CV11" i="2" a="1"/>
  <c r="CU11" i="2" a="1"/>
  <c r="CT11" i="2" a="1"/>
  <c r="CS11" i="2" a="1"/>
  <c r="CR11" i="2" a="1"/>
  <c r="CQ11" i="2" a="1"/>
  <c r="CP11" i="2" a="1"/>
  <c r="CO11" i="2" a="1"/>
  <c r="CN11" i="2" a="1"/>
  <c r="CM11" i="2" a="1"/>
  <c r="CL11" i="2" a="1"/>
  <c r="CK11" i="2" a="1"/>
  <c r="CJ11" i="2" a="1"/>
  <c r="CI11" i="2" a="1"/>
  <c r="CH11" i="2" a="1"/>
  <c r="DT10" i="2" a="1"/>
  <c r="DS10" i="2" a="1"/>
  <c r="DR10" i="2" a="1"/>
  <c r="DQ10" i="2" a="1"/>
  <c r="DP10" i="2" a="1"/>
  <c r="DO10" i="2" a="1"/>
  <c r="DN10" i="2" a="1"/>
  <c r="DM10" i="2" a="1"/>
  <c r="DL10" i="2" a="1"/>
  <c r="DK10" i="2" a="1"/>
  <c r="DJ10" i="2" a="1"/>
  <c r="DI10" i="2" a="1"/>
  <c r="DH10" i="2" a="1"/>
  <c r="DG10" i="2" a="1"/>
  <c r="DF10" i="2" a="1"/>
  <c r="DE10" i="2" a="1"/>
  <c r="DD10" i="2" a="1"/>
  <c r="DC10" i="2" a="1"/>
  <c r="DB10" i="2" a="1"/>
  <c r="DA10" i="2" a="1"/>
  <c r="CZ10" i="2" a="1"/>
  <c r="CY10" i="2" a="1"/>
  <c r="CX10" i="2" a="1"/>
  <c r="CW10" i="2" a="1"/>
  <c r="CV10" i="2" a="1"/>
  <c r="CU10" i="2" a="1"/>
  <c r="CT10" i="2" a="1"/>
  <c r="CS10" i="2" a="1"/>
  <c r="CR10" i="2" a="1"/>
  <c r="CQ10" i="2" a="1"/>
  <c r="CP10" i="2" a="1"/>
  <c r="CO10" i="2" a="1"/>
  <c r="CN10" i="2" a="1"/>
  <c r="CM10" i="2" a="1"/>
  <c r="CL10" i="2" a="1"/>
  <c r="CK10" i="2" a="1"/>
  <c r="CJ10" i="2" a="1"/>
  <c r="CI10" i="2" a="1"/>
  <c r="CH10" i="2" a="1"/>
  <c r="DT9" i="2" a="1"/>
  <c r="DS9" i="2" a="1"/>
  <c r="DR9" i="2" a="1"/>
  <c r="DQ9" i="2" a="1"/>
  <c r="DP9" i="2" a="1"/>
  <c r="DO9" i="2" a="1"/>
  <c r="DN9" i="2" a="1"/>
  <c r="DM9" i="2" a="1"/>
  <c r="DL9" i="2" a="1"/>
  <c r="DK9" i="2" a="1"/>
  <c r="DJ9" i="2" a="1"/>
  <c r="DI9" i="2" a="1"/>
  <c r="DH9" i="2" a="1"/>
  <c r="DG9" i="2" a="1"/>
  <c r="DF9" i="2" a="1"/>
  <c r="DE9" i="2" a="1"/>
  <c r="DD9" i="2" a="1"/>
  <c r="DC9" i="2" a="1"/>
  <c r="DB9" i="2" a="1"/>
  <c r="DA9" i="2" a="1"/>
  <c r="CZ9" i="2" a="1"/>
  <c r="CY9" i="2" a="1"/>
  <c r="CX9" i="2" a="1"/>
  <c r="CW9" i="2" a="1"/>
  <c r="CV9" i="2" a="1"/>
  <c r="CU9" i="2" a="1"/>
  <c r="CT9" i="2" a="1"/>
  <c r="CS9" i="2" a="1"/>
  <c r="CR9" i="2" a="1"/>
  <c r="CQ9" i="2" a="1"/>
  <c r="CP9" i="2" a="1"/>
  <c r="CO9" i="2" a="1"/>
  <c r="CN9" i="2" a="1"/>
  <c r="CM9" i="2" a="1"/>
  <c r="CL9" i="2" a="1"/>
  <c r="CK9" i="2" a="1"/>
  <c r="CJ9" i="2" a="1"/>
  <c r="CI9" i="2" a="1"/>
  <c r="CH9" i="2" a="1"/>
  <c r="DT8" i="2" a="1"/>
  <c r="DS8" i="2" a="1"/>
  <c r="DR8" i="2" a="1"/>
  <c r="DQ8" i="2" a="1"/>
  <c r="DP8" i="2" a="1"/>
  <c r="DO8" i="2" a="1"/>
  <c r="DN8" i="2" a="1"/>
  <c r="DM8" i="2" a="1"/>
  <c r="DL8" i="2" a="1"/>
  <c r="DK8" i="2" a="1"/>
  <c r="DJ8" i="2" a="1"/>
  <c r="DI8" i="2" a="1"/>
  <c r="DH8" i="2" a="1"/>
  <c r="DG8" i="2" a="1"/>
  <c r="DF8" i="2" a="1"/>
  <c r="DE8" i="2" a="1"/>
  <c r="DD8" i="2" a="1"/>
  <c r="DC8" i="2" a="1"/>
  <c r="DB8" i="2" a="1"/>
  <c r="DA8" i="2" a="1"/>
  <c r="CZ8" i="2" a="1"/>
  <c r="CY8" i="2" a="1"/>
  <c r="CX8" i="2" a="1"/>
  <c r="CW8" i="2" a="1"/>
  <c r="CV8" i="2" a="1"/>
  <c r="CU8" i="2" a="1"/>
  <c r="CT8" i="2" a="1"/>
  <c r="CS8" i="2" a="1"/>
  <c r="CR8" i="2" a="1"/>
  <c r="CQ8" i="2" a="1"/>
  <c r="CP8" i="2" a="1"/>
  <c r="CO8" i="2" a="1"/>
  <c r="CN8" i="2" a="1"/>
  <c r="CM8" i="2" a="1"/>
  <c r="CL8" i="2" a="1"/>
  <c r="CK8" i="2" a="1"/>
  <c r="CJ8" i="2" a="1"/>
  <c r="CI8" i="2" a="1"/>
  <c r="CH8" i="2" a="1"/>
  <c r="DT7" i="2" a="1"/>
  <c r="DS7" i="2" a="1"/>
  <c r="DR7" i="2" a="1"/>
  <c r="DQ7" i="2" a="1"/>
  <c r="DP7" i="2" a="1"/>
  <c r="DO7" i="2" a="1"/>
  <c r="DN7" i="2" a="1"/>
  <c r="DM7" i="2" a="1"/>
  <c r="DL7" i="2" a="1"/>
  <c r="DK7" i="2" a="1"/>
  <c r="DJ7" i="2" a="1"/>
  <c r="DI7" i="2" a="1"/>
  <c r="DH7" i="2" a="1"/>
  <c r="DG7" i="2" a="1"/>
  <c r="DF7" i="2" a="1"/>
  <c r="DE7" i="2" a="1"/>
  <c r="DD7" i="2" a="1"/>
  <c r="DC7" i="2" a="1"/>
  <c r="DB7" i="2" a="1"/>
  <c r="DA7" i="2" a="1"/>
  <c r="CZ7" i="2" a="1"/>
  <c r="CY7" i="2" a="1"/>
  <c r="CX7" i="2" a="1"/>
  <c r="CW7" i="2" a="1"/>
  <c r="CV7" i="2" a="1"/>
  <c r="CU7" i="2" a="1"/>
  <c r="CT7" i="2" a="1"/>
  <c r="CS7" i="2" a="1"/>
  <c r="CR7" i="2" a="1"/>
  <c r="CQ7" i="2" a="1"/>
  <c r="CP7" i="2" a="1"/>
  <c r="CO7" i="2" a="1"/>
  <c r="CN7" i="2" a="1"/>
  <c r="CM7" i="2" a="1"/>
  <c r="CL7" i="2" a="1"/>
  <c r="CK7" i="2" a="1"/>
  <c r="CJ7" i="2" a="1"/>
  <c r="CI7" i="2" a="1"/>
  <c r="CH7" i="2" a="1"/>
  <c r="DT6" i="2" a="1"/>
  <c r="DS6" i="2" a="1"/>
  <c r="DR6" i="2" a="1"/>
  <c r="DQ6" i="2" a="1"/>
  <c r="DP6" i="2" a="1"/>
  <c r="DO6" i="2" a="1"/>
  <c r="DN6" i="2" a="1"/>
  <c r="DM6" i="2" a="1"/>
  <c r="DL6" i="2" a="1"/>
  <c r="DK6" i="2" a="1"/>
  <c r="DJ6" i="2" a="1"/>
  <c r="DI6" i="2" a="1"/>
  <c r="DH6" i="2" a="1"/>
  <c r="DG6" i="2" a="1"/>
  <c r="DF6" i="2" a="1"/>
  <c r="DE6" i="2" a="1"/>
  <c r="DD6" i="2" a="1"/>
  <c r="DC6" i="2" a="1"/>
  <c r="DB6" i="2" a="1"/>
  <c r="DA6" i="2" a="1"/>
  <c r="CZ6" i="2" a="1"/>
  <c r="CY6" i="2" a="1"/>
  <c r="CX6" i="2" a="1"/>
  <c r="CW6" i="2" a="1"/>
  <c r="CV6" i="2" a="1"/>
  <c r="CU6" i="2" a="1"/>
  <c r="CT6" i="2" a="1"/>
  <c r="CS6" i="2" a="1"/>
  <c r="CR6" i="2" a="1"/>
  <c r="CQ6" i="2" a="1"/>
  <c r="CP6" i="2" a="1"/>
  <c r="CO6" i="2" a="1"/>
  <c r="CN6" i="2" a="1"/>
  <c r="CM6" i="2" a="1"/>
  <c r="CL6" i="2" a="1"/>
  <c r="CK6" i="2" a="1"/>
  <c r="CJ6" i="2" a="1"/>
  <c r="CI6" i="2" a="1"/>
  <c r="CH6" i="2" a="1"/>
  <c r="DT5" i="2" a="1"/>
  <c r="DS5" i="2" a="1"/>
  <c r="DR5" i="2" a="1"/>
  <c r="DQ5" i="2" a="1"/>
  <c r="DP5" i="2" a="1"/>
  <c r="DO5" i="2" a="1"/>
  <c r="DN5" i="2" a="1"/>
  <c r="DM5" i="2" a="1"/>
  <c r="DL5" i="2" a="1"/>
  <c r="DK5" i="2" a="1"/>
  <c r="DJ5" i="2" a="1"/>
  <c r="DI5" i="2" a="1"/>
  <c r="DH5" i="2" a="1"/>
  <c r="DG5" i="2" a="1"/>
  <c r="DF5" i="2" a="1"/>
  <c r="DE5" i="2" a="1"/>
  <c r="DD5" i="2" a="1"/>
  <c r="DC5" i="2" a="1"/>
  <c r="DB5" i="2" a="1"/>
  <c r="DA5" i="2" a="1"/>
  <c r="CZ5" i="2" a="1"/>
  <c r="CY5" i="2" a="1"/>
  <c r="CX5" i="2" a="1"/>
  <c r="CW5" i="2" a="1"/>
  <c r="CV5" i="2" a="1"/>
  <c r="CU5" i="2" a="1"/>
  <c r="CS5" i="2" a="1"/>
  <c r="CR5" i="2" a="1"/>
  <c r="CQ5" i="2" a="1"/>
  <c r="CP5" i="2" a="1"/>
  <c r="CO5" i="2" a="1"/>
  <c r="CN5" i="2" a="1"/>
  <c r="CM5" i="2" a="1"/>
  <c r="CL5" i="2" a="1"/>
  <c r="CK5" i="2" a="1"/>
  <c r="CJ5" i="2" a="1"/>
  <c r="CI5" i="2" a="1"/>
  <c r="CH5" i="2" a="1"/>
  <c r="AW19" i="4" l="1"/>
  <c r="AX19" i="4" s="1"/>
  <c r="AR36" i="6"/>
  <c r="AR36" i="7"/>
  <c r="AR36" i="8"/>
  <c r="AR35" i="6"/>
  <c r="AR35" i="8"/>
  <c r="AR35" i="7"/>
  <c r="Z166" i="8"/>
  <c r="AB166" i="8" s="1"/>
  <c r="AC166" i="8" s="1"/>
  <c r="AQ36" i="7"/>
  <c r="AQ36" i="6"/>
  <c r="AQ36" i="8"/>
  <c r="O166" i="8"/>
  <c r="AQ35" i="7"/>
  <c r="Z165" i="8"/>
  <c r="AB165" i="8" s="1"/>
  <c r="AC165" i="8" s="1"/>
  <c r="AQ35" i="6"/>
  <c r="O165" i="8"/>
  <c r="AQ35" i="8"/>
  <c r="AP36" i="6"/>
  <c r="AP36" i="7"/>
  <c r="AP36" i="8"/>
  <c r="AP35" i="6"/>
  <c r="AP35" i="7"/>
  <c r="AP35" i="8"/>
  <c r="AO36" i="8"/>
  <c r="AO36" i="6"/>
  <c r="AO36" i="7"/>
  <c r="AO35" i="6"/>
  <c r="AO35" i="8"/>
  <c r="AO35" i="7"/>
  <c r="AN36" i="7"/>
  <c r="Z103" i="5"/>
  <c r="AB103" i="5" s="1"/>
  <c r="AC103" i="5" s="1"/>
  <c r="O103" i="6"/>
  <c r="AN36" i="6"/>
  <c r="O103" i="8"/>
  <c r="Z103" i="8"/>
  <c r="AB103" i="8" s="1"/>
  <c r="AC103" i="8" s="1"/>
  <c r="Z103" i="7"/>
  <c r="AB103" i="7" s="1"/>
  <c r="AC103" i="7" s="1"/>
  <c r="AN36" i="8"/>
  <c r="Z103" i="6"/>
  <c r="AB103" i="6" s="1"/>
  <c r="AC103" i="6" s="1"/>
  <c r="O103" i="7"/>
  <c r="O134" i="8"/>
  <c r="Z134" i="8"/>
  <c r="AB134" i="8" s="1"/>
  <c r="AC134" i="8" s="1"/>
  <c r="O103" i="5"/>
  <c r="O102" i="7"/>
  <c r="Z102" i="6"/>
  <c r="AB102" i="6" s="1"/>
  <c r="AC102" i="6" s="1"/>
  <c r="O102" i="6"/>
  <c r="Z133" i="8"/>
  <c r="AB133" i="8" s="1"/>
  <c r="AC133" i="8" s="1"/>
  <c r="AN35" i="7"/>
  <c r="O102" i="5"/>
  <c r="O133" i="8"/>
  <c r="Z102" i="8"/>
  <c r="AB102" i="8" s="1"/>
  <c r="AC102" i="8" s="1"/>
  <c r="O102" i="8"/>
  <c r="AN35" i="8"/>
  <c r="AN35" i="6"/>
  <c r="Z102" i="5"/>
  <c r="AB102" i="5" s="1"/>
  <c r="AC102" i="5" s="1"/>
  <c r="Z102" i="7"/>
  <c r="AB102" i="7" s="1"/>
  <c r="AC102" i="7" s="1"/>
  <c r="Z72" i="5"/>
  <c r="AB72" i="5" s="1"/>
  <c r="AC72" i="5" s="1"/>
  <c r="O72" i="6"/>
  <c r="O72" i="5"/>
  <c r="Z72" i="6"/>
  <c r="AB72" i="6" s="1"/>
  <c r="AC72" i="6" s="1"/>
  <c r="Z72" i="7"/>
  <c r="AB72" i="7" s="1"/>
  <c r="AC72" i="7" s="1"/>
  <c r="O72" i="7"/>
  <c r="AM36" i="6"/>
  <c r="AM36" i="8"/>
  <c r="O72" i="8"/>
  <c r="Z72" i="8"/>
  <c r="AB72" i="8" s="1"/>
  <c r="AC72" i="8" s="1"/>
  <c r="AM36" i="7"/>
  <c r="O71" i="7"/>
  <c r="AM35" i="6"/>
  <c r="O71" i="5"/>
  <c r="Z71" i="6"/>
  <c r="AB71" i="6" s="1"/>
  <c r="AC71" i="6" s="1"/>
  <c r="AM35" i="7"/>
  <c r="AM35" i="8"/>
  <c r="O71" i="6"/>
  <c r="Z71" i="7"/>
  <c r="AB71" i="7" s="1"/>
  <c r="AC71" i="7" s="1"/>
  <c r="O71" i="8"/>
  <c r="Z71" i="8"/>
  <c r="AB71" i="8" s="1"/>
  <c r="AC71" i="8" s="1"/>
  <c r="Z41" i="7"/>
  <c r="AB41" i="7" s="1"/>
  <c r="AC41" i="7" s="1"/>
  <c r="AL36" i="6"/>
  <c r="Z41" i="8"/>
  <c r="AB41" i="8" s="1"/>
  <c r="AC41" i="8" s="1"/>
  <c r="AL36" i="8"/>
  <c r="O41" i="7"/>
  <c r="O41" i="6"/>
  <c r="Z41" i="6"/>
  <c r="AB41" i="6" s="1"/>
  <c r="AC41" i="6" s="1"/>
  <c r="O41" i="5"/>
  <c r="O41" i="8"/>
  <c r="AL36" i="7"/>
  <c r="Z40" i="6"/>
  <c r="AB40" i="6" s="1"/>
  <c r="AC40" i="6" s="1"/>
  <c r="O40" i="8"/>
  <c r="Z40" i="8"/>
  <c r="AB40" i="8" s="1"/>
  <c r="AC40" i="8" s="1"/>
  <c r="O40" i="5"/>
  <c r="AL35" i="6"/>
  <c r="AL35" i="7"/>
  <c r="Z40" i="7"/>
  <c r="AB40" i="7" s="1"/>
  <c r="AC40" i="7" s="1"/>
  <c r="AL35" i="8"/>
  <c r="O40" i="7"/>
  <c r="O40" i="6"/>
  <c r="AU21" i="4"/>
  <c r="AW21" i="4" s="1"/>
  <c r="AX21" i="4" s="1"/>
  <c r="AK36" i="7"/>
  <c r="Z8" i="8"/>
  <c r="AB8" i="8" s="1"/>
  <c r="AC8" i="8" s="1"/>
  <c r="O8" i="8"/>
  <c r="AK36" i="8"/>
  <c r="Z8" i="7"/>
  <c r="AB8" i="7" s="1"/>
  <c r="AC8" i="7" s="1"/>
  <c r="AK36" i="6"/>
  <c r="O8" i="7"/>
  <c r="O8" i="6"/>
  <c r="O8" i="5"/>
  <c r="Z8" i="6"/>
  <c r="AB8" i="6" s="1"/>
  <c r="AC8" i="6" s="1"/>
  <c r="AU20" i="4"/>
  <c r="AW20" i="4" s="1"/>
  <c r="AX20" i="4" s="1"/>
  <c r="Z7" i="7"/>
  <c r="AB7" i="7" s="1"/>
  <c r="AC7" i="7" s="1"/>
  <c r="AK35" i="6"/>
  <c r="O7" i="5"/>
  <c r="Z7" i="6"/>
  <c r="AB7" i="6" s="1"/>
  <c r="AC7" i="6" s="1"/>
  <c r="O7" i="6"/>
  <c r="O7" i="7"/>
  <c r="AK35" i="8"/>
  <c r="Z7" i="8"/>
  <c r="AB7" i="8" s="1"/>
  <c r="AC7" i="8" s="1"/>
  <c r="O7" i="8"/>
  <c r="AK35" i="7"/>
  <c r="AR34" i="8"/>
  <c r="AR34" i="7"/>
  <c r="AR34" i="6"/>
  <c r="AQ34" i="6"/>
  <c r="AQ34" i="8"/>
  <c r="AQ34" i="7"/>
  <c r="AP34" i="6"/>
  <c r="AP34" i="8"/>
  <c r="AP34" i="7"/>
  <c r="AO34" i="6"/>
  <c r="AO34" i="8"/>
  <c r="AO34" i="7"/>
  <c r="AN34" i="6"/>
  <c r="AN34" i="8"/>
  <c r="O101" i="6"/>
  <c r="Z101" i="6"/>
  <c r="AB101" i="6" s="1"/>
  <c r="AC101" i="6" s="1"/>
  <c r="Z101" i="8"/>
  <c r="AB101" i="8" s="1"/>
  <c r="AC101" i="8" s="1"/>
  <c r="O132" i="8"/>
  <c r="O101" i="5"/>
  <c r="AN34" i="7"/>
  <c r="Z132" i="8"/>
  <c r="AB132" i="8" s="1"/>
  <c r="AC132" i="8" s="1"/>
  <c r="O101" i="8"/>
  <c r="O101" i="7"/>
  <c r="Z101" i="5"/>
  <c r="AB101" i="5" s="1"/>
  <c r="AC101" i="5" s="1"/>
  <c r="Z101" i="7"/>
  <c r="AB101" i="7" s="1"/>
  <c r="AC101" i="7" s="1"/>
  <c r="AM34" i="6"/>
  <c r="Z70" i="5"/>
  <c r="AB70" i="5" s="1"/>
  <c r="AC70" i="5" s="1"/>
  <c r="Z70" i="7"/>
  <c r="AB70" i="7" s="1"/>
  <c r="AC70" i="7" s="1"/>
  <c r="O70" i="7"/>
  <c r="AM34" i="8"/>
  <c r="O70" i="8"/>
  <c r="O70" i="5"/>
  <c r="Z70" i="6"/>
  <c r="AB70" i="6" s="1"/>
  <c r="AC70" i="6" s="1"/>
  <c r="Z70" i="8"/>
  <c r="AB70" i="8" s="1"/>
  <c r="AC70" i="8" s="1"/>
  <c r="O70" i="6"/>
  <c r="AM34" i="7"/>
  <c r="AL34" i="6"/>
  <c r="Z39" i="5"/>
  <c r="AB39" i="5" s="1"/>
  <c r="AC39" i="5" s="1"/>
  <c r="AL34" i="7"/>
  <c r="Z39" i="6"/>
  <c r="AB39" i="6" s="1"/>
  <c r="AC39" i="6" s="1"/>
  <c r="Z39" i="7"/>
  <c r="AB39" i="7" s="1"/>
  <c r="AC39" i="7" s="1"/>
  <c r="O39" i="7"/>
  <c r="O39" i="5"/>
  <c r="O39" i="8"/>
  <c r="Z39" i="8"/>
  <c r="AB39" i="8" s="1"/>
  <c r="AC39" i="8" s="1"/>
  <c r="O39" i="6"/>
  <c r="AL34" i="8"/>
  <c r="AU19" i="4"/>
  <c r="AK34" i="6"/>
  <c r="Z6" i="6"/>
  <c r="AB6" i="6" s="1"/>
  <c r="AC6" i="6" s="1"/>
  <c r="O6" i="7"/>
  <c r="O6" i="8"/>
  <c r="Z6" i="8"/>
  <c r="AB6" i="8" s="1"/>
  <c r="AC6" i="8" s="1"/>
  <c r="AK34" i="8"/>
  <c r="O6" i="5"/>
  <c r="Z6" i="7"/>
  <c r="AB6" i="7" s="1"/>
  <c r="AC6" i="7" s="1"/>
  <c r="O6" i="6"/>
  <c r="AK34" i="7"/>
  <c r="AB41" i="5"/>
  <c r="AC41" i="5" s="1"/>
  <c r="AB7" i="5"/>
  <c r="AC7" i="5" s="1"/>
  <c r="AB8" i="5"/>
  <c r="AC8" i="5" s="1"/>
  <c r="AB6" i="5"/>
  <c r="AC6" i="5" s="1"/>
  <c r="CF12" i="2" a="1"/>
  <c r="EF12" i="2" s="1"/>
  <c r="CE12" i="2" a="1"/>
  <c r="CD12" i="2" a="1"/>
  <c r="CC12" i="2" a="1"/>
  <c r="CB12" i="2" a="1"/>
  <c r="CA12" i="2" a="1"/>
  <c r="BZ12" i="2" a="1"/>
  <c r="BY12" i="2" a="1"/>
  <c r="BX12" i="2" a="1"/>
  <c r="CF11" i="2" a="1"/>
  <c r="EF11" i="2" s="1"/>
  <c r="CE11" i="2" a="1"/>
  <c r="CD11" i="2" a="1"/>
  <c r="CC11" i="2" a="1"/>
  <c r="CB11" i="2" a="1"/>
  <c r="CA11" i="2" a="1"/>
  <c r="BZ11" i="2" a="1"/>
  <c r="BY11" i="2" a="1"/>
  <c r="BX11" i="2" a="1"/>
  <c r="CF10" i="2" a="1"/>
  <c r="EF10" i="2" s="1"/>
  <c r="CE10" i="2" a="1"/>
  <c r="CD10" i="2" a="1"/>
  <c r="CC10" i="2" a="1"/>
  <c r="CB10" i="2" a="1"/>
  <c r="CA10" i="2" a="1"/>
  <c r="BZ10" i="2" a="1"/>
  <c r="BY10" i="2" a="1"/>
  <c r="BX10" i="2" a="1"/>
  <c r="CF9" i="2" a="1"/>
  <c r="EF9" i="2" s="1"/>
  <c r="CE9" i="2" a="1"/>
  <c r="CD9" i="2" a="1"/>
  <c r="CC9" i="2" a="1"/>
  <c r="CB9" i="2" a="1"/>
  <c r="CA9" i="2" a="1"/>
  <c r="BZ9" i="2" a="1"/>
  <c r="BY9" i="2" a="1"/>
  <c r="BX9" i="2" a="1"/>
  <c r="CF8" i="2" a="1"/>
  <c r="EF8" i="2" s="1"/>
  <c r="CE8" i="2" a="1"/>
  <c r="CD8" i="2" a="1"/>
  <c r="CC8" i="2" a="1"/>
  <c r="CB8" i="2" a="1"/>
  <c r="CA8" i="2" a="1"/>
  <c r="BZ8" i="2" a="1"/>
  <c r="BY8" i="2" a="1"/>
  <c r="BX8" i="2" a="1"/>
  <c r="CF7" i="2" a="1"/>
  <c r="EF7" i="2" s="1"/>
  <c r="CE7" i="2" a="1"/>
  <c r="CD7" i="2" a="1"/>
  <c r="CC7" i="2" a="1"/>
  <c r="CB7" i="2" a="1"/>
  <c r="CA7" i="2" a="1"/>
  <c r="BZ7" i="2" a="1"/>
  <c r="BY7" i="2" a="1"/>
  <c r="BX7" i="2" a="1"/>
  <c r="CF6" i="2" a="1"/>
  <c r="EF6" i="2" s="1"/>
  <c r="CE6" i="2" a="1"/>
  <c r="CD6" i="2" a="1"/>
  <c r="CC6" i="2" a="1"/>
  <c r="CB6" i="2" a="1"/>
  <c r="CA6" i="2" a="1"/>
  <c r="BZ6" i="2" a="1"/>
  <c r="BY6" i="2" a="1"/>
  <c r="BX6" i="2" a="1"/>
  <c r="CF5" i="2" a="1"/>
  <c r="CE5" i="2" a="1"/>
  <c r="CD5" i="2" a="1"/>
  <c r="CC5" i="2" a="1"/>
  <c r="CB5" i="2" a="1"/>
  <c r="CA5" i="2" a="1"/>
  <c r="BZ5" i="2" a="1"/>
  <c r="BY5" i="2" a="1"/>
  <c r="BX5" i="2" a="1"/>
  <c r="BW12" i="2" a="1"/>
  <c r="BV12" i="2" a="1"/>
  <c r="BU12" i="2" a="1"/>
  <c r="BT12" i="2" a="1"/>
  <c r="BW11" i="2" a="1"/>
  <c r="BV11" i="2" a="1"/>
  <c r="BU11" i="2" a="1"/>
  <c r="BT11" i="2" a="1"/>
  <c r="BW10" i="2" a="1"/>
  <c r="BV10" i="2" a="1"/>
  <c r="BU10" i="2" a="1"/>
  <c r="BT10" i="2" a="1"/>
  <c r="BW9" i="2" a="1"/>
  <c r="BV9" i="2" a="1"/>
  <c r="BU9" i="2" a="1"/>
  <c r="BT9" i="2" a="1"/>
  <c r="BW8" i="2" a="1"/>
  <c r="BV8" i="2" a="1"/>
  <c r="BU8" i="2" a="1"/>
  <c r="BT8" i="2" a="1"/>
  <c r="BW7" i="2" a="1"/>
  <c r="BV7" i="2" a="1"/>
  <c r="BU7" i="2" a="1"/>
  <c r="BT7" i="2" a="1"/>
  <c r="BW6" i="2" a="1"/>
  <c r="BV6" i="2" a="1"/>
  <c r="BU6" i="2" a="1"/>
  <c r="BT6" i="2" a="1"/>
  <c r="BW5" i="2" a="1"/>
  <c r="BV5" i="2" a="1"/>
  <c r="BU5" i="2" a="1"/>
  <c r="BT5" i="2" a="1"/>
  <c r="BS12" i="2" a="1"/>
  <c r="EE12" i="2" s="1"/>
  <c r="BR12" i="2" a="1"/>
  <c r="BQ12" i="2" a="1"/>
  <c r="BP12" i="2" a="1"/>
  <c r="BO12" i="2" a="1"/>
  <c r="BN12" i="2" a="1"/>
  <c r="BM12" i="2" a="1"/>
  <c r="BL12" i="2" a="1"/>
  <c r="BK12" i="2" a="1"/>
  <c r="BJ12" i="2" a="1"/>
  <c r="BI12" i="2" a="1"/>
  <c r="BH12" i="2" a="1"/>
  <c r="BG12" i="2" a="1"/>
  <c r="BS11" i="2" a="1"/>
  <c r="EE11" i="2" s="1"/>
  <c r="BR11" i="2" a="1"/>
  <c r="BQ11" i="2" a="1"/>
  <c r="BP11" i="2" a="1"/>
  <c r="BO11" i="2" a="1"/>
  <c r="BN11" i="2" a="1"/>
  <c r="BM11" i="2" a="1"/>
  <c r="BL11" i="2" a="1"/>
  <c r="BK11" i="2" a="1"/>
  <c r="BJ11" i="2" a="1"/>
  <c r="BI11" i="2" a="1"/>
  <c r="BH11" i="2" a="1"/>
  <c r="BG11" i="2" a="1"/>
  <c r="BS10" i="2" a="1"/>
  <c r="EE10" i="2" s="1"/>
  <c r="BR10" i="2" a="1"/>
  <c r="BQ10" i="2" a="1"/>
  <c r="BP10" i="2" a="1"/>
  <c r="BO10" i="2" a="1"/>
  <c r="BN10" i="2" a="1"/>
  <c r="BM10" i="2" a="1"/>
  <c r="BL10" i="2" a="1"/>
  <c r="BK10" i="2" a="1"/>
  <c r="BJ10" i="2" a="1"/>
  <c r="BI10" i="2" a="1"/>
  <c r="BH10" i="2" a="1"/>
  <c r="BG10" i="2" a="1"/>
  <c r="BS9" i="2" a="1"/>
  <c r="EE9" i="2" s="1"/>
  <c r="BR9" i="2" a="1"/>
  <c r="BQ9" i="2" a="1"/>
  <c r="BP9" i="2" a="1"/>
  <c r="BO9" i="2" a="1"/>
  <c r="BN9" i="2" a="1"/>
  <c r="BM9" i="2" a="1"/>
  <c r="BL9" i="2" a="1"/>
  <c r="BK9" i="2" a="1"/>
  <c r="BJ9" i="2" a="1"/>
  <c r="BI9" i="2" a="1"/>
  <c r="BH9" i="2" a="1"/>
  <c r="BG9" i="2" a="1"/>
  <c r="BS8" i="2" a="1"/>
  <c r="EE8" i="2" s="1"/>
  <c r="BR8" i="2" a="1"/>
  <c r="BQ8" i="2" a="1"/>
  <c r="BP8" i="2" a="1"/>
  <c r="BO8" i="2" a="1"/>
  <c r="BN8" i="2" a="1"/>
  <c r="BM8" i="2" a="1"/>
  <c r="BL8" i="2" a="1"/>
  <c r="BK8" i="2" a="1"/>
  <c r="BJ8" i="2" a="1"/>
  <c r="BI8" i="2" a="1"/>
  <c r="BH8" i="2" a="1"/>
  <c r="BG8" i="2" a="1"/>
  <c r="BS7" i="2" a="1"/>
  <c r="EE7" i="2" s="1"/>
  <c r="BR7" i="2" a="1"/>
  <c r="BQ7" i="2" a="1"/>
  <c r="BP7" i="2" a="1"/>
  <c r="BO7" i="2" a="1"/>
  <c r="BN7" i="2" a="1"/>
  <c r="BM7" i="2" a="1"/>
  <c r="BL7" i="2" a="1"/>
  <c r="BK7" i="2" a="1"/>
  <c r="BJ7" i="2" a="1"/>
  <c r="BI7" i="2" a="1"/>
  <c r="BH7" i="2" a="1"/>
  <c r="BG7" i="2" a="1"/>
  <c r="BS6" i="2" a="1"/>
  <c r="EE6" i="2" s="1"/>
  <c r="BR6" i="2" a="1"/>
  <c r="BQ6" i="2" a="1"/>
  <c r="BP6" i="2" a="1"/>
  <c r="BO6" i="2" a="1"/>
  <c r="BN6" i="2" a="1"/>
  <c r="BM6" i="2" a="1"/>
  <c r="BL6" i="2" a="1"/>
  <c r="BK6" i="2" a="1"/>
  <c r="BJ6" i="2" a="1"/>
  <c r="BI6" i="2" a="1"/>
  <c r="BH6" i="2" a="1"/>
  <c r="BG6" i="2" a="1"/>
  <c r="BS5" i="2" a="1"/>
  <c r="EE5" i="2" s="1"/>
  <c r="BR5" i="2" a="1"/>
  <c r="BQ5" i="2" a="1"/>
  <c r="BP5" i="2" a="1"/>
  <c r="BO5" i="2" a="1"/>
  <c r="BN5" i="2" a="1"/>
  <c r="BM5" i="2" a="1"/>
  <c r="BL5" i="2" a="1"/>
  <c r="BK5" i="2" a="1"/>
  <c r="BJ5" i="2" a="1"/>
  <c r="BI5" i="2" a="1"/>
  <c r="BH5" i="2" a="1"/>
  <c r="BG5" i="2" a="1"/>
  <c r="BF12" i="2" a="1"/>
  <c r="ED12" i="2" s="1"/>
  <c r="BE12" i="2" a="1"/>
  <c r="BD12" i="2" a="1"/>
  <c r="BC12" i="2" a="1"/>
  <c r="BB12" i="2" a="1"/>
  <c r="BA12" i="2" a="1"/>
  <c r="AZ12" i="2" a="1"/>
  <c r="AY12" i="2" a="1"/>
  <c r="AX12" i="2" a="1"/>
  <c r="AW12" i="2" a="1"/>
  <c r="AV12" i="2" a="1"/>
  <c r="AU12" i="2" a="1"/>
  <c r="AT12" i="2" a="1"/>
  <c r="BF11" i="2" a="1"/>
  <c r="ED11" i="2" s="1"/>
  <c r="BE11" i="2" a="1"/>
  <c r="BD11" i="2" a="1"/>
  <c r="BC11" i="2" a="1"/>
  <c r="BB11" i="2" a="1"/>
  <c r="BA11" i="2" a="1"/>
  <c r="AZ11" i="2" a="1"/>
  <c r="AY11" i="2" a="1"/>
  <c r="AX11" i="2" a="1"/>
  <c r="AW11" i="2" a="1"/>
  <c r="AV11" i="2" a="1"/>
  <c r="AU11" i="2" a="1"/>
  <c r="AT11" i="2" a="1"/>
  <c r="BF10" i="2" a="1"/>
  <c r="ED10" i="2" s="1"/>
  <c r="BE10" i="2" a="1"/>
  <c r="BD10" i="2" a="1"/>
  <c r="BC10" i="2" a="1"/>
  <c r="BB10" i="2" a="1"/>
  <c r="BA10" i="2" a="1"/>
  <c r="AZ10" i="2" a="1"/>
  <c r="AY10" i="2" a="1"/>
  <c r="AX10" i="2" a="1"/>
  <c r="AW10" i="2" a="1"/>
  <c r="AV10" i="2" a="1"/>
  <c r="AU10" i="2" a="1"/>
  <c r="AT10" i="2" a="1"/>
  <c r="BF9" i="2" a="1"/>
  <c r="ED9" i="2" s="1"/>
  <c r="BE9" i="2" a="1"/>
  <c r="BD9" i="2" a="1"/>
  <c r="BC9" i="2" a="1"/>
  <c r="BB9" i="2" a="1"/>
  <c r="BA9" i="2" a="1"/>
  <c r="AZ9" i="2" a="1"/>
  <c r="AY9" i="2" a="1"/>
  <c r="AX9" i="2" a="1"/>
  <c r="AW9" i="2" a="1"/>
  <c r="AV9" i="2" a="1"/>
  <c r="AU9" i="2" a="1"/>
  <c r="AT9" i="2" a="1"/>
  <c r="BF8" i="2" a="1"/>
  <c r="ED8" i="2" s="1"/>
  <c r="BE8" i="2" a="1"/>
  <c r="BD8" i="2" a="1"/>
  <c r="BC8" i="2" a="1"/>
  <c r="BB8" i="2" a="1"/>
  <c r="BA8" i="2" a="1"/>
  <c r="AZ8" i="2" a="1"/>
  <c r="AY8" i="2" a="1"/>
  <c r="AX8" i="2" a="1"/>
  <c r="AW8" i="2" a="1"/>
  <c r="AV8" i="2" a="1"/>
  <c r="AU8" i="2" a="1"/>
  <c r="AT8" i="2" a="1"/>
  <c r="BF7" i="2" a="1"/>
  <c r="ED7" i="2" s="1"/>
  <c r="BE7" i="2" a="1"/>
  <c r="BD7" i="2" a="1"/>
  <c r="BC7" i="2" a="1"/>
  <c r="BB7" i="2" a="1"/>
  <c r="BA7" i="2" a="1"/>
  <c r="AZ7" i="2" a="1"/>
  <c r="AY7" i="2" a="1"/>
  <c r="AX7" i="2" a="1"/>
  <c r="AW7" i="2" a="1"/>
  <c r="AV7" i="2" a="1"/>
  <c r="AU7" i="2" a="1"/>
  <c r="AT7" i="2" a="1"/>
  <c r="BF6" i="2" a="1"/>
  <c r="ED6" i="2" s="1"/>
  <c r="BE6" i="2" a="1"/>
  <c r="BD6" i="2" a="1"/>
  <c r="BC6" i="2" a="1"/>
  <c r="BB6" i="2" a="1"/>
  <c r="BA6" i="2" a="1"/>
  <c r="AZ6" i="2" a="1"/>
  <c r="AY6" i="2" a="1"/>
  <c r="AX6" i="2" a="1"/>
  <c r="AW6" i="2" a="1"/>
  <c r="AV6" i="2" a="1"/>
  <c r="AU6" i="2" a="1"/>
  <c r="AT6" i="2" a="1"/>
  <c r="BE5" i="2" a="1"/>
  <c r="BD5" i="2" a="1"/>
  <c r="BC5" i="2" a="1"/>
  <c r="BB5" i="2" a="1"/>
  <c r="BA5" i="2" a="1"/>
  <c r="AZ5" i="2" a="1"/>
  <c r="AY5" i="2" a="1"/>
  <c r="AX5" i="2" a="1"/>
  <c r="AW5" i="2" a="1"/>
  <c r="AV5" i="2" a="1"/>
  <c r="AU5" i="2" a="1"/>
  <c r="AT5" i="2" a="1"/>
  <c r="AI12" i="2"/>
  <c r="AI11" i="2"/>
  <c r="AI10" i="2"/>
  <c r="AI9" i="2"/>
  <c r="AI8" i="2"/>
  <c r="AI7" i="2"/>
  <c r="AI6" i="2"/>
  <c r="AI5" i="2"/>
  <c r="AH12" i="2"/>
  <c r="AG12" i="2"/>
  <c r="AF12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AH5" i="2"/>
  <c r="AG5" i="2"/>
  <c r="AF5" i="2"/>
  <c r="AD12" i="2"/>
  <c r="AC12" i="2"/>
  <c r="AB12" i="2"/>
  <c r="AA12" i="2"/>
  <c r="Z12" i="2"/>
  <c r="Y12" i="2"/>
  <c r="X12" i="2"/>
  <c r="W12" i="2"/>
  <c r="V12" i="2"/>
  <c r="U12" i="2"/>
  <c r="T12" i="2"/>
  <c r="S12" i="2"/>
  <c r="AD11" i="2"/>
  <c r="AC11" i="2"/>
  <c r="AB11" i="2"/>
  <c r="AA11" i="2"/>
  <c r="Z11" i="2"/>
  <c r="Y11" i="2"/>
  <c r="X11" i="2"/>
  <c r="W11" i="2"/>
  <c r="V11" i="2"/>
  <c r="U11" i="2"/>
  <c r="T11" i="2"/>
  <c r="S11" i="2"/>
  <c r="AD10" i="2"/>
  <c r="AC10" i="2"/>
  <c r="AB10" i="2"/>
  <c r="AA10" i="2"/>
  <c r="Z10" i="2"/>
  <c r="Y10" i="2"/>
  <c r="X10" i="2"/>
  <c r="W10" i="2"/>
  <c r="V10" i="2"/>
  <c r="U10" i="2"/>
  <c r="T10" i="2"/>
  <c r="S10" i="2"/>
  <c r="AD9" i="2"/>
  <c r="AC9" i="2"/>
  <c r="AB9" i="2"/>
  <c r="AA9" i="2"/>
  <c r="Z9" i="2"/>
  <c r="Y9" i="2"/>
  <c r="X9" i="2"/>
  <c r="W9" i="2"/>
  <c r="V9" i="2"/>
  <c r="U9" i="2"/>
  <c r="T9" i="2"/>
  <c r="S9" i="2"/>
  <c r="AD8" i="2"/>
  <c r="AC8" i="2"/>
  <c r="AB8" i="2"/>
  <c r="AA8" i="2"/>
  <c r="Z8" i="2"/>
  <c r="Y8" i="2"/>
  <c r="X8" i="2"/>
  <c r="W8" i="2"/>
  <c r="V8" i="2"/>
  <c r="U8" i="2"/>
  <c r="T8" i="2"/>
  <c r="S8" i="2"/>
  <c r="AD7" i="2"/>
  <c r="AC7" i="2"/>
  <c r="AB7" i="2"/>
  <c r="AA7" i="2"/>
  <c r="Z7" i="2"/>
  <c r="Y7" i="2"/>
  <c r="X7" i="2"/>
  <c r="W7" i="2"/>
  <c r="V7" i="2"/>
  <c r="U7" i="2"/>
  <c r="T7" i="2"/>
  <c r="S7" i="2"/>
  <c r="AD6" i="2"/>
  <c r="AC6" i="2"/>
  <c r="AB6" i="2"/>
  <c r="AA6" i="2"/>
  <c r="Z6" i="2"/>
  <c r="Y6" i="2"/>
  <c r="X6" i="2"/>
  <c r="W6" i="2"/>
  <c r="V6" i="2"/>
  <c r="U6" i="2"/>
  <c r="T6" i="2"/>
  <c r="S6" i="2"/>
  <c r="AD5" i="2"/>
  <c r="AC5" i="2"/>
  <c r="AB5" i="2"/>
  <c r="AA5" i="2"/>
  <c r="Z5" i="2"/>
  <c r="Y5" i="2"/>
  <c r="X5" i="2"/>
  <c r="W5" i="2"/>
  <c r="V5" i="2"/>
  <c r="U5" i="2"/>
  <c r="T5" i="2"/>
  <c r="S5" i="2"/>
  <c r="Q12" i="2"/>
  <c r="P12" i="2"/>
  <c r="O12" i="2"/>
  <c r="N12" i="2"/>
  <c r="M12" i="2"/>
  <c r="L12" i="2"/>
  <c r="K12" i="2"/>
  <c r="J12" i="2"/>
  <c r="I12" i="2"/>
  <c r="H12" i="2"/>
  <c r="G12" i="2"/>
  <c r="F12" i="2"/>
  <c r="Q11" i="2"/>
  <c r="P11" i="2"/>
  <c r="O11" i="2"/>
  <c r="N11" i="2"/>
  <c r="M11" i="2"/>
  <c r="L11" i="2"/>
  <c r="K11" i="2"/>
  <c r="J11" i="2"/>
  <c r="I11" i="2"/>
  <c r="H11" i="2"/>
  <c r="G11" i="2"/>
  <c r="F11" i="2"/>
  <c r="Q10" i="2"/>
  <c r="P10" i="2"/>
  <c r="O10" i="2"/>
  <c r="N10" i="2"/>
  <c r="M10" i="2"/>
  <c r="L10" i="2"/>
  <c r="K10" i="2"/>
  <c r="J10" i="2"/>
  <c r="I10" i="2"/>
  <c r="H10" i="2"/>
  <c r="G10" i="2"/>
  <c r="F10" i="2"/>
  <c r="Q9" i="2"/>
  <c r="P9" i="2"/>
  <c r="O9" i="2"/>
  <c r="N9" i="2"/>
  <c r="M9" i="2"/>
  <c r="L9" i="2"/>
  <c r="K9" i="2"/>
  <c r="J9" i="2"/>
  <c r="I9" i="2"/>
  <c r="H9" i="2"/>
  <c r="G9" i="2"/>
  <c r="F9" i="2"/>
  <c r="Q8" i="2"/>
  <c r="P8" i="2"/>
  <c r="O8" i="2"/>
  <c r="N8" i="2"/>
  <c r="M8" i="2"/>
  <c r="L8" i="2"/>
  <c r="K8" i="2"/>
  <c r="J8" i="2"/>
  <c r="I8" i="2"/>
  <c r="H8" i="2"/>
  <c r="G8" i="2"/>
  <c r="F8" i="2"/>
  <c r="Q7" i="2"/>
  <c r="P7" i="2"/>
  <c r="O7" i="2"/>
  <c r="N7" i="2"/>
  <c r="M7" i="2"/>
  <c r="L7" i="2"/>
  <c r="K7" i="2"/>
  <c r="J7" i="2"/>
  <c r="I7" i="2"/>
  <c r="H7" i="2"/>
  <c r="G7" i="2"/>
  <c r="F7" i="2"/>
  <c r="Q6" i="2"/>
  <c r="P6" i="2"/>
  <c r="O6" i="2"/>
  <c r="N6" i="2"/>
  <c r="M6" i="2"/>
  <c r="L6" i="2"/>
  <c r="K6" i="2"/>
  <c r="J6" i="2"/>
  <c r="I6" i="2"/>
  <c r="H6" i="2"/>
  <c r="G6" i="2"/>
  <c r="F6" i="2"/>
  <c r="Q5" i="2"/>
  <c r="P5" i="2"/>
  <c r="O5" i="2"/>
  <c r="N5" i="2"/>
  <c r="M5" i="2"/>
  <c r="L5" i="2"/>
  <c r="K5" i="2"/>
  <c r="J5" i="2"/>
  <c r="I5" i="2"/>
  <c r="H5" i="2"/>
  <c r="G5" i="2"/>
  <c r="F5" i="2"/>
  <c r="D166" i="8" l="1"/>
  <c r="F166" i="8" s="1"/>
  <c r="G166" i="8" s="1"/>
  <c r="Q166" i="8"/>
  <c r="R166" i="8" s="1"/>
  <c r="D165" i="8"/>
  <c r="F165" i="8" s="1"/>
  <c r="G165" i="8" s="1"/>
  <c r="Q165" i="8"/>
  <c r="R165" i="8" s="1"/>
  <c r="D103" i="6"/>
  <c r="F103" i="6" s="1"/>
  <c r="G103" i="6" s="1"/>
  <c r="Q103" i="6"/>
  <c r="R103" i="6" s="1"/>
  <c r="Q103" i="8"/>
  <c r="R103" i="8" s="1"/>
  <c r="D103" i="8"/>
  <c r="F103" i="8" s="1"/>
  <c r="G103" i="8" s="1"/>
  <c r="D103" i="7"/>
  <c r="F103" i="7" s="1"/>
  <c r="G103" i="7" s="1"/>
  <c r="Q103" i="7"/>
  <c r="R103" i="7" s="1"/>
  <c r="D134" i="8"/>
  <c r="F134" i="8" s="1"/>
  <c r="G134" i="8" s="1"/>
  <c r="Q134" i="8"/>
  <c r="R134" i="8" s="1"/>
  <c r="D103" i="5"/>
  <c r="F103" i="5" s="1"/>
  <c r="G103" i="5" s="1"/>
  <c r="Q103" i="5"/>
  <c r="R103" i="5" s="1"/>
  <c r="Q102" i="7"/>
  <c r="R102" i="7" s="1"/>
  <c r="D102" i="7"/>
  <c r="F102" i="7" s="1"/>
  <c r="G102" i="7" s="1"/>
  <c r="D102" i="6"/>
  <c r="F102" i="6" s="1"/>
  <c r="G102" i="6" s="1"/>
  <c r="Q102" i="6"/>
  <c r="R102" i="6" s="1"/>
  <c r="D102" i="5"/>
  <c r="F102" i="5" s="1"/>
  <c r="G102" i="5" s="1"/>
  <c r="Q102" i="5"/>
  <c r="R102" i="5" s="1"/>
  <c r="D133" i="8"/>
  <c r="F133" i="8" s="1"/>
  <c r="G133" i="8" s="1"/>
  <c r="Q133" i="8"/>
  <c r="R133" i="8" s="1"/>
  <c r="D102" i="8"/>
  <c r="F102" i="8" s="1"/>
  <c r="G102" i="8" s="1"/>
  <c r="Q102" i="8"/>
  <c r="R102" i="8" s="1"/>
  <c r="D72" i="6"/>
  <c r="F72" i="6" s="1"/>
  <c r="G72" i="6" s="1"/>
  <c r="Q72" i="6"/>
  <c r="R72" i="6" s="1"/>
  <c r="D72" i="5"/>
  <c r="F72" i="5" s="1"/>
  <c r="G72" i="5" s="1"/>
  <c r="Q72" i="5"/>
  <c r="R72" i="5" s="1"/>
  <c r="D72" i="7"/>
  <c r="F72" i="7" s="1"/>
  <c r="G72" i="7" s="1"/>
  <c r="Q72" i="7"/>
  <c r="R72" i="7" s="1"/>
  <c r="Q72" i="8"/>
  <c r="R72" i="8" s="1"/>
  <c r="D72" i="8"/>
  <c r="F72" i="8" s="1"/>
  <c r="G72" i="8" s="1"/>
  <c r="D71" i="7"/>
  <c r="F71" i="7" s="1"/>
  <c r="G71" i="7" s="1"/>
  <c r="Q71" i="7"/>
  <c r="R71" i="7" s="1"/>
  <c r="D71" i="5"/>
  <c r="F71" i="5" s="1"/>
  <c r="G71" i="5" s="1"/>
  <c r="Q71" i="5"/>
  <c r="R71" i="5" s="1"/>
  <c r="D71" i="6"/>
  <c r="F71" i="6" s="1"/>
  <c r="G71" i="6" s="1"/>
  <c r="Q71" i="6"/>
  <c r="R71" i="6" s="1"/>
  <c r="Q71" i="8"/>
  <c r="R71" i="8" s="1"/>
  <c r="D71" i="8"/>
  <c r="F71" i="8" s="1"/>
  <c r="G71" i="8" s="1"/>
  <c r="D41" i="7"/>
  <c r="F41" i="7" s="1"/>
  <c r="G41" i="7" s="1"/>
  <c r="Q41" i="7"/>
  <c r="R41" i="7" s="1"/>
  <c r="D41" i="6"/>
  <c r="F41" i="6" s="1"/>
  <c r="G41" i="6" s="1"/>
  <c r="Q41" i="6"/>
  <c r="R41" i="6" s="1"/>
  <c r="D41" i="5"/>
  <c r="F41" i="5" s="1"/>
  <c r="G41" i="5" s="1"/>
  <c r="Q41" i="5"/>
  <c r="R41" i="5" s="1"/>
  <c r="D41" i="8"/>
  <c r="F41" i="8" s="1"/>
  <c r="G41" i="8" s="1"/>
  <c r="Q41" i="8"/>
  <c r="R41" i="8" s="1"/>
  <c r="Q40" i="8"/>
  <c r="R40" i="8" s="1"/>
  <c r="D40" i="8"/>
  <c r="F40" i="8" s="1"/>
  <c r="G40" i="8" s="1"/>
  <c r="D40" i="5"/>
  <c r="F40" i="5" s="1"/>
  <c r="G40" i="5" s="1"/>
  <c r="Q40" i="5"/>
  <c r="R40" i="5" s="1"/>
  <c r="D40" i="7"/>
  <c r="F40" i="7" s="1"/>
  <c r="G40" i="7" s="1"/>
  <c r="Q40" i="7"/>
  <c r="R40" i="7" s="1"/>
  <c r="D40" i="6"/>
  <c r="F40" i="6" s="1"/>
  <c r="G40" i="6" s="1"/>
  <c r="Q40" i="6"/>
  <c r="R40" i="6" s="1"/>
  <c r="Q8" i="8"/>
  <c r="R8" i="8" s="1"/>
  <c r="D8" i="8"/>
  <c r="F8" i="8" s="1"/>
  <c r="G8" i="8" s="1"/>
  <c r="D8" i="7"/>
  <c r="F8" i="7" s="1"/>
  <c r="G8" i="7" s="1"/>
  <c r="Q8" i="7"/>
  <c r="R8" i="7" s="1"/>
  <c r="D8" i="6"/>
  <c r="F8" i="6" s="1"/>
  <c r="G8" i="6" s="1"/>
  <c r="Q8" i="6"/>
  <c r="R8" i="6" s="1"/>
  <c r="D8" i="5"/>
  <c r="F8" i="5" s="1"/>
  <c r="G8" i="5" s="1"/>
  <c r="Q8" i="5"/>
  <c r="R8" i="5" s="1"/>
  <c r="D7" i="5"/>
  <c r="F7" i="5" s="1"/>
  <c r="G7" i="5" s="1"/>
  <c r="Q7" i="5"/>
  <c r="R7" i="5" s="1"/>
  <c r="D7" i="6"/>
  <c r="F7" i="6" s="1"/>
  <c r="G7" i="6" s="1"/>
  <c r="Q7" i="6"/>
  <c r="R7" i="6" s="1"/>
  <c r="D7" i="7"/>
  <c r="F7" i="7" s="1"/>
  <c r="G7" i="7" s="1"/>
  <c r="Q7" i="7"/>
  <c r="R7" i="7" s="1"/>
  <c r="Q7" i="8"/>
  <c r="R7" i="8" s="1"/>
  <c r="D7" i="8"/>
  <c r="F7" i="8" s="1"/>
  <c r="G7" i="8" s="1"/>
  <c r="D101" i="6"/>
  <c r="F101" i="6" s="1"/>
  <c r="G101" i="6" s="1"/>
  <c r="Q101" i="6"/>
  <c r="R101" i="6" s="1"/>
  <c r="D132" i="8"/>
  <c r="F132" i="8" s="1"/>
  <c r="G132" i="8" s="1"/>
  <c r="Q132" i="8"/>
  <c r="R132" i="8" s="1"/>
  <c r="Q101" i="5"/>
  <c r="R101" i="5" s="1"/>
  <c r="D101" i="5"/>
  <c r="F101" i="5" s="1"/>
  <c r="G101" i="5" s="1"/>
  <c r="D101" i="8"/>
  <c r="F101" i="8" s="1"/>
  <c r="G101" i="8" s="1"/>
  <c r="Q101" i="8"/>
  <c r="R101" i="8" s="1"/>
  <c r="D101" i="7"/>
  <c r="F101" i="7" s="1"/>
  <c r="G101" i="7" s="1"/>
  <c r="Q101" i="7"/>
  <c r="R101" i="7" s="1"/>
  <c r="D70" i="7"/>
  <c r="F70" i="7" s="1"/>
  <c r="G70" i="7" s="1"/>
  <c r="Q70" i="7"/>
  <c r="R70" i="7" s="1"/>
  <c r="Q70" i="8"/>
  <c r="R70" i="8" s="1"/>
  <c r="D70" i="8"/>
  <c r="F70" i="8" s="1"/>
  <c r="G70" i="8" s="1"/>
  <c r="D70" i="5"/>
  <c r="F70" i="5" s="1"/>
  <c r="G70" i="5" s="1"/>
  <c r="Q70" i="5"/>
  <c r="R70" i="5" s="1"/>
  <c r="D70" i="6"/>
  <c r="F70" i="6" s="1"/>
  <c r="G70" i="6" s="1"/>
  <c r="Q70" i="6"/>
  <c r="R70" i="6" s="1"/>
  <c r="D39" i="7"/>
  <c r="F39" i="7" s="1"/>
  <c r="G39" i="7" s="1"/>
  <c r="Q39" i="7"/>
  <c r="R39" i="7" s="1"/>
  <c r="D39" i="5"/>
  <c r="F39" i="5" s="1"/>
  <c r="G39" i="5" s="1"/>
  <c r="Q39" i="5"/>
  <c r="R39" i="5" s="1"/>
  <c r="Q39" i="8"/>
  <c r="R39" i="8" s="1"/>
  <c r="D39" i="8"/>
  <c r="F39" i="8" s="1"/>
  <c r="G39" i="8" s="1"/>
  <c r="D39" i="6"/>
  <c r="F39" i="6" s="1"/>
  <c r="G39" i="6" s="1"/>
  <c r="Q39" i="6"/>
  <c r="R39" i="6" s="1"/>
  <c r="Q6" i="7"/>
  <c r="R6" i="7" s="1"/>
  <c r="D6" i="7"/>
  <c r="F6" i="7" s="1"/>
  <c r="G6" i="7" s="1"/>
  <c r="D6" i="8"/>
  <c r="F6" i="8" s="1"/>
  <c r="G6" i="8" s="1"/>
  <c r="Q6" i="8"/>
  <c r="R6" i="8" s="1"/>
  <c r="D6" i="5"/>
  <c r="F6" i="5" s="1"/>
  <c r="G6" i="5" s="1"/>
  <c r="Q6" i="5"/>
  <c r="R6" i="5" s="1"/>
  <c r="D6" i="6"/>
  <c r="F6" i="6" s="1"/>
  <c r="G6" i="6" s="1"/>
  <c r="Q6" i="6"/>
  <c r="R6" i="6" s="1"/>
  <c r="AR12" i="2"/>
  <c r="AR11" i="2"/>
  <c r="AR10" i="2"/>
  <c r="AR9" i="2"/>
  <c r="AR8" i="2"/>
  <c r="AR7" i="2"/>
  <c r="AR6" i="2"/>
  <c r="AR5" i="2"/>
  <c r="AE12" i="2"/>
  <c r="AE11" i="2"/>
  <c r="AE10" i="2"/>
  <c r="AE9" i="2"/>
  <c r="AE8" i="2"/>
  <c r="AE7" i="2"/>
  <c r="AE6" i="2"/>
  <c r="AE5" i="2"/>
  <c r="R12" i="2"/>
  <c r="R11" i="2"/>
  <c r="R10" i="2"/>
  <c r="R9" i="2"/>
  <c r="R8" i="2"/>
  <c r="R7" i="2"/>
  <c r="R6" i="2"/>
  <c r="R5" i="2"/>
  <c r="EB5" i="2" l="1"/>
  <c r="EA5" i="2"/>
  <c r="EB10" i="2"/>
  <c r="EA8" i="2"/>
  <c r="EA10" i="2"/>
  <c r="EA12" i="2"/>
  <c r="EB6" i="2"/>
  <c r="EB7" i="2"/>
  <c r="EB8" i="2"/>
  <c r="EB9" i="2"/>
  <c r="DZ11" i="2"/>
  <c r="EB11" i="2"/>
  <c r="EA6" i="2"/>
  <c r="EA7" i="2"/>
  <c r="EA9" i="2"/>
  <c r="EA11" i="2"/>
  <c r="DZ6" i="2"/>
  <c r="DZ7" i="2"/>
  <c r="DZ8" i="2"/>
  <c r="DZ9" i="2"/>
  <c r="DZ10" i="2"/>
  <c r="DZ12" i="2"/>
  <c r="EB12" i="2"/>
  <c r="F168" i="8" l="1"/>
  <c r="G168" i="8" s="1"/>
  <c r="D74" i="8" l="1"/>
  <c r="D73" i="7"/>
  <c r="O74" i="8" l="1"/>
  <c r="D105" i="8" l="1"/>
  <c r="D104" i="7"/>
  <c r="O105" i="8" l="1"/>
  <c r="E167" i="8" l="1"/>
  <c r="P167" i="8" s="1"/>
  <c r="E9" i="8"/>
  <c r="P9" i="8" s="1"/>
  <c r="E42" i="5"/>
  <c r="P9" i="6"/>
  <c r="E9" i="6"/>
  <c r="D167" i="8" l="1"/>
  <c r="E73" i="6"/>
  <c r="E73" i="8"/>
  <c r="P73" i="8" s="1"/>
  <c r="E9" i="7"/>
  <c r="E42" i="7"/>
  <c r="E42" i="8"/>
  <c r="P42" i="8" s="1"/>
  <c r="E73" i="7"/>
  <c r="F73" i="7" s="1"/>
  <c r="G73" i="7" s="1"/>
  <c r="E42" i="6"/>
  <c r="F167" i="8" l="1"/>
  <c r="G167" i="8" s="1"/>
  <c r="O167" i="8"/>
  <c r="Q167" i="8" s="1"/>
  <c r="R167" i="8" s="1"/>
  <c r="P74" i="8"/>
  <c r="Q74" i="8" s="1"/>
  <c r="R74" i="8" s="1"/>
  <c r="F74" i="8"/>
  <c r="G74" i="8" s="1"/>
  <c r="P43" i="8"/>
  <c r="D42" i="8"/>
  <c r="D42" i="6"/>
  <c r="F42" i="6" s="1"/>
  <c r="G42" i="6" s="1"/>
  <c r="E104" i="8"/>
  <c r="P104" i="8" s="1"/>
  <c r="E104" i="6"/>
  <c r="D73" i="8"/>
  <c r="D73" i="6"/>
  <c r="F73" i="6" s="1"/>
  <c r="G73" i="6" s="1"/>
  <c r="P10" i="8"/>
  <c r="D104" i="6" l="1"/>
  <c r="F104" i="6" s="1"/>
  <c r="G104" i="6" s="1"/>
  <c r="D104" i="8"/>
  <c r="O9" i="6"/>
  <c r="Q9" i="6" s="1"/>
  <c r="R9" i="6" s="1"/>
  <c r="D9" i="6"/>
  <c r="F9" i="6" s="1"/>
  <c r="G9" i="6" s="1"/>
  <c r="D9" i="8"/>
  <c r="D42" i="5"/>
  <c r="F42" i="5" s="1"/>
  <c r="G42" i="5" s="1"/>
  <c r="E105" i="8"/>
  <c r="E104" i="7"/>
  <c r="F104" i="7" s="1"/>
  <c r="G104" i="7" s="1"/>
  <c r="F73" i="8"/>
  <c r="G73" i="8" s="1"/>
  <c r="O73" i="8"/>
  <c r="Q73" i="8" s="1"/>
  <c r="R73" i="8" s="1"/>
  <c r="O42" i="8"/>
  <c r="Q42" i="8" s="1"/>
  <c r="R42" i="8" s="1"/>
  <c r="F42" i="8"/>
  <c r="G42" i="8" s="1"/>
  <c r="P105" i="8" l="1"/>
  <c r="Q105" i="8" s="1"/>
  <c r="R105" i="8" s="1"/>
  <c r="F105" i="8"/>
  <c r="G105" i="8" s="1"/>
  <c r="F9" i="8"/>
  <c r="G9" i="8" s="1"/>
  <c r="O9" i="8"/>
  <c r="Q9" i="8" s="1"/>
  <c r="R9" i="8" s="1"/>
  <c r="F104" i="8"/>
  <c r="G104" i="8" s="1"/>
  <c r="O104" i="8"/>
  <c r="Q104" i="8" s="1"/>
  <c r="R104" i="8" s="1"/>
  <c r="D43" i="8" l="1"/>
  <c r="D42" i="7"/>
  <c r="F42" i="7" s="1"/>
  <c r="G42" i="7" s="1"/>
  <c r="F43" i="8" l="1"/>
  <c r="G43" i="8" s="1"/>
  <c r="O43" i="8"/>
  <c r="Q43" i="8" s="1"/>
  <c r="R43" i="8" s="1"/>
  <c r="D9" i="7" l="1"/>
  <c r="F9" i="7" s="1"/>
  <c r="G9" i="7" s="1"/>
  <c r="D10" i="8"/>
  <c r="F10" i="8" l="1"/>
  <c r="G10" i="8" s="1"/>
  <c r="O10" i="8"/>
  <c r="Q10" i="8" s="1"/>
  <c r="R10" i="8" s="1"/>
  <c r="D43" i="9" l="1"/>
  <c r="G43" i="9"/>
  <c r="E43" i="9" l="1"/>
  <c r="F43" i="9"/>
  <c r="H43" i="9" l="1"/>
  <c r="J43" i="9" s="1"/>
  <c r="M43" i="9" l="1"/>
  <c r="L43" i="9"/>
  <c r="K43" i="9"/>
  <c r="I4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tc={CF9AE2D0-9ED7-4731-ACD8-60F3875C2F70}</author>
    <author>tc={2D87CD4A-A7BF-4FF4-B4A2-0A5079D2A0AC}</author>
    <author>tc={0B00523E-6BAD-442E-866C-C601BCBD0064}</author>
    <author>tc={549FCE2B-648B-4806-A6C7-A721764283DC}</author>
  </authors>
  <commentList>
    <comment ref="E10" authorId="0" shapeId="0" xr:uid="{CF9AE2D0-9ED7-4731-ACD8-60F3875C2F70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E74" authorId="1" shapeId="0" xr:uid="{2D87CD4A-A7BF-4FF4-B4A2-0A5079D2A0A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E136" authorId="2" shapeId="0" xr:uid="{0B00523E-6BAD-442E-866C-C601BCBD00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E168" authorId="3" shapeId="0" xr:uid="{549FCE2B-648B-4806-A6C7-A721764283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tc={5677C6E6-AED3-4E5B-AE82-013A0A0AA9B0}</author>
    <author>tc={F9546B64-5BFC-49DF-AFBB-3E2DF626DF48}</author>
    <author>tc={5950F3D1-E864-49F7-A801-90045AE57CBC}</author>
    <author>tc={A6AB835C-0767-4FDF-942A-BD5643ED0E07}</author>
  </authors>
  <commentList>
    <comment ref="E10" authorId="0" shapeId="0" xr:uid="{5677C6E6-AED3-4E5B-AE82-013A0A0AA9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E74" authorId="1" shapeId="0" xr:uid="{F9546B64-5BFC-49DF-AFBB-3E2DF626DF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E136" authorId="2" shapeId="0" xr:uid="{5950F3D1-E864-49F7-A801-90045AE57C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E168" authorId="3" shapeId="0" xr:uid="{A6AB835C-0767-4FDF-942A-BD5643ED0E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tc={52F41D0F-4926-4948-97CD-10621D54D13B}</author>
    <author>tc={DB20FE98-2227-4864-BE10-4ECA5DA75795}</author>
    <author>tc={380C3C68-2A2A-4B92-92C9-D4C39ABBEE61}</author>
    <author>tc={AD26C12A-8846-41F3-A007-5E60BF306B54}</author>
  </authors>
  <commentList>
    <comment ref="F10" authorId="0" shapeId="0" xr:uid="{52F41D0F-4926-4948-97CD-10621D54D1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F74" authorId="1" shapeId="0" xr:uid="{DB20FE98-2227-4864-BE10-4ECA5DA757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F136" authorId="2" shapeId="0" xr:uid="{380C3C68-2A2A-4B92-92C9-D4C39ABBEE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F168" authorId="3" shapeId="0" xr:uid="{AD26C12A-8846-41F3-A007-5E60BF306B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tc={FC1BC7A7-02DC-4426-AB14-3B7FDF58B976}</author>
    <author>tc={D602D3E2-8629-4C8F-B4C7-F5FDBAF0DDA0}</author>
    <author>tc={371E45F5-B555-440E-B00A-163E0CD1115B}</author>
    <author>tc={CF9B597A-884B-4842-A60B-60329127C11C}</author>
  </authors>
  <commentList>
    <comment ref="F10" authorId="0" shapeId="0" xr:uid="{FC1BC7A7-02DC-4426-AB14-3B7FDF58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F74" authorId="1" shapeId="0" xr:uid="{D602D3E2-8629-4C8F-B4C7-F5FDBAF0DDA0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F136" authorId="2" shapeId="0" xr:uid="{371E45F5-B555-440E-B00A-163E0CD111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F168" authorId="3" shapeId="0" xr:uid="{CF9B597A-884B-4842-A60B-60329127C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<sst xmlns="http://schemas.openxmlformats.org/spreadsheetml/2006/main" count="2690" uniqueCount="427">
  <si>
    <t>GBTB EXW (USD/ton)</t>
  </si>
  <si>
    <t>Mã SKU | Tên SKU</t>
  </si>
  <si>
    <t>Tên KH</t>
  </si>
  <si>
    <t>110000329 | WSS01</t>
  </si>
  <si>
    <t>Công ty TNHH La Vie</t>
  </si>
  <si>
    <t>CPSX Nhựa Duy Tân</t>
  </si>
  <si>
    <t>Dung Avient</t>
  </si>
  <si>
    <t>Nestle Việt Nam</t>
  </si>
  <si>
    <t>Plascene- DTP</t>
  </si>
  <si>
    <t>TÂN LẬP THÀNH</t>
  </si>
  <si>
    <t>110000329 | WSS01 Total</t>
  </si>
  <si>
    <t>110000332 | iSS01084G</t>
  </si>
  <si>
    <t xml:space="preserve"> INDUSTRIAS SALCOM</t>
  </si>
  <si>
    <t>CN Cty Coca - Hà Nội</t>
  </si>
  <si>
    <t>COCA COLA ĐÀ NẴNG</t>
  </si>
  <si>
    <t>Coca-Cola Thủ Đức</t>
  </si>
  <si>
    <t>COCA-COLA VIỆT NAM TẠI TỈNH TÂY NINH</t>
  </si>
  <si>
    <t>CÔNG TY TNHH HON CHUAN VIETNAM</t>
  </si>
  <si>
    <t>CORAL A.E.</t>
  </si>
  <si>
    <t>CTY NGỌC NGHĨA-TÂY NINH</t>
  </si>
  <si>
    <t>GENESIS DISTRIBUCIÓN DE COLOMBIA SA</t>
  </si>
  <si>
    <t>Genesis Polymers International</t>
  </si>
  <si>
    <t>KORYFES SA</t>
  </si>
  <si>
    <t>MCP-Resinex</t>
  </si>
  <si>
    <t>MISS PLASTICS INC.</t>
  </si>
  <si>
    <t>Người mua hàng không lấy hóa đơn</t>
  </si>
  <si>
    <t>Parker-DTP</t>
  </si>
  <si>
    <t>Resinex</t>
  </si>
  <si>
    <t>SodaStream</t>
  </si>
  <si>
    <t>Suntory - Ngọc Nghĩa Hưng Yên</t>
  </si>
  <si>
    <t>Suntory- Ngọc Nghĩa Tây Ninh</t>
  </si>
  <si>
    <t>Suntory Sri Thái Bình Dương</t>
  </si>
  <si>
    <t>Suntory Việt Nam</t>
  </si>
  <si>
    <t>TRICON</t>
  </si>
  <si>
    <t>Wiese</t>
  </si>
  <si>
    <t>110000332 | iSS01084G Total</t>
  </si>
  <si>
    <t>110000333 | WSS03</t>
  </si>
  <si>
    <t>WORLD ELASTOMER</t>
  </si>
  <si>
    <t>110000333 | WSS03 Total</t>
  </si>
  <si>
    <t>110000335 | WSS04</t>
  </si>
  <si>
    <t>MEKONG BROS</t>
  </si>
  <si>
    <t>Việt Thành Plast</t>
  </si>
  <si>
    <t>110000335 | WSS04 Total</t>
  </si>
  <si>
    <t>110000337 | rHDB03W01</t>
  </si>
  <si>
    <t>Lix Việt Nam</t>
  </si>
  <si>
    <t>Nhựa Hồng Đông</t>
  </si>
  <si>
    <t>VI LỮ</t>
  </si>
  <si>
    <t>110000337 | rHDB03W01 Total</t>
  </si>
  <si>
    <t>110000339 | rHDPE MBF01</t>
  </si>
  <si>
    <t>Công ty Chấn Thuận Thành</t>
  </si>
  <si>
    <t>Duy Tân Long An</t>
  </si>
  <si>
    <t>Dynaplast Bắc Ninh</t>
  </si>
  <si>
    <t>Dynaplast Bình Dương</t>
  </si>
  <si>
    <t>Motul -DTP</t>
  </si>
  <si>
    <t>Unilever Duy Tân</t>
  </si>
  <si>
    <t>110000339 | rHDPE MBF01 Total</t>
  </si>
  <si>
    <t>110000341 | rHDB04B01</t>
  </si>
  <si>
    <t>CHẤN HÙNG</t>
  </si>
  <si>
    <t>CÔNG TY  ĐẠI LỘC</t>
  </si>
  <si>
    <t>EATONE PRO</t>
  </si>
  <si>
    <t>MHE ENTERPRISE</t>
  </si>
  <si>
    <t>MTVN Plastic</t>
  </si>
  <si>
    <t>NHỰA ĐẠT HÒA</t>
  </si>
  <si>
    <t>NHỰA ĐỒNG NAI</t>
  </si>
  <si>
    <t>Orient Plastic</t>
  </si>
  <si>
    <t>THẠC HƯƠNG</t>
  </si>
  <si>
    <t>110000341 | rHDB04B01 Total</t>
  </si>
  <si>
    <t>110000343 | rHDB03G01</t>
  </si>
  <si>
    <t>110000343 | rHDB03G01 Total</t>
  </si>
  <si>
    <t>110000345 | rHDB03Y01</t>
  </si>
  <si>
    <t>110000345 | rHDB03Y01 Total</t>
  </si>
  <si>
    <t>110000354 | WSS01G 1</t>
  </si>
  <si>
    <t>AN NHẬT</t>
  </si>
  <si>
    <t>CTY NGỌC NGHĨA - CỦ CHI</t>
  </si>
  <si>
    <t>CTY THỰC PHẨM VĨ HUY</t>
  </si>
  <si>
    <t>Dân Ôn Foods</t>
  </si>
  <si>
    <t>ĐÔ THÀNH</t>
  </si>
  <si>
    <t>IKEA - VĨ HUY</t>
  </si>
  <si>
    <t>MIDA</t>
  </si>
  <si>
    <t>MTV MILKIWAY SOLUTION</t>
  </si>
  <si>
    <t>Muji- DTP</t>
  </si>
  <si>
    <t>Natures Organics - PIA</t>
  </si>
  <si>
    <t>NEO POLYMERS INTERNATIONAL</t>
  </si>
  <si>
    <t>Nhựa Âu Lạc</t>
  </si>
  <si>
    <t>Niagara Mexico</t>
  </si>
  <si>
    <t>NIAGARA UK</t>
  </si>
  <si>
    <t>Niagara US</t>
  </si>
  <si>
    <t>Nu-pure</t>
  </si>
  <si>
    <t>Olam Duy Tân</t>
  </si>
  <si>
    <t>Otsuka - Iwatani</t>
  </si>
  <si>
    <t>PakPot Australia</t>
  </si>
  <si>
    <t>Plascene, Inc.</t>
  </si>
  <si>
    <t>POLYMERS INTERNATIONAL</t>
  </si>
  <si>
    <t>RTCO</t>
  </si>
  <si>
    <t>SHEPLEY SPRING</t>
  </si>
  <si>
    <t>TEXMAT VN</t>
  </si>
  <si>
    <t>Toyota Tsusho</t>
  </si>
  <si>
    <t>UNILEVER - NNG-TN</t>
  </si>
  <si>
    <t>UNILEVER-NGỌC NGHĨA</t>
  </si>
  <si>
    <t>110000354 | WSS01G 1 Total</t>
  </si>
  <si>
    <t>110000355 | iSS01G 1</t>
  </si>
  <si>
    <t>Aguarela do Mundo, SA</t>
  </si>
  <si>
    <t>Colgate- Hưng Dụ</t>
  </si>
  <si>
    <t>Công ty TNHH SX Và TM Việt Thành</t>
  </si>
  <si>
    <t>Fega</t>
  </si>
  <si>
    <t>HONDAPLUS</t>
  </si>
  <si>
    <t>International Gate SA</t>
  </si>
  <si>
    <t>Itochu</t>
  </si>
  <si>
    <t>Kao Việt Nam</t>
  </si>
  <si>
    <t>Lion Corp</t>
  </si>
  <si>
    <t>Magma International Co.,Ltd</t>
  </si>
  <si>
    <t>MAS CO.LTD</t>
  </si>
  <si>
    <t>MERAXIS AG</t>
  </si>
  <si>
    <t>MONDELEZ-VIỆT THÀNH</t>
  </si>
  <si>
    <t>MONTACHEM INTERNATIONAL</t>
  </si>
  <si>
    <t>OUTEIRINHO TURISMO E INDUSTRIA SA</t>
  </si>
  <si>
    <t>POLYCAD</t>
  </si>
  <si>
    <t>POLYRESIN EOOD</t>
  </si>
  <si>
    <t>Pragmatrade</t>
  </si>
  <si>
    <t>PTI- Retal</t>
  </si>
  <si>
    <t>Suntory- Honchuan Viet Nam</t>
  </si>
  <si>
    <t>Svepol Americas Inc.</t>
  </si>
  <si>
    <t>Vinmar International</t>
  </si>
  <si>
    <t>VINMAR POLYMERS AMERICA LLC</t>
  </si>
  <si>
    <t>110000355 | iSS01G 1 Total</t>
  </si>
  <si>
    <t>110000358 | WSS02G</t>
  </si>
  <si>
    <t>IKEA - AN NHẬT</t>
  </si>
  <si>
    <t>Nhựa Chí Minh</t>
  </si>
  <si>
    <t>110000358 | WSS02G Total</t>
  </si>
  <si>
    <t>110000359 | WSS03G</t>
  </si>
  <si>
    <t>AGRIFREDA</t>
  </si>
  <si>
    <t>CÔNG TY TNHH HƯNG DỤ</t>
  </si>
  <si>
    <t>Công ty trách nhiệm hữu hạn Uy Kiệt</t>
  </si>
  <si>
    <t>ITD Polyresin</t>
  </si>
  <si>
    <t>MILKYWAY</t>
  </si>
  <si>
    <t>PREMIUM WATER</t>
  </si>
  <si>
    <t>TÂN TƯỜNG KHANG</t>
  </si>
  <si>
    <t>110000359 | WSS03G Total</t>
  </si>
  <si>
    <t>110000360 | rHDI4L01</t>
  </si>
  <si>
    <t>110000360 | rHDI4L01 Total</t>
  </si>
  <si>
    <t>110000361 | rHDI3R01</t>
  </si>
  <si>
    <t>HUY THÀNH</t>
  </si>
  <si>
    <t>Pentaplast SRL</t>
  </si>
  <si>
    <t>110000361 | rHDI3R01 Total</t>
  </si>
  <si>
    <t>110000363 | rHDI3Gy01</t>
  </si>
  <si>
    <t>110000363 | rHDI3Gy01 Total</t>
  </si>
  <si>
    <t>110000364 | rHDI3Y01</t>
  </si>
  <si>
    <t>ĐẠI NHẤT LONG</t>
  </si>
  <si>
    <t>110000364 | rHDI3Y01 Total</t>
  </si>
  <si>
    <t>110000365 | rHDI3W01</t>
  </si>
  <si>
    <t>NHỰA PHÚ MỸ</t>
  </si>
  <si>
    <t>NHỰA SÀI GÒN</t>
  </si>
  <si>
    <t>OK SUNG VINA</t>
  </si>
  <si>
    <t>PHƯƠNG VI</t>
  </si>
  <si>
    <t>VĂN MINH</t>
  </si>
  <si>
    <t>Visual Plastic</t>
  </si>
  <si>
    <t>110000365 | rHDI3W01 Total</t>
  </si>
  <si>
    <t>110000366 | rHDI3G01</t>
  </si>
  <si>
    <t>110000366 | rHDI3G01 Total</t>
  </si>
  <si>
    <t>110000367 | rPP15R01</t>
  </si>
  <si>
    <t>110000367 | rPP15R01 Total</t>
  </si>
  <si>
    <t>110000369 | rPP25W01</t>
  </si>
  <si>
    <t>110000369 | rPP25W01 Total</t>
  </si>
  <si>
    <t>110000373 | rHDI4DL01</t>
  </si>
  <si>
    <t>110000373 | rHDI4DL01 Total</t>
  </si>
  <si>
    <t>110000374 | rHDB03N02</t>
  </si>
  <si>
    <t>CTY VÂN LONG</t>
  </si>
  <si>
    <t>HIỆP PHƯỚC THÀNH</t>
  </si>
  <si>
    <t>VILUBE - DTP</t>
  </si>
  <si>
    <t>110000374 | rHDB03N02 Total</t>
  </si>
  <si>
    <t>110000376 | iSS01L</t>
  </si>
  <si>
    <t>NAM THIÊN LONG</t>
  </si>
  <si>
    <t>110000376 | iSS01L Total</t>
  </si>
  <si>
    <t>110000381 | WSS04SD</t>
  </si>
  <si>
    <t>ANTEX</t>
  </si>
  <si>
    <t>Concord Textile VN</t>
  </si>
  <si>
    <t>Inabata Singapore</t>
  </si>
  <si>
    <t>KOLON GLOBAL CORPORATION</t>
  </si>
  <si>
    <t>PLANTECH - AN THÁI</t>
  </si>
  <si>
    <t>Quang Chí Bảo</t>
  </si>
  <si>
    <t>110000381 | WSS04SD Total</t>
  </si>
  <si>
    <t>110000382 | WSS04SB</t>
  </si>
  <si>
    <t>Chori Vietnam Co., Ltd.</t>
  </si>
  <si>
    <t>Hailide Việt Nam</t>
  </si>
  <si>
    <t>HYOSUNG VIỆT NAM</t>
  </si>
  <si>
    <t>110000382 | WSS04SB Total</t>
  </si>
  <si>
    <t>110000383 | iSS84G-P</t>
  </si>
  <si>
    <t>Amcor FairField</t>
  </si>
  <si>
    <t>110000383 | iSS84G-P Total</t>
  </si>
  <si>
    <t>110000387 | WSS03SD</t>
  </si>
  <si>
    <t>110000387 | WSS03SD Total</t>
  </si>
  <si>
    <t>110000389 | rPP20R02</t>
  </si>
  <si>
    <t>MEGA</t>
  </si>
  <si>
    <t>110000389 | rPP20R02 Total</t>
  </si>
  <si>
    <t>110000392 | rPP20B01</t>
  </si>
  <si>
    <t>DUROCOLOUR</t>
  </si>
  <si>
    <t>EVOLIGHT VIET NAM</t>
  </si>
  <si>
    <t>GUNICA</t>
  </si>
  <si>
    <t>ZDK</t>
  </si>
  <si>
    <t>110000392 | rPP20B01 Total</t>
  </si>
  <si>
    <t>110000393 | rPP20Be01</t>
  </si>
  <si>
    <t>Hiệp Thành - IKEA</t>
  </si>
  <si>
    <t>110000393 | rPP20Be01 Total</t>
  </si>
  <si>
    <t>110000394 | rPP15Gy02</t>
  </si>
  <si>
    <t>Aeonmall - DTP</t>
  </si>
  <si>
    <t>110000394 | rPP15Gy02 Total</t>
  </si>
  <si>
    <t>110000400 | GC rHDI4L01</t>
  </si>
  <si>
    <t>110000400 | GC rHDI4L01 Total</t>
  </si>
  <si>
    <t>110000407 | Vảy HD Ép Đỏ</t>
  </si>
  <si>
    <t>BPG SHINNIHON</t>
  </si>
  <si>
    <t>NHỰA TRƯỜNG AN</t>
  </si>
  <si>
    <t>TIẾN THÀNH</t>
  </si>
  <si>
    <t>110000407 | Vảy HD Ép Đỏ Total</t>
  </si>
  <si>
    <t>110000408 | Vảy HD Ép Trắng</t>
  </si>
  <si>
    <t xml:space="preserve"> Á CHÂU PLASTIC</t>
  </si>
  <si>
    <t>LỢI TƯỜNG</t>
  </si>
  <si>
    <t>LƯỚI BẢO NÔNG</t>
  </si>
  <si>
    <t>VINAFIBER</t>
  </si>
  <si>
    <t>110000408 | Vảy HD Ép Trắng Total</t>
  </si>
  <si>
    <t>110000409 | Vảy HD Ép Vàng</t>
  </si>
  <si>
    <t>NHỰA VIỆT THÀNH</t>
  </si>
  <si>
    <t>TÂN HOA THỊNH</t>
  </si>
  <si>
    <t>VIỆT NHẬT</t>
  </si>
  <si>
    <t>110000409 | Vảy HD Ép Vàng Total</t>
  </si>
  <si>
    <t>110000410 | Vảy HD Ép Lá</t>
  </si>
  <si>
    <t>Kim Hòa</t>
  </si>
  <si>
    <t>UPGREEN VIỆT NAM</t>
  </si>
  <si>
    <t>110000410 | Vảy HD Ép Lá Total</t>
  </si>
  <si>
    <t>110000411 | Vảy HD Ép Dương</t>
  </si>
  <si>
    <t>110000411 | Vảy HD Ép Dương Total</t>
  </si>
  <si>
    <t>110000412 | Vảy HD Ép Đen</t>
  </si>
  <si>
    <t>HOÀNG TẤN</t>
  </si>
  <si>
    <t>110000412 | Vảy HD Ép Đen Total</t>
  </si>
  <si>
    <t>110000413 | Vảy HD Ép Đồng</t>
  </si>
  <si>
    <t>110000413 | Vảy HD Ép Đồng Total</t>
  </si>
  <si>
    <t>110000414 | GC Vảy HD Ép Đỏ</t>
  </si>
  <si>
    <t>110000414 | GC Vảy HD Ép Đỏ Total</t>
  </si>
  <si>
    <t>110000415 | GC Vảy HD Ép Trắng</t>
  </si>
  <si>
    <t>110000415 | GC Vảy HD Ép Trắng Total</t>
  </si>
  <si>
    <t>110000416 | GC Vảy HD Ép Vàng</t>
  </si>
  <si>
    <t>110000416 | GC Vảy HD Ép Vàng Total</t>
  </si>
  <si>
    <t>110000417 | GC Vảy HD Ép Lá</t>
  </si>
  <si>
    <t>110000417 | GC Vảy HD Ép Lá Total</t>
  </si>
  <si>
    <t>110000418 | GC Vảy HD Ép Dương</t>
  </si>
  <si>
    <t>110000418 | GC Vảy HD Ép Dương Total</t>
  </si>
  <si>
    <t>110000419 | GC Vảy HD Ép Đen</t>
  </si>
  <si>
    <t>110000419 | GC Vảy HD Ép Đen Total</t>
  </si>
  <si>
    <t>110000420 | GC Vảy HD Ép Đồng</t>
  </si>
  <si>
    <t>110000420 | GC Vảy HD Ép Đồng Total</t>
  </si>
  <si>
    <t>110000421 | Vảy PP Đỏ Nhạt</t>
  </si>
  <si>
    <t>110000421 | Vảy PP Đỏ Nhạt Total</t>
  </si>
  <si>
    <t>110000423 | Vảy PP Dương Nhạt</t>
  </si>
  <si>
    <t>110000423 | Vảy PP Dương Nhạt Total</t>
  </si>
  <si>
    <t>110000425 | HCBF-Whi-U</t>
  </si>
  <si>
    <t>110000425 | HCBF-Whi-U Total</t>
  </si>
  <si>
    <t>110000426 | HCBF-Yel-U</t>
  </si>
  <si>
    <t>110000426 | HCBF-Yel-U Total</t>
  </si>
  <si>
    <t>110000428 | Dây đai PET</t>
  </si>
  <si>
    <t>GIA TƯỜNG</t>
  </si>
  <si>
    <t>110000428 | Dây đai PET Total</t>
  </si>
  <si>
    <t>110000431 | rHDI3Gy02</t>
  </si>
  <si>
    <t>110000431 | rHDI3Gy02 Total</t>
  </si>
  <si>
    <t>110000432 | rHDB03N01</t>
  </si>
  <si>
    <t>110000432 | rHDB03N01 Total</t>
  </si>
  <si>
    <t>110000435 | rPP20L03</t>
  </si>
  <si>
    <t>COSCO - HỒNG KIM LA</t>
  </si>
  <si>
    <t>Hồng Kim Long An</t>
  </si>
  <si>
    <t>110000435 | rPP20L03 Total</t>
  </si>
  <si>
    <t>110000436 | WSS05SB</t>
  </si>
  <si>
    <t>Custom Synthetic Fibers, LLC</t>
  </si>
  <si>
    <t>ĐẠI LỤC</t>
  </si>
  <si>
    <t>LINH CHI</t>
  </si>
  <si>
    <t>Ngọc Hoàng Gia</t>
  </si>
  <si>
    <t>NHỰA LỘC PHÁT</t>
  </si>
  <si>
    <t>VĨNH MINH PHƯỚC</t>
  </si>
  <si>
    <t>110000436 | WSS05SB Total</t>
  </si>
  <si>
    <t>110000440 | LDPE Thử Nghiệm</t>
  </si>
  <si>
    <t>BAO BÌ LIÊN MINH (APLAS)</t>
  </si>
  <si>
    <t>110000440 | LDPE Thử Nghiệm Total</t>
  </si>
  <si>
    <t>110000441 | PP Thử Nghiệm</t>
  </si>
  <si>
    <t>110000441 | PP Thử Nghiệm Total</t>
  </si>
  <si>
    <t>110000443 | rHDA03N01</t>
  </si>
  <si>
    <t>Bao Bì Vinh Nam</t>
  </si>
  <si>
    <t>Vân Nga</t>
  </si>
  <si>
    <t>110000443 | rHDA03N01 Total</t>
  </si>
  <si>
    <t>110000461 | GC rHDB01N01</t>
  </si>
  <si>
    <t>Quick Pack Việt Nam</t>
  </si>
  <si>
    <t>110000461 | GC rHDB01N01 Total</t>
  </si>
  <si>
    <t>110000462 | GC rHDB01N02</t>
  </si>
  <si>
    <t>110000462 | GC rHDB01N02 Total</t>
  </si>
  <si>
    <t>110000463 | GC rLDB1N03</t>
  </si>
  <si>
    <t>110000463 | GC rLDB1N03 Total</t>
  </si>
  <si>
    <t>110000466 | WSS05SB-2</t>
  </si>
  <si>
    <t>TAE BAEK</t>
  </si>
  <si>
    <t>110000466 | WSS05SB-2 Total</t>
  </si>
  <si>
    <t>110000469 | Vảy HD Ép Dương Bình Thuận</t>
  </si>
  <si>
    <t>BTS Bình Thuận</t>
  </si>
  <si>
    <t>110000469 | Vảy HD Ép Dương Bình Thuận Total</t>
  </si>
  <si>
    <t>110000470 | rPP20L04</t>
  </si>
  <si>
    <t>REYNERA</t>
  </si>
  <si>
    <t>110000470 | rPP20L04 Total</t>
  </si>
  <si>
    <t>110000471 | rPP20L05</t>
  </si>
  <si>
    <t>110000471 | rPP20L05 Total</t>
  </si>
  <si>
    <t>110000472 | rPP20Gy01</t>
  </si>
  <si>
    <t>NHỰA BUYO</t>
  </si>
  <si>
    <t>110000472 | rPP20Gy01 Total</t>
  </si>
  <si>
    <t>110000481 | rHDPE PCF01</t>
  </si>
  <si>
    <t>110000481 | rHDPE PCF01 Total</t>
  </si>
  <si>
    <t>110000482 | rPP20W01</t>
  </si>
  <si>
    <t>HANHMADE NGUYEN</t>
  </si>
  <si>
    <t>NGŨ KIM TẤN PHÁT</t>
  </si>
  <si>
    <t>NHỰA TC 2050</t>
  </si>
  <si>
    <t>QUÀ TẶNG MỘC</t>
  </si>
  <si>
    <t>THIÊN LONG LONG THÀNH</t>
  </si>
  <si>
    <t>110000482 | rPP20W01 Total</t>
  </si>
  <si>
    <t>110000483 | iSS01G-S</t>
  </si>
  <si>
    <t>Minh Thông</t>
  </si>
  <si>
    <t>THÀNH NGHĨA P.E.T</t>
  </si>
  <si>
    <t>110000483 | iSS01G-S Total</t>
  </si>
  <si>
    <t>110000495 | rHDA03W01</t>
  </si>
  <si>
    <t>SANOFI - DTP</t>
  </si>
  <si>
    <t>110000495 | rHDA03W01 Total</t>
  </si>
  <si>
    <t>110000496 | rHDI7DL02</t>
  </si>
  <si>
    <t>110000496 | rHDI7DL02 Total</t>
  </si>
  <si>
    <t>110000497 | WSS01G-L</t>
  </si>
  <si>
    <t>110000497 | WSS01G-L Total</t>
  </si>
  <si>
    <t>110000499 | WSS01L</t>
  </si>
  <si>
    <t>COLLECTIVE POLYMERS</t>
  </si>
  <si>
    <t>110000499 | WSS01L Total</t>
  </si>
  <si>
    <t>110000502 | rLDB2N01</t>
  </si>
  <si>
    <t>110000502 | rLDB2N01 Total</t>
  </si>
  <si>
    <t>110000503 | WSS01S</t>
  </si>
  <si>
    <t>110000503 | WSS01S Total</t>
  </si>
  <si>
    <t>110000505 | Vảy PET</t>
  </si>
  <si>
    <t>SHARPAK AYLESHAM LTD</t>
  </si>
  <si>
    <t>110000505 | Vảy PET Total</t>
  </si>
  <si>
    <t>110000506 | WSS01 &amp; WSS01G-L</t>
  </si>
  <si>
    <t>110000506 | WSS01 &amp; WSS01G-L Total</t>
  </si>
  <si>
    <t>110000507 | Vảy FPET201</t>
  </si>
  <si>
    <t>110000507 | Vảy FPET201 Total</t>
  </si>
  <si>
    <t>110000508 | rPP20W02</t>
  </si>
  <si>
    <t>110000508 | rPP20W02 Total</t>
  </si>
  <si>
    <t>110000509 | rHDB01B01</t>
  </si>
  <si>
    <t>BÌNH MINH VIỆT</t>
  </si>
  <si>
    <t>110000509 | rHDB01B01 Total</t>
  </si>
  <si>
    <t>110000522 | WSS03NC</t>
  </si>
  <si>
    <t>DƯƠNG THUẬN PHÁT</t>
  </si>
  <si>
    <t>VY KỲ PLASTIC</t>
  </si>
  <si>
    <t>110000522 | WSS03NC Total</t>
  </si>
  <si>
    <t>Grand Total</t>
  </si>
  <si>
    <t>TỔNG</t>
  </si>
  <si>
    <t>SẢN LƯỢNG (Kg)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</si>
  <si>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</si>
  <si>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</si>
  <si>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</si>
  <si>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</si>
  <si>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</si>
  <si>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</si>
  <si>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</si>
  <si>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</si>
  <si>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</si>
  <si>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Lấy đầu 11*</t>
  </si>
  <si>
    <t>Hạt iSS01084G</t>
  </si>
  <si>
    <t>Hạt iSS01G</t>
  </si>
  <si>
    <t>Hạt WSS01G</t>
  </si>
  <si>
    <t>Hạt WSS03G</t>
  </si>
  <si>
    <t>Hạt WSS03G-PW</t>
  </si>
  <si>
    <t>Hạt WSS05SB (sợi ngắn)</t>
  </si>
  <si>
    <t>Vảy FPET201-Out</t>
  </si>
  <si>
    <t>SẢN PHẨM</t>
  </si>
  <si>
    <t>STT</t>
  </si>
  <si>
    <t>Dây đai</t>
  </si>
  <si>
    <t>Link</t>
  </si>
  <si>
    <t>Dây Đai</t>
  </si>
  <si>
    <t>Hạt WSS05SB</t>
  </si>
  <si>
    <t>GIÁ BÁN EXW (USD/Tấn)</t>
  </si>
  <si>
    <t>GHI CHÚ</t>
  </si>
  <si>
    <t>Bao gồm WSS01</t>
  </si>
  <si>
    <t>Bao gồm WSS03: Không bao gồm lượng bán cho PW</t>
  </si>
  <si>
    <t>POLYCORE GLOBAL LIMITED</t>
  </si>
  <si>
    <t>(blank)</t>
  </si>
  <si>
    <t>iSS01G 1</t>
  </si>
  <si>
    <t>GIÁ VỐN ĐƠN VỊ (VND/kg)</t>
  </si>
  <si>
    <t>GIÁ XUẤT KHO TB (VND/kg)</t>
  </si>
  <si>
    <t>SẢN LƯỢNG (Tấn)</t>
  </si>
  <si>
    <t>LINK</t>
  </si>
  <si>
    <t>LG</t>
  </si>
  <si>
    <t>% SL</t>
  </si>
  <si>
    <t>% BIÊN  LG</t>
  </si>
  <si>
    <t>DOANH THU (VND/kg)</t>
  </si>
  <si>
    <t>%LG</t>
  </si>
  <si>
    <t>Năm</t>
  </si>
  <si>
    <t>GIÁ BÁN (VND/kg)</t>
  </si>
  <si>
    <t>GIÁ BÁN (USD/TON)</t>
  </si>
  <si>
    <t>2026 WF</t>
  </si>
  <si>
    <t>2026 WF_TT</t>
  </si>
  <si>
    <t>2026 WF_KTQT</t>
  </si>
  <si>
    <t>GIÁ THÀNH (VND/kg)</t>
  </si>
  <si>
    <t>GIÁ BÁN (USD/kg)</t>
  </si>
  <si>
    <t>GIÁ THÀNH (USDD/kg)</t>
  </si>
  <si>
    <t>CỘnng</t>
  </si>
  <si>
    <t>Hàng xơ sợi</t>
  </si>
  <si>
    <t>Hạt WSS03NC</t>
  </si>
  <si>
    <t>Hạt WSS04NC</t>
  </si>
  <si>
    <r>
      <t xml:space="preserve">BÁO CÁO BÁN HÀNG </t>
    </r>
    <r>
      <rPr>
        <b/>
        <sz val="20"/>
        <color rgb="FFFF0000"/>
        <rFont val="Montserrat"/>
      </rPr>
      <t>THEO NHÓM HÀNG</t>
    </r>
  </si>
  <si>
    <r>
      <t xml:space="preserve">BÁO CÁO BÁN HÀNG THEO </t>
    </r>
    <r>
      <rPr>
        <b/>
        <sz val="16"/>
        <color rgb="FFFF0000"/>
        <rFont val="Montserrat"/>
      </rPr>
      <t>SKU</t>
    </r>
  </si>
  <si>
    <r>
      <t xml:space="preserve">BÁN HÀNG </t>
    </r>
    <r>
      <rPr>
        <b/>
        <sz val="16"/>
        <color rgb="FFFF0000"/>
        <rFont val="Montserrat"/>
      </rPr>
      <t>THEO KHÁCH HÀNG</t>
    </r>
  </si>
  <si>
    <r>
      <t xml:space="preserve">BÁN HÀNG </t>
    </r>
    <r>
      <rPr>
        <b/>
        <sz val="16"/>
        <color rgb="FFFF0000"/>
        <rFont val="Montserrat"/>
      </rPr>
      <t>THEO QUỐC GIA</t>
    </r>
  </si>
  <si>
    <r>
      <t xml:space="preserve">BÁN HÀNG </t>
    </r>
    <r>
      <rPr>
        <b/>
        <sz val="16"/>
        <color rgb="FFFF0000"/>
        <rFont val="Montserrat"/>
      </rPr>
      <t>THEO KHU VỰC</t>
    </r>
  </si>
  <si>
    <r>
      <t xml:space="preserve">BÁO CÁO BÁN HÀNG </t>
    </r>
    <r>
      <rPr>
        <b/>
        <sz val="16"/>
        <color rgb="FFFF0000"/>
        <rFont val="Montserrat"/>
      </rPr>
      <t>XUẤT KHẨU – NỘI ĐỊA</t>
    </r>
  </si>
  <si>
    <t>Cus1</t>
  </si>
  <si>
    <t>Cus2</t>
  </si>
  <si>
    <t>Cus3</t>
  </si>
  <si>
    <t>Cus4</t>
  </si>
  <si>
    <t>Cus5</t>
  </si>
  <si>
    <t>SẢN LƯỢNG (TẤN)</t>
  </si>
  <si>
    <t>Shepley Spring</t>
  </si>
  <si>
    <t>Outerinho</t>
  </si>
  <si>
    <t>Suntory</t>
  </si>
  <si>
    <t>Uy Kiệt</t>
  </si>
  <si>
    <t>Polycore Global</t>
  </si>
  <si>
    <t>Unilever Ngọc Nghĩa</t>
  </si>
  <si>
    <t>Vina Fiber</t>
  </si>
  <si>
    <t>Khu Vực</t>
  </si>
  <si>
    <t>2026 WF_Suntory</t>
  </si>
  <si>
    <t>2026 WF_TT 11.8</t>
  </si>
  <si>
    <t xml:space="preserve">2026 Offer_Suntory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</si>
</sst>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;\-0.0%;;"/>
    <numFmt numFmtId="166" formatCode="_(* #,##0,_);_(* \(#,##0,\);_(* &quot;-&quot;??_);_(@_)"/>
  </numFmts>
  <fonts count="32" x14ac:knownFonts="1">
    <font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4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6" tint="-0.249977111117893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rgb="FF00B050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sz val="11"/>
      <color rgb="FF0535AD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b/>
      <sz val="11"/>
      <color rgb="FF00B050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1"/>
      <color rgb="FF1905AD"/>
      <name val="Aptos Display"/>
      <family val="2"/>
      <scheme val="major"/>
    </font>
    <font>
      <b/>
      <sz val="20"/>
      <color rgb="FF119303"/>
      <name val="Montserrat"/>
    </font>
    <font>
      <b/>
      <sz val="20"/>
      <color rgb="FFFF0000"/>
      <name val="Montserrat"/>
    </font>
    <font>
      <b/>
      <sz val="16"/>
      <color rgb="FF119303"/>
      <name val="Montserrat"/>
    </font>
    <font>
      <b/>
      <sz val="16"/>
      <color rgb="FFFF0000"/>
      <name val="Montserrat"/>
    </font>
    <font>
      <sz val="9"/>
      <color indexed="81"/>
      <name val="Tahoma"/>
      <charset val="1"/>
    </font>
    <font>
      <b/>
      <sz val="11"/>
      <color rgb="FFFFC000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6" tint="0.79998168889431442"/>
      </top>
      <bottom style="thin">
        <color theme="0"/>
      </bottom>
      <diagonal/>
    </border>
    <border>
      <left/>
      <right/>
      <top style="thin">
        <color theme="6" tint="0.79998168889431442"/>
      </top>
      <bottom style="medium">
        <color theme="6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6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thin">
        <color theme="6"/>
      </right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/>
      <top style="thin">
        <color theme="0"/>
      </top>
      <bottom/>
      <diagonal/>
    </border>
    <border>
      <left style="thick">
        <color theme="7" tint="-0.499984740745262"/>
      </left>
      <right style="thick">
        <color theme="7" tint="-0.499984740745262"/>
      </right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7" tint="-0.499984740745262"/>
      </left>
      <right style="thick">
        <color theme="7" tint="-0.499984740745262"/>
      </right>
      <top style="thin">
        <color theme="6" tint="0.59999389629810485"/>
      </top>
      <bottom style="thin">
        <color theme="6" tint="0.59999389629810485"/>
      </bottom>
      <diagonal/>
    </border>
    <border>
      <left style="thick">
        <color theme="7" tint="-0.499984740745262"/>
      </left>
      <right style="thick">
        <color theme="7" tint="-0.499984740745262"/>
      </right>
      <top style="medium">
        <color theme="6"/>
      </top>
      <bottom style="medium">
        <color theme="6"/>
      </bottom>
      <diagonal/>
    </border>
    <border>
      <left style="thick">
        <color theme="7" tint="-0.499984740745262"/>
      </left>
      <right style="thick">
        <color theme="7" tint="-0.499984740745262"/>
      </right>
      <top style="thick">
        <color theme="7" tint="-0.499984740745262"/>
      </top>
      <bottom style="medium">
        <color theme="6"/>
      </bottom>
      <diagonal/>
    </border>
    <border>
      <left/>
      <right/>
      <top style="thin">
        <color theme="6" tint="0.79998168889431442"/>
      </top>
      <bottom/>
      <diagonal/>
    </border>
    <border>
      <left style="medium">
        <color theme="6"/>
      </left>
      <right/>
      <top style="thin">
        <color theme="0"/>
      </top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thin">
        <color theme="6"/>
      </right>
      <top style="thin">
        <color theme="0"/>
      </top>
      <bottom/>
      <diagonal/>
    </border>
    <border>
      <left/>
      <right style="thin">
        <color theme="6"/>
      </right>
      <top/>
      <bottom style="medium">
        <color theme="6"/>
      </bottom>
      <diagonal/>
    </border>
    <border>
      <left style="medium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ck">
        <color theme="6"/>
      </left>
      <right style="thick">
        <color theme="6"/>
      </right>
      <top style="thick">
        <color theme="6"/>
      </top>
      <bottom style="medium">
        <color theme="6"/>
      </bottom>
      <diagonal/>
    </border>
    <border>
      <left style="thick">
        <color theme="6"/>
      </left>
      <right style="thick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6"/>
      </left>
      <right style="thick">
        <color theme="6"/>
      </right>
      <top style="thin">
        <color theme="6" tint="0.59999389629810485"/>
      </top>
      <bottom style="thin">
        <color theme="6" tint="0.59999389629810485"/>
      </bottom>
      <diagonal/>
    </border>
    <border>
      <left style="thick">
        <color theme="6"/>
      </left>
      <right style="thick">
        <color theme="6"/>
      </right>
      <top style="medium">
        <color theme="6"/>
      </top>
      <bottom style="medium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6" tint="0.79998168889431442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 style="hair">
        <color theme="0" tint="-0.14996795556505021"/>
      </bottom>
      <diagonal/>
    </border>
    <border>
      <left style="thick">
        <color theme="4"/>
      </left>
      <right style="thick">
        <color theme="4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/>
      <right style="thick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ck">
        <color theme="4"/>
      </left>
      <right/>
      <top style="medium">
        <color theme="4"/>
      </top>
      <bottom/>
      <diagonal/>
    </border>
    <border>
      <left style="thick">
        <color theme="6" tint="0.39994506668294322"/>
      </left>
      <right style="thick">
        <color theme="6" tint="0.39994506668294322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 style="thick">
        <color theme="6" tint="0.39994506668294322"/>
      </right>
      <top/>
      <bottom style="hair">
        <color theme="0" tint="-0.14996795556505021"/>
      </bottom>
      <diagonal/>
    </border>
    <border>
      <left style="thick">
        <color theme="6" tint="0.39994506668294322"/>
      </left>
      <right style="thick">
        <color theme="6" tint="0.39994506668294322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6" tint="0.39994506668294322"/>
      </left>
      <right style="thick">
        <color theme="6" tint="0.39994506668294322"/>
      </right>
      <top/>
      <bottom style="thick">
        <color theme="6" tint="0.39994506668294322"/>
      </bottom>
      <diagonal/>
    </border>
    <border>
      <left/>
      <right style="thick">
        <color theme="6" tint="0.39994506668294322"/>
      </right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 style="thick">
        <color theme="6" tint="0.39994506668294322"/>
      </left>
      <right/>
      <top style="thick">
        <color theme="6" tint="0.39994506668294322"/>
      </top>
      <bottom/>
      <diagonal/>
    </border>
    <border>
      <left style="thick">
        <color theme="6" tint="0.39991454817346722"/>
      </left>
      <right/>
      <top style="medium">
        <color theme="6" tint="0.39994506668294322"/>
      </top>
      <bottom/>
      <diagonal/>
    </border>
    <border>
      <left style="thick">
        <color theme="6" tint="0.39994506668294322"/>
      </left>
      <right style="thick">
        <color theme="6" tint="0.39991454817346722"/>
      </right>
      <top style="thick">
        <color theme="6" tint="0.39994506668294322"/>
      </top>
      <bottom/>
      <diagonal/>
    </border>
    <border>
      <left/>
      <right/>
      <top/>
      <bottom style="medium">
        <color theme="6"/>
      </bottom>
      <diagonal/>
    </border>
    <border>
      <left/>
      <right/>
      <top style="medium">
        <color auto="1"/>
      </top>
      <bottom/>
      <diagonal/>
    </border>
    <border>
      <left style="thick">
        <color theme="7" tint="-0.499984740745262"/>
      </left>
      <right style="thick">
        <color theme="7" tint="-0.499984740745262"/>
      </right>
      <top/>
      <bottom/>
      <diagonal/>
    </border>
    <border>
      <left style="thick">
        <color theme="6"/>
      </left>
      <right style="thick">
        <color theme="6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theme="7" tint="-0.499984740745262"/>
      </left>
      <right style="thick">
        <color theme="7" tint="-0.499984740745262"/>
      </right>
      <top/>
      <bottom style="medium">
        <color auto="1"/>
      </bottom>
      <diagonal/>
    </border>
    <border>
      <left style="thick">
        <color theme="6"/>
      </left>
      <right style="thick">
        <color theme="6"/>
      </right>
      <top/>
      <bottom style="medium">
        <color auto="1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ck">
        <color theme="8" tint="-0.24994659260841701"/>
      </top>
      <bottom style="medium">
        <color theme="6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n">
        <color theme="6" tint="0.59999389629810485"/>
      </top>
      <bottom style="thin">
        <color theme="6" tint="0.59999389629810485"/>
      </bottom>
      <diagonal/>
    </border>
    <border>
      <left style="thick">
        <color theme="8" tint="-0.24994659260841701"/>
      </left>
      <right style="thick">
        <color theme="8" tint="-0.24994659260841701"/>
      </right>
      <top style="medium">
        <color theme="6"/>
      </top>
      <bottom style="medium">
        <color theme="6"/>
      </bottom>
      <diagonal/>
    </border>
    <border>
      <left style="thick">
        <color theme="8" tint="-0.24994659260841701"/>
      </left>
      <right style="thick">
        <color theme="8" tint="-0.24994659260841701"/>
      </right>
      <top/>
      <bottom/>
      <diagonal/>
    </border>
    <border>
      <left style="thick">
        <color theme="8" tint="-0.24994659260841701"/>
      </left>
      <right style="thick">
        <color theme="8" tint="-0.24994659260841701"/>
      </right>
      <top/>
      <bottom style="thick">
        <color theme="8" tint="-0.24994659260841701"/>
      </bottom>
      <diagonal/>
    </border>
    <border>
      <left/>
      <right/>
      <top style="thick">
        <color theme="8" tint="-0.24994659260841701"/>
      </top>
      <bottom/>
      <diagonal/>
    </border>
    <border>
      <left style="thick">
        <color theme="8" tint="-0.24994659260841701"/>
      </left>
      <right style="thick">
        <color theme="8" tint="-0.24994659260841701"/>
      </right>
      <top style="thick">
        <color theme="8" tint="-0.24994659260841701"/>
      </top>
      <bottom/>
      <diagonal/>
    </border>
    <border>
      <left style="thick">
        <color theme="8" tint="-0.24994659260841701"/>
      </left>
      <right style="thick">
        <color theme="8" tint="-0.24994659260841701"/>
      </right>
      <top/>
      <bottom style="hair">
        <color theme="0" tint="-0.14996795556505021"/>
      </bottom>
      <diagonal/>
    </border>
    <border>
      <left style="thick">
        <color theme="8" tint="-0.24994659260841701"/>
      </left>
      <right style="thick">
        <color theme="8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3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3" fontId="1" fillId="0" borderId="10" xfId="0" applyNumberFormat="1" applyFont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Continuous"/>
    </xf>
    <xf numFmtId="3" fontId="1" fillId="0" borderId="14" xfId="0" applyNumberFormat="1" applyFont="1" applyBorder="1"/>
    <xf numFmtId="0" fontId="2" fillId="2" borderId="1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0" borderId="0" xfId="0" applyFont="1"/>
    <xf numFmtId="0" fontId="1" fillId="2" borderId="16" xfId="0" applyFont="1" applyFill="1" applyBorder="1" applyAlignment="1">
      <alignment horizontal="centerContinuous"/>
    </xf>
    <xf numFmtId="0" fontId="4" fillId="4" borderId="2" xfId="0" applyFont="1" applyFill="1" applyBorder="1" applyAlignment="1">
      <alignment horizontal="centerContinuous"/>
    </xf>
    <xf numFmtId="0" fontId="4" fillId="4" borderId="16" xfId="0" applyFont="1" applyFill="1" applyBorder="1" applyAlignment="1">
      <alignment horizontal="centerContinuous"/>
    </xf>
    <xf numFmtId="0" fontId="4" fillId="4" borderId="2" xfId="0" applyFont="1" applyFill="1" applyBorder="1"/>
    <xf numFmtId="3" fontId="1" fillId="0" borderId="26" xfId="0" applyNumberFormat="1" applyFont="1" applyBorder="1"/>
    <xf numFmtId="0" fontId="1" fillId="5" borderId="6" xfId="0" applyFont="1" applyFill="1" applyBorder="1"/>
    <xf numFmtId="0" fontId="1" fillId="5" borderId="7" xfId="0" applyFont="1" applyFill="1" applyBorder="1"/>
    <xf numFmtId="3" fontId="1" fillId="5" borderId="6" xfId="0" applyNumberFormat="1" applyFont="1" applyFill="1" applyBorder="1"/>
    <xf numFmtId="3" fontId="1" fillId="5" borderId="13" xfId="0" applyNumberFormat="1" applyFont="1" applyFill="1" applyBorder="1"/>
    <xf numFmtId="3" fontId="1" fillId="5" borderId="25" xfId="0" applyNumberFormat="1" applyFont="1" applyFill="1" applyBorder="1"/>
    <xf numFmtId="3" fontId="6" fillId="0" borderId="4" xfId="0" applyNumberFormat="1" applyFont="1" applyBorder="1"/>
    <xf numFmtId="3" fontId="6" fillId="0" borderId="12" xfId="0" applyNumberFormat="1" applyFont="1" applyBorder="1"/>
    <xf numFmtId="0" fontId="7" fillId="0" borderId="0" xfId="0" applyFont="1"/>
    <xf numFmtId="0" fontId="8" fillId="0" borderId="5" xfId="0" applyFont="1" applyBorder="1"/>
    <xf numFmtId="0" fontId="1" fillId="6" borderId="4" xfId="0" applyFont="1" applyFill="1" applyBorder="1"/>
    <xf numFmtId="0" fontId="1" fillId="6" borderId="2" xfId="0" applyFont="1" applyFill="1" applyBorder="1"/>
    <xf numFmtId="0" fontId="5" fillId="4" borderId="1" xfId="0" applyFont="1" applyFill="1" applyBorder="1" applyAlignment="1">
      <alignment horizontal="centerContinuous"/>
    </xf>
    <xf numFmtId="0" fontId="5" fillId="4" borderId="27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right" vertical="top"/>
    </xf>
    <xf numFmtId="0" fontId="1" fillId="2" borderId="15" xfId="0" applyFont="1" applyFill="1" applyBorder="1" applyAlignment="1">
      <alignment horizontal="right" vertical="top"/>
    </xf>
    <xf numFmtId="0" fontId="4" fillId="4" borderId="3" xfId="0" applyFont="1" applyFill="1" applyBorder="1" applyAlignment="1">
      <alignment horizontal="right" vertical="top"/>
    </xf>
    <xf numFmtId="0" fontId="4" fillId="4" borderId="23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1" fillId="2" borderId="3" xfId="0" quotePrefix="1" applyFont="1" applyFill="1" applyBorder="1" applyAlignment="1">
      <alignment horizontal="right" vertical="top"/>
    </xf>
    <xf numFmtId="0" fontId="4" fillId="4" borderId="3" xfId="0" quotePrefix="1" applyFont="1" applyFill="1" applyBorder="1" applyAlignment="1">
      <alignment horizontal="right" vertical="top"/>
    </xf>
    <xf numFmtId="0" fontId="9" fillId="0" borderId="0" xfId="0" applyFont="1"/>
    <xf numFmtId="3" fontId="10" fillId="0" borderId="4" xfId="0" applyNumberFormat="1" applyFont="1" applyBorder="1"/>
    <xf numFmtId="3" fontId="10" fillId="0" borderId="24" xfId="0" applyNumberFormat="1" applyFont="1" applyBorder="1"/>
    <xf numFmtId="0" fontId="13" fillId="0" borderId="0" xfId="0" applyFont="1"/>
    <xf numFmtId="0" fontId="0" fillId="0" borderId="28" xfId="0" applyBorder="1"/>
    <xf numFmtId="0" fontId="0" fillId="0" borderId="29" xfId="0" applyBorder="1"/>
    <xf numFmtId="0" fontId="12" fillId="8" borderId="31" xfId="0" applyFont="1" applyFill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8" borderId="36" xfId="0" applyFont="1" applyFill="1" applyBorder="1"/>
    <xf numFmtId="0" fontId="12" fillId="8" borderId="35" xfId="0" applyFont="1" applyFill="1" applyBorder="1"/>
    <xf numFmtId="0" fontId="12" fillId="8" borderId="37" xfId="0" applyFont="1" applyFill="1" applyBorder="1"/>
    <xf numFmtId="0" fontId="14" fillId="0" borderId="0" xfId="0" applyFont="1"/>
    <xf numFmtId="0" fontId="15" fillId="0" borderId="0" xfId="0" applyFont="1"/>
    <xf numFmtId="164" fontId="0" fillId="0" borderId="28" xfId="1" applyNumberFormat="1" applyFont="1" applyBorder="1"/>
    <xf numFmtId="164" fontId="0" fillId="0" borderId="29" xfId="1" applyNumberFormat="1" applyFont="1" applyBorder="1"/>
    <xf numFmtId="0" fontId="12" fillId="9" borderId="38" xfId="0" applyFont="1" applyFill="1" applyBorder="1"/>
    <xf numFmtId="164" fontId="13" fillId="0" borderId="39" xfId="1" applyNumberFormat="1" applyFont="1" applyBorder="1"/>
    <xf numFmtId="164" fontId="13" fillId="0" borderId="40" xfId="1" applyNumberFormat="1" applyFont="1" applyBorder="1"/>
    <xf numFmtId="0" fontId="0" fillId="0" borderId="41" xfId="0" applyBorder="1"/>
    <xf numFmtId="0" fontId="12" fillId="9" borderId="43" xfId="0" applyFont="1" applyFill="1" applyBorder="1"/>
    <xf numFmtId="0" fontId="12" fillId="9" borderId="42" xfId="0" applyFont="1" applyFill="1" applyBorder="1"/>
    <xf numFmtId="0" fontId="12" fillId="9" borderId="44" xfId="0" applyFont="1" applyFill="1" applyBorder="1"/>
    <xf numFmtId="0" fontId="12" fillId="9" borderId="45" xfId="0" applyFont="1" applyFill="1" applyBorder="1"/>
    <xf numFmtId="0" fontId="12" fillId="9" borderId="46" xfId="0" applyFont="1" applyFill="1" applyBorder="1"/>
    <xf numFmtId="0" fontId="1" fillId="2" borderId="47" xfId="0" quotePrefix="1" applyFont="1" applyFill="1" applyBorder="1" applyAlignment="1">
      <alignment horizontal="right" vertical="top"/>
    </xf>
    <xf numFmtId="0" fontId="5" fillId="4" borderId="11" xfId="0" applyFont="1" applyFill="1" applyBorder="1" applyAlignment="1">
      <alignment horizontal="centerContinuous"/>
    </xf>
    <xf numFmtId="0" fontId="4" fillId="4" borderId="47" xfId="0" quotePrefix="1" applyFont="1" applyFill="1" applyBorder="1" applyAlignment="1">
      <alignment horizontal="right" vertical="top"/>
    </xf>
    <xf numFmtId="0" fontId="12" fillId="2" borderId="0" xfId="0" applyFont="1" applyFill="1"/>
    <xf numFmtId="0" fontId="12" fillId="2" borderId="30" xfId="0" applyFont="1" applyFill="1" applyBorder="1" applyAlignment="1">
      <alignment horizontal="centerContinuous"/>
    </xf>
    <xf numFmtId="165" fontId="0" fillId="0" borderId="28" xfId="0" applyNumberFormat="1" applyBorder="1"/>
    <xf numFmtId="165" fontId="0" fillId="0" borderId="29" xfId="0" applyNumberFormat="1" applyBorder="1"/>
    <xf numFmtId="0" fontId="12" fillId="7" borderId="0" xfId="0" applyFont="1" applyFill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48" xfId="0" applyBorder="1"/>
    <xf numFmtId="0" fontId="1" fillId="0" borderId="0" xfId="0" applyFont="1"/>
    <xf numFmtId="3" fontId="1" fillId="0" borderId="0" xfId="0" applyNumberFormat="1" applyFont="1"/>
    <xf numFmtId="3" fontId="1" fillId="0" borderId="49" xfId="0" applyNumberFormat="1" applyFont="1" applyBorder="1"/>
    <xf numFmtId="3" fontId="1" fillId="0" borderId="50" xfId="0" applyNumberFormat="1" applyFont="1" applyBorder="1"/>
    <xf numFmtId="0" fontId="16" fillId="0" borderId="5" xfId="0" applyFont="1" applyBorder="1"/>
    <xf numFmtId="0" fontId="1" fillId="10" borderId="7" xfId="0" applyFont="1" applyFill="1" applyBorder="1"/>
    <xf numFmtId="3" fontId="16" fillId="0" borderId="4" xfId="0" applyNumberFormat="1" applyFont="1" applyBorder="1"/>
    <xf numFmtId="3" fontId="1" fillId="10" borderId="6" xfId="0" applyNumberFormat="1" applyFont="1" applyFill="1" applyBorder="1"/>
    <xf numFmtId="0" fontId="0" fillId="0" borderId="51" xfId="0" applyBorder="1"/>
    <xf numFmtId="3" fontId="16" fillId="0" borderId="12" xfId="0" applyNumberFormat="1" applyFont="1" applyBorder="1"/>
    <xf numFmtId="3" fontId="1" fillId="10" borderId="13" xfId="0" applyNumberFormat="1" applyFont="1" applyFill="1" applyBorder="1"/>
    <xf numFmtId="0" fontId="0" fillId="0" borderId="52" xfId="0" applyBorder="1"/>
    <xf numFmtId="3" fontId="16" fillId="0" borderId="24" xfId="0" applyNumberFormat="1" applyFont="1" applyBorder="1"/>
    <xf numFmtId="3" fontId="1" fillId="10" borderId="25" xfId="0" applyNumberFormat="1" applyFont="1" applyFill="1" applyBorder="1"/>
    <xf numFmtId="0" fontId="0" fillId="0" borderId="53" xfId="0" applyBorder="1"/>
    <xf numFmtId="0" fontId="5" fillId="11" borderId="1" xfId="0" applyFont="1" applyFill="1" applyBorder="1" applyAlignment="1">
      <alignment horizontal="centerContinuous"/>
    </xf>
    <xf numFmtId="0" fontId="5" fillId="11" borderId="11" xfId="0" applyFont="1" applyFill="1" applyBorder="1" applyAlignment="1">
      <alignment horizontal="centerContinuous"/>
    </xf>
    <xf numFmtId="0" fontId="5" fillId="11" borderId="27" xfId="0" applyFont="1" applyFill="1" applyBorder="1" applyAlignment="1">
      <alignment horizontal="centerContinuous"/>
    </xf>
    <xf numFmtId="0" fontId="4" fillId="11" borderId="2" xfId="0" applyFont="1" applyFill="1" applyBorder="1" applyAlignment="1">
      <alignment horizontal="centerContinuous"/>
    </xf>
    <xf numFmtId="0" fontId="4" fillId="11" borderId="16" xfId="0" applyFont="1" applyFill="1" applyBorder="1" applyAlignment="1">
      <alignment horizontal="centerContinuous"/>
    </xf>
    <xf numFmtId="0" fontId="4" fillId="11" borderId="3" xfId="0" quotePrefix="1" applyFont="1" applyFill="1" applyBorder="1" applyAlignment="1">
      <alignment horizontal="right" vertical="top"/>
    </xf>
    <xf numFmtId="0" fontId="4" fillId="11" borderId="3" xfId="0" applyFont="1" applyFill="1" applyBorder="1" applyAlignment="1">
      <alignment horizontal="right" vertical="top"/>
    </xf>
    <xf numFmtId="0" fontId="4" fillId="11" borderId="47" xfId="0" quotePrefix="1" applyFont="1" applyFill="1" applyBorder="1" applyAlignment="1">
      <alignment horizontal="right" vertical="top"/>
    </xf>
    <xf numFmtId="164" fontId="0" fillId="0" borderId="0" xfId="1" applyNumberFormat="1" applyFont="1"/>
    <xf numFmtId="0" fontId="4" fillId="11" borderId="54" xfId="0" applyFont="1" applyFill="1" applyBorder="1" applyAlignment="1">
      <alignment horizontal="right" vertical="top"/>
    </xf>
    <xf numFmtId="3" fontId="16" fillId="0" borderId="55" xfId="0" applyNumberFormat="1" applyFont="1" applyBorder="1"/>
    <xf numFmtId="3" fontId="1" fillId="10" borderId="56" xfId="0" applyNumberFormat="1" applyFont="1" applyFill="1" applyBorder="1"/>
    <xf numFmtId="3" fontId="1" fillId="0" borderId="57" xfId="0" applyNumberFormat="1" applyFont="1" applyBorder="1"/>
    <xf numFmtId="0" fontId="0" fillId="0" borderId="58" xfId="0" applyBorder="1"/>
    <xf numFmtId="0" fontId="0" fillId="0" borderId="59" xfId="0" applyBorder="1"/>
    <xf numFmtId="0" fontId="4" fillId="11" borderId="16" xfId="0" applyFont="1" applyFill="1" applyBorder="1"/>
    <xf numFmtId="0" fontId="12" fillId="11" borderId="60" xfId="0" applyFont="1" applyFill="1" applyBorder="1"/>
    <xf numFmtId="0" fontId="12" fillId="11" borderId="61" xfId="0" applyFont="1" applyFill="1" applyBorder="1"/>
    <xf numFmtId="164" fontId="13" fillId="0" borderId="62" xfId="1" applyNumberFormat="1" applyFont="1" applyBorder="1"/>
    <xf numFmtId="164" fontId="13" fillId="0" borderId="63" xfId="1" applyNumberFormat="1" applyFont="1" applyBorder="1"/>
    <xf numFmtId="0" fontId="1" fillId="6" borderId="6" xfId="0" applyFont="1" applyFill="1" applyBorder="1"/>
    <xf numFmtId="0" fontId="12" fillId="12" borderId="30" xfId="0" applyFont="1" applyFill="1" applyBorder="1" applyAlignment="1">
      <alignment horizontal="centerContinuous"/>
    </xf>
    <xf numFmtId="0" fontId="12" fillId="12" borderId="0" xfId="0" applyFont="1" applyFill="1"/>
    <xf numFmtId="166" fontId="0" fillId="0" borderId="28" xfId="1" applyNumberFormat="1" applyFont="1" applyBorder="1"/>
    <xf numFmtId="166" fontId="13" fillId="0" borderId="32" xfId="1" applyNumberFormat="1" applyFont="1" applyBorder="1"/>
    <xf numFmtId="166" fontId="0" fillId="0" borderId="29" xfId="1" applyNumberFormat="1" applyFont="1" applyBorder="1"/>
    <xf numFmtId="166" fontId="13" fillId="0" borderId="33" xfId="1" applyNumberFormat="1" applyFont="1" applyBorder="1"/>
    <xf numFmtId="164" fontId="11" fillId="13" borderId="0" xfId="1" applyNumberFormat="1" applyFont="1" applyFill="1"/>
    <xf numFmtId="164" fontId="0" fillId="0" borderId="0" xfId="0" applyNumberFormat="1"/>
    <xf numFmtId="164" fontId="13" fillId="0" borderId="0" xfId="1" applyNumberFormat="1" applyFont="1" applyBorder="1"/>
    <xf numFmtId="166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0" fontId="12" fillId="7" borderId="0" xfId="0" applyFont="1" applyFill="1" applyAlignment="1">
      <alignment horizontal="center" vertical="center"/>
    </xf>
    <xf numFmtId="165" fontId="0" fillId="0" borderId="64" xfId="0" applyNumberFormat="1" applyBorder="1"/>
    <xf numFmtId="0" fontId="12" fillId="2" borderId="65" xfId="0" applyFont="1" applyFill="1" applyBorder="1" applyAlignment="1">
      <alignment horizontal="centerContinuous"/>
    </xf>
    <xf numFmtId="0" fontId="12" fillId="2" borderId="66" xfId="0" applyFont="1" applyFill="1" applyBorder="1" applyAlignment="1">
      <alignment horizontal="centerContinuous"/>
    </xf>
    <xf numFmtId="0" fontId="12" fillId="2" borderId="67" xfId="0" applyFont="1" applyFill="1" applyBorder="1" applyAlignment="1">
      <alignment horizontal="centerContinuous"/>
    </xf>
    <xf numFmtId="165" fontId="0" fillId="0" borderId="68" xfId="0" applyNumberFormat="1" applyBorder="1"/>
    <xf numFmtId="165" fontId="0" fillId="0" borderId="69" xfId="0" applyNumberFormat="1" applyBorder="1"/>
    <xf numFmtId="165" fontId="13" fillId="0" borderId="70" xfId="0" applyNumberFormat="1" applyFont="1" applyBorder="1"/>
    <xf numFmtId="165" fontId="13" fillId="0" borderId="71" xfId="0" applyNumberFormat="1" applyFont="1" applyBorder="1"/>
    <xf numFmtId="165" fontId="13" fillId="0" borderId="72" xfId="0" applyNumberFormat="1" applyFont="1" applyBorder="1"/>
    <xf numFmtId="165" fontId="0" fillId="0" borderId="73" xfId="0" applyNumberFormat="1" applyBorder="1"/>
    <xf numFmtId="165" fontId="0" fillId="0" borderId="74" xfId="0" applyNumberFormat="1" applyBorder="1"/>
    <xf numFmtId="165" fontId="0" fillId="0" borderId="75" xfId="0" applyNumberFormat="1" applyBorder="1"/>
    <xf numFmtId="0" fontId="12" fillId="2" borderId="70" xfId="0" applyFont="1" applyFill="1" applyBorder="1"/>
    <xf numFmtId="0" fontId="12" fillId="2" borderId="71" xfId="0" applyFont="1" applyFill="1" applyBorder="1"/>
    <xf numFmtId="0" fontId="12" fillId="2" borderId="72" xfId="0" applyFont="1" applyFill="1" applyBorder="1"/>
    <xf numFmtId="0" fontId="0" fillId="0" borderId="28" xfId="0" applyBorder="1" applyAlignment="1">
      <alignment wrapText="1"/>
    </xf>
    <xf numFmtId="0" fontId="0" fillId="0" borderId="0" xfId="0" applyAlignment="1">
      <alignment wrapText="1"/>
    </xf>
    <xf numFmtId="0" fontId="12" fillId="14" borderId="0" xfId="0" applyFont="1" applyFill="1" applyAlignment="1">
      <alignment vertical="center"/>
    </xf>
    <xf numFmtId="0" fontId="17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0" xfId="0" applyFill="1"/>
    <xf numFmtId="0" fontId="18" fillId="0" borderId="0" xfId="0" applyFont="1" applyAlignment="1">
      <alignment wrapText="1"/>
    </xf>
    <xf numFmtId="164" fontId="18" fillId="0" borderId="0" xfId="0" applyNumberFormat="1" applyFont="1"/>
    <xf numFmtId="164" fontId="19" fillId="0" borderId="0" xfId="0" applyNumberFormat="1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9" fontId="20" fillId="0" borderId="0" xfId="2" applyFont="1"/>
    <xf numFmtId="0" fontId="21" fillId="0" borderId="0" xfId="0" applyFont="1" applyAlignment="1">
      <alignment wrapText="1"/>
    </xf>
    <xf numFmtId="164" fontId="21" fillId="0" borderId="0" xfId="0" applyNumberFormat="1" applyFont="1"/>
    <xf numFmtId="166" fontId="13" fillId="0" borderId="34" xfId="0" applyNumberFormat="1" applyFont="1" applyBorder="1"/>
    <xf numFmtId="0" fontId="22" fillId="0" borderId="29" xfId="0" applyFont="1" applyBorder="1"/>
    <xf numFmtId="0" fontId="23" fillId="0" borderId="29" xfId="0" applyFont="1" applyBorder="1"/>
    <xf numFmtId="0" fontId="24" fillId="0" borderId="29" xfId="0" applyFont="1" applyBorder="1"/>
    <xf numFmtId="166" fontId="25" fillId="0" borderId="0" xfId="1" applyNumberFormat="1" applyFont="1" applyBorder="1"/>
    <xf numFmtId="0" fontId="24" fillId="0" borderId="0" xfId="0" applyFont="1"/>
    <xf numFmtId="0" fontId="0" fillId="0" borderId="2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6" fillId="0" borderId="0" xfId="0" applyFont="1"/>
    <xf numFmtId="0" fontId="28" fillId="0" borderId="0" xfId="0" applyFont="1"/>
    <xf numFmtId="0" fontId="0" fillId="13" borderId="0" xfId="0" applyFill="1" applyAlignment="1">
      <alignment wrapText="1"/>
    </xf>
    <xf numFmtId="0" fontId="4" fillId="3" borderId="1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7" borderId="0" xfId="0" applyFont="1" applyFill="1" applyAlignment="1">
      <alignment vertical="center"/>
    </xf>
    <xf numFmtId="0" fontId="12" fillId="9" borderId="30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12" fillId="8" borderId="11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164" fontId="22" fillId="13" borderId="62" xfId="1" applyNumberFormat="1" applyFont="1" applyFill="1" applyBorder="1"/>
    <xf numFmtId="164" fontId="22" fillId="13" borderId="63" xfId="1" applyNumberFormat="1" applyFont="1" applyFill="1" applyBorder="1"/>
    <xf numFmtId="166" fontId="22" fillId="13" borderId="32" xfId="1" applyNumberFormat="1" applyFont="1" applyFill="1" applyBorder="1"/>
    <xf numFmtId="166" fontId="22" fillId="13" borderId="33" xfId="1" applyNumberFormat="1" applyFont="1" applyFill="1" applyBorder="1"/>
    <xf numFmtId="165" fontId="18" fillId="13" borderId="28" xfId="0" applyNumberFormat="1" applyFont="1" applyFill="1" applyBorder="1"/>
    <xf numFmtId="165" fontId="18" fillId="13" borderId="29" xfId="0" applyNumberFormat="1" applyFont="1" applyFill="1" applyBorder="1"/>
    <xf numFmtId="164" fontId="21" fillId="0" borderId="0" xfId="1" applyNumberFormat="1" applyFont="1"/>
    <xf numFmtId="164" fontId="31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535AD"/>
      <color rgb="FF1905AD"/>
      <color rgb="FF1041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7-4971-ADF8-5F48F9DC40D7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17-4971-ADF8-5F48F9DC40D7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17-4971-ADF8-5F48F9DC40D7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17-4971-ADF8-5F48F9DC4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SẢN</a:t>
            </a:r>
            <a:r>
              <a:rPr lang="en-US" baseline="0"/>
              <a:t> LƯỢNG 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Chart!$AS$4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Chart!$AT$4:$AV$4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8-481F-864B-516E7E950CDE}"/>
            </c:ext>
          </c:extLst>
        </c:ser>
        <c:ser>
          <c:idx val="1"/>
          <c:order val="1"/>
          <c:tx>
            <c:strRef>
              <c:f>Chart!$AS$5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Chart!$AT$5:$AV$5</c:f>
              <c:numCache>
                <c:formatCode>_(* #,##0,_);_(* \(#,##0,\);_(* "-"??_);_(@_)</c:formatCode>
                <c:ptCount val="3"/>
                <c:pt idx="0">
                  <c:v>4414400</c:v>
                </c:pt>
                <c:pt idx="1">
                  <c:v>10827735.800000001</c:v>
                </c:pt>
                <c:pt idx="2">
                  <c:v>1687500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8-481F-864B-516E7E950CDE}"/>
            </c:ext>
          </c:extLst>
        </c:ser>
        <c:ser>
          <c:idx val="2"/>
          <c:order val="2"/>
          <c:tx>
            <c:strRef>
              <c:f>Chart!$AS$6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Chart!$AT$6:$AV$6</c:f>
              <c:numCache>
                <c:formatCode>_(* #,##0,_);_(* \(#,##0,\);_(* "-"??_);_(@_)</c:formatCode>
                <c:ptCount val="3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8-481F-864B-516E7E950CDE}"/>
            </c:ext>
          </c:extLst>
        </c:ser>
        <c:ser>
          <c:idx val="3"/>
          <c:order val="3"/>
          <c:tx>
            <c:strRef>
              <c:f>Chart!$AS$7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Chart!$AT$7:$AV$7</c:f>
              <c:numCache>
                <c:formatCode>_(* #,##0,_);_(* \(#,##0,\);_(* "-"??_);_(@_)</c:formatCode>
                <c:ptCount val="3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8-481F-864B-516E7E95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107743"/>
        <c:axId val="1047108223"/>
      </c:barChart>
      <c:dateAx>
        <c:axId val="10471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8223"/>
        <c:crosses val="autoZero"/>
        <c:auto val="0"/>
        <c:lblOffset val="100"/>
        <c:baseTimeUnit val="days"/>
      </c:dateAx>
      <c:valAx>
        <c:axId val="10471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F-4088-89EA-D823CAA2E65C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F-4088-89EA-D823CAA2E65C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F-4088-89EA-D823CAA2E65C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CF-4088-89EA-D823CAA2E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(Suntory)'!$AT$18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(Suntory)'!$AT$19:$AT$21</c:f>
              <c:numCache>
                <c:formatCode>_(* #,##0,_);_(* \(#,##0,\);_(* "-"??_);_(@_)</c:formatCode>
                <c:ptCount val="3"/>
                <c:pt idx="0">
                  <c:v>2573618.2000000002</c:v>
                </c:pt>
                <c:pt idx="1">
                  <c:v>5207904.7</c:v>
                </c:pt>
                <c:pt idx="2">
                  <c:v>2953500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1-4F53-AD3A-83133F176B84}"/>
            </c:ext>
          </c:extLst>
        </c:ser>
        <c:ser>
          <c:idx val="1"/>
          <c:order val="1"/>
          <c:tx>
            <c:strRef>
              <c:f>'Chart (Suntory)'!$AU$18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(Suntory)'!$AU$19:$AU$21</c:f>
              <c:numCache>
                <c:formatCode>_(* #,##0_);_(* \(#,##0\);_(* "-"??_);_(@_)</c:formatCode>
                <c:ptCount val="3"/>
                <c:pt idx="0">
                  <c:v>35679.993238491428</c:v>
                </c:pt>
                <c:pt idx="1">
                  <c:v>34636.123976893912</c:v>
                </c:pt>
                <c:pt idx="2">
                  <c:v>30657.558979441008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1-4F53-AD3A-83133F176B84}"/>
            </c:ext>
          </c:extLst>
        </c:ser>
        <c:ser>
          <c:idx val="2"/>
          <c:order val="2"/>
          <c:tx>
            <c:strRef>
              <c:f>'Chart (Suntory)'!$AV$18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(Suntory)'!$AV$19:$AV$21</c:f>
              <c:numCache>
                <c:formatCode>_(* #,##0_);_(* \(#,##0\);_(* "-"??_);_(@_)</c:formatCode>
                <c:ptCount val="3"/>
                <c:pt idx="0">
                  <c:v>28107.031178932233</c:v>
                </c:pt>
                <c:pt idx="1">
                  <c:v>28425.137778271146</c:v>
                </c:pt>
                <c:pt idx="2">
                  <c:v>28606.26705038725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1-4F53-AD3A-83133F176B84}"/>
            </c:ext>
          </c:extLst>
        </c:ser>
        <c:ser>
          <c:idx val="3"/>
          <c:order val="3"/>
          <c:tx>
            <c:strRef>
              <c:f>'Chart (Suntory)'!$AW$18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(Suntory)'!$AW$19:$AW$21</c:f>
              <c:numCache>
                <c:formatCode>_(* #,##0_);_(* \(#,##0\);_(* "-"??_);_(@_)</c:formatCode>
                <c:ptCount val="3"/>
                <c:pt idx="0">
                  <c:v>7572.962059559195</c:v>
                </c:pt>
                <c:pt idx="1">
                  <c:v>6210.9861986227661</c:v>
                </c:pt>
                <c:pt idx="2">
                  <c:v>2051.2919290537575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F1-4F53-AD3A-83133F176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SẢN</a:t>
            </a:r>
            <a:r>
              <a:rPr lang="en-US" baseline="0"/>
              <a:t> LƯỢNG 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(Suntory)'!$AS$4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 (Suntory)'!$AT$4:$AV$4</c:f>
              <c:numCache>
                <c:formatCode>_(* #,##0,_);_(* \(#,##0,\);_(* "-"??_);_(@_)</c:formatCode>
                <c:ptCount val="3"/>
                <c:pt idx="0">
                  <c:v>2573618.2000000002</c:v>
                </c:pt>
                <c:pt idx="1">
                  <c:v>5207904.7</c:v>
                </c:pt>
                <c:pt idx="2">
                  <c:v>2953500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A-4D97-89CC-601BF3C6F6C1}"/>
            </c:ext>
          </c:extLst>
        </c:ser>
        <c:ser>
          <c:idx val="1"/>
          <c:order val="1"/>
          <c:tx>
            <c:strRef>
              <c:f>'Chart (Suntory)'!$AS$5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 (Suntory)'!$AT$5:$AV$5</c:f>
              <c:numCache>
                <c:formatCode>_(* #,##0,_);_(* \(#,##0,\);_(* "-"??_);_(@_)</c:formatCode>
                <c:ptCount val="3"/>
                <c:pt idx="0">
                  <c:v>33000</c:v>
                </c:pt>
                <c:pt idx="1">
                  <c:v>160600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A-4D97-89CC-601BF3C6F6C1}"/>
            </c:ext>
          </c:extLst>
        </c:ser>
        <c:ser>
          <c:idx val="2"/>
          <c:order val="2"/>
          <c:tx>
            <c:strRef>
              <c:f>'Chart (Suntory)'!$AS$6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'Chart (Suntory)'!$AT$6:$AV$6</c:f>
              <c:numCache>
                <c:formatCode>_(* #,##0,_);_(* \(#,##0,\);_(* "-"??_);_(@_)</c:formatCode>
                <c:ptCount val="3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A-4D97-89CC-601BF3C6F6C1}"/>
            </c:ext>
          </c:extLst>
        </c:ser>
        <c:ser>
          <c:idx val="3"/>
          <c:order val="3"/>
          <c:tx>
            <c:strRef>
              <c:f>'Chart (Suntory)'!$AS$7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'Chart (Suntory)'!$AT$7:$AV$7</c:f>
              <c:numCache>
                <c:formatCode>_(* #,##0,_);_(* \(#,##0,\);_(* "-"??_);_(@_)</c:formatCode>
                <c:ptCount val="3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A-4D97-89CC-601BF3C6F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107743"/>
        <c:axId val="1047108223"/>
      </c:barChart>
      <c:dateAx>
        <c:axId val="10471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8223"/>
        <c:crosses val="autoZero"/>
        <c:auto val="0"/>
        <c:lblOffset val="100"/>
        <c:baseTimeUnit val="days"/>
      </c:dateAx>
      <c:valAx>
        <c:axId val="10471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(Suntory)'!$AT$18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(Suntory)'!$AT$19:$AT$21</c:f>
              <c:numCache>
                <c:formatCode>_(* #,##0,_);_(* \(#,##0,\);_(* "-"??_);_(@_)</c:formatCode>
                <c:ptCount val="3"/>
                <c:pt idx="0">
                  <c:v>2573618.2000000002</c:v>
                </c:pt>
                <c:pt idx="1">
                  <c:v>5207904.7</c:v>
                </c:pt>
                <c:pt idx="2">
                  <c:v>2953500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4-41B3-98F4-8A6B8F221357}"/>
            </c:ext>
          </c:extLst>
        </c:ser>
        <c:ser>
          <c:idx val="1"/>
          <c:order val="1"/>
          <c:tx>
            <c:strRef>
              <c:f>'Chart (Suntory)'!$AU$18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(Suntory)'!$AU$19:$AU$21</c:f>
              <c:numCache>
                <c:formatCode>_(* #,##0_);_(* \(#,##0\);_(* "-"??_);_(@_)</c:formatCode>
                <c:ptCount val="3"/>
                <c:pt idx="0">
                  <c:v>35679.993238491428</c:v>
                </c:pt>
                <c:pt idx="1">
                  <c:v>34636.123976893912</c:v>
                </c:pt>
                <c:pt idx="2">
                  <c:v>30657.558979441008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4-41B3-98F4-8A6B8F221357}"/>
            </c:ext>
          </c:extLst>
        </c:ser>
        <c:ser>
          <c:idx val="2"/>
          <c:order val="2"/>
          <c:tx>
            <c:strRef>
              <c:f>'Chart (Suntory)'!$AV$18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(Suntory)'!$AV$19:$AV$21</c:f>
              <c:numCache>
                <c:formatCode>_(* #,##0_);_(* \(#,##0\);_(* "-"??_);_(@_)</c:formatCode>
                <c:ptCount val="3"/>
                <c:pt idx="0">
                  <c:v>28107.031178932233</c:v>
                </c:pt>
                <c:pt idx="1">
                  <c:v>28425.137778271146</c:v>
                </c:pt>
                <c:pt idx="2">
                  <c:v>28606.26705038725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4-41B3-98F4-8A6B8F221357}"/>
            </c:ext>
          </c:extLst>
        </c:ser>
        <c:ser>
          <c:idx val="3"/>
          <c:order val="3"/>
          <c:tx>
            <c:strRef>
              <c:f>'Chart (Suntory)'!$AW$18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(Suntory)'!$AS$19:$AS$21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(Suntory)'!$AW$19:$AW$21</c:f>
              <c:numCache>
                <c:formatCode>_(* #,##0_);_(* \(#,##0\);_(* "-"??_);_(@_)</c:formatCode>
                <c:ptCount val="3"/>
                <c:pt idx="0">
                  <c:v>7572.962059559195</c:v>
                </c:pt>
                <c:pt idx="1">
                  <c:v>6210.9861986227661</c:v>
                </c:pt>
                <c:pt idx="2">
                  <c:v>2051.2919290537575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14-41B3-98F4-8A6B8F22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FC'!$AT$18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0-4858-9711-E8C87FD22BDB}"/>
            </c:ext>
          </c:extLst>
        </c:ser>
        <c:ser>
          <c:idx val="1"/>
          <c:order val="1"/>
          <c:tx>
            <c:strRef>
              <c:f>'Chart FC'!$AU$18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0-4858-9711-E8C87FD22BDB}"/>
            </c:ext>
          </c:extLst>
        </c:ser>
        <c:ser>
          <c:idx val="2"/>
          <c:order val="2"/>
          <c:tx>
            <c:strRef>
              <c:f>'Chart FC'!$AV$18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0-4858-9711-E8C87FD22BDB}"/>
            </c:ext>
          </c:extLst>
        </c:ser>
        <c:ser>
          <c:idx val="3"/>
          <c:order val="3"/>
          <c:tx>
            <c:strRef>
              <c:f>'Chart FC'!$AW$18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0-4858-9711-E8C87FD22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SẢN</a:t>
            </a:r>
            <a:r>
              <a:rPr lang="en-US" baseline="0"/>
              <a:t> LƯỢNG 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FC'!$AS$4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 FC'!$AT$4:$AV$4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0-47D0-87EF-B17B915FFF8E}"/>
            </c:ext>
          </c:extLst>
        </c:ser>
        <c:ser>
          <c:idx val="1"/>
          <c:order val="1"/>
          <c:tx>
            <c:strRef>
              <c:f>'Chart FC'!$AS$5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 FC'!$AT$5:$AV$5</c:f>
              <c:numCache>
                <c:formatCode>_(* #,##0,_);_(* \(#,##0,\);_(* "-"??_);_(@_)</c:formatCode>
                <c:ptCount val="3"/>
                <c:pt idx="0">
                  <c:v>4414400</c:v>
                </c:pt>
                <c:pt idx="1">
                  <c:v>10827735.800000001</c:v>
                </c:pt>
                <c:pt idx="2">
                  <c:v>1687500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0-47D0-87EF-B17B915FFF8E}"/>
            </c:ext>
          </c:extLst>
        </c:ser>
        <c:ser>
          <c:idx val="2"/>
          <c:order val="2"/>
          <c:tx>
            <c:strRef>
              <c:f>'Chart FC'!$AS$6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'Chart FC'!$AT$6:$AV$6</c:f>
              <c:numCache>
                <c:formatCode>_(* #,##0,_);_(* \(#,##0,\);_(* "-"??_);_(@_)</c:formatCode>
                <c:ptCount val="3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0-47D0-87EF-B17B915FFF8E}"/>
            </c:ext>
          </c:extLst>
        </c:ser>
        <c:ser>
          <c:idx val="3"/>
          <c:order val="3"/>
          <c:tx>
            <c:strRef>
              <c:f>'Chart FC'!$AS$7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'Chart FC'!$AT$7:$AV$7</c:f>
              <c:numCache>
                <c:formatCode>_(* #,##0,_);_(* \(#,##0,\);_(* "-"??_);_(@_)</c:formatCode>
                <c:ptCount val="3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70-47D0-87EF-B17B915F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107743"/>
        <c:axId val="1047108223"/>
      </c:barChart>
      <c:dateAx>
        <c:axId val="10471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8223"/>
        <c:crosses val="autoZero"/>
        <c:auto val="0"/>
        <c:lblOffset val="100"/>
        <c:baseTimeUnit val="days"/>
      </c:dateAx>
      <c:valAx>
        <c:axId val="10471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Cơ</a:t>
            </a:r>
            <a:r>
              <a:rPr lang="en-US" baseline="0">
                <a:solidFill>
                  <a:srgbClr val="1041A2"/>
                </a:solidFill>
              </a:rPr>
              <a:t> cấu sản phẩm</a:t>
            </a:r>
            <a:endParaRPr lang="en-US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SL'!$D$4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B-4A2E-80FB-77C6A6C4FD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SL'!$D$5:$D$9</c:f>
              <c:numCache>
                <c:formatCode>_(* #,##0,_);_(* \(#,##0,\);_(* "-"??_);_(@_)</c:formatCode>
                <c:ptCount val="5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  <c:pt idx="3">
                  <c:v>7999200</c:v>
                </c:pt>
                <c:pt idx="4">
                  <c:v>5097268.5500000007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DB-4A2E-80FB-77C6A6C4FDBD}"/>
            </c:ext>
          </c:extLst>
        </c:ser>
        <c:ser>
          <c:idx val="1"/>
          <c:order val="1"/>
          <c:tx>
            <c:strRef>
              <c:f>'Chart SL'!$E$4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A8-4434-9972-0B59F257DA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SL'!$E$5:$E$9</c:f>
              <c:numCache>
                <c:formatCode>_(* #,##0,_);_(* \(#,##0,\);_(* "-"??_);_(@_)</c:formatCode>
                <c:ptCount val="5"/>
                <c:pt idx="0">
                  <c:v>4414400</c:v>
                </c:pt>
                <c:pt idx="1">
                  <c:v>10827735.800000001</c:v>
                </c:pt>
                <c:pt idx="2">
                  <c:v>1687500</c:v>
                </c:pt>
                <c:pt idx="3">
                  <c:v>5062500</c:v>
                </c:pt>
                <c:pt idx="4">
                  <c:v>7621067.9000000004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DB-4A2E-80FB-77C6A6C4FDBD}"/>
            </c:ext>
          </c:extLst>
        </c:ser>
        <c:ser>
          <c:idx val="3"/>
          <c:order val="2"/>
          <c:tx>
            <c:strRef>
              <c:f>'Chart SL'!$F$4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9DB-4A2E-80FB-77C6A6C4FDBD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A8-4434-9972-0B59F257DA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SL'!$F$5:$F$9</c:f>
              <c:numCache>
                <c:formatCode>_(* #,##0,_);_(* \(#,##0,\);_(* "-"??_);_(@_)</c:formatCode>
                <c:ptCount val="5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  <c:pt idx="3">
                  <c:v>25588800</c:v>
                </c:pt>
                <c:pt idx="4">
                  <c:v>19746312.5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9DB-4A2E-80FB-77C6A6C4FDBD}"/>
            </c:ext>
          </c:extLst>
        </c:ser>
        <c:ser>
          <c:idx val="2"/>
          <c:order val="3"/>
          <c:tx>
            <c:strRef>
              <c:f>'Chart SL'!$G$4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2A8-4434-9972-0B59F257D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SL'!$G$5:$G$9</c:f>
              <c:numCache>
                <c:formatCode>_(* #,##0,_);_(* \(#,##0,\);_(* "-"??_);_(@_)</c:formatCode>
                <c:ptCount val="5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  <c:pt idx="3">
                  <c:v>3739350</c:v>
                </c:pt>
                <c:pt idx="4">
                  <c:v>1487637.5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9DB-4A2E-80FB-77C6A6C4FD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Cơ</a:t>
            </a:r>
            <a:r>
              <a:rPr lang="en-US" baseline="0">
                <a:solidFill>
                  <a:srgbClr val="1041A2"/>
                </a:solidFill>
              </a:rPr>
              <a:t> cấu sản phẩm</a:t>
            </a:r>
            <a:endParaRPr lang="en-US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SL'!$D$40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SL'!$D$41:$D$44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6408593.9000000004</c:v>
                </c:pt>
                <c:pt idx="2">
                  <c:v>3666666.6666666665</c:v>
                </c:pt>
                <c:pt idx="3">
                  <c:v>7999200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1-4A8F-AB18-457A9244534A}"/>
            </c:ext>
          </c:extLst>
        </c:ser>
        <c:ser>
          <c:idx val="1"/>
          <c:order val="1"/>
          <c:tx>
            <c:strRef>
              <c:f>'Chart SL'!$E$40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E51-4A8F-AB18-457A92445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SL'!$E$41:$E$44</c:f>
              <c:numCache>
                <c:formatCode>_(* #,##0,_);_(* \(#,##0,\);_(* "-"??_);_(@_)</c:formatCode>
                <c:ptCount val="4"/>
                <c:pt idx="0">
                  <c:v>4414400</c:v>
                </c:pt>
                <c:pt idx="1">
                  <c:v>10827735.800000001</c:v>
                </c:pt>
                <c:pt idx="2">
                  <c:v>7333333.333333333</c:v>
                </c:pt>
                <c:pt idx="3">
                  <c:v>5062500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1-4A8F-AB18-457A9244534A}"/>
            </c:ext>
          </c:extLst>
        </c:ser>
        <c:ser>
          <c:idx val="3"/>
          <c:order val="2"/>
          <c:tx>
            <c:strRef>
              <c:f>'Chart SL'!$F$40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E51-4A8F-AB18-457A9244534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51-4A8F-AB18-457A92445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SL'!$F$41:$F$44</c:f>
              <c:numCache>
                <c:formatCode>_(* #,##0,_);_(* \(#,##0,\);_(* "-"??_);_(@_)</c:formatCode>
                <c:ptCount val="4"/>
                <c:pt idx="0">
                  <c:v>19788700</c:v>
                </c:pt>
                <c:pt idx="1">
                  <c:v>19703925</c:v>
                </c:pt>
                <c:pt idx="2">
                  <c:v>14666666.666666666</c:v>
                </c:pt>
                <c:pt idx="3">
                  <c:v>25588800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51-4A8F-AB18-457A9244534A}"/>
            </c:ext>
          </c:extLst>
        </c:ser>
        <c:ser>
          <c:idx val="2"/>
          <c:order val="3"/>
          <c:tx>
            <c:strRef>
              <c:f>'Chart SL'!$G$40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SL'!$G$41:$G$44</c:f>
              <c:numCache>
                <c:formatCode>_(* #,##0,_);_(* \(#,##0,\);_(* "-"??_);_(@_)</c:formatCode>
                <c:ptCount val="4"/>
                <c:pt idx="0">
                  <c:v>1740225</c:v>
                </c:pt>
                <c:pt idx="1">
                  <c:v>1235050</c:v>
                </c:pt>
                <c:pt idx="2">
                  <c:v>3666666.6666666665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51-4A8F-AB18-457A92445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Cơ</a:t>
            </a:r>
            <a:r>
              <a:rPr lang="en-US" baseline="0">
                <a:solidFill>
                  <a:srgbClr val="1041A2"/>
                </a:solidFill>
              </a:rPr>
              <a:t> cấu sản phẩm</a:t>
            </a:r>
            <a:endParaRPr lang="en-US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SL'!$I$40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SL'!$I$41:$I$44</c:f>
              <c:numCache>
                <c:formatCode>0%</c:formatCode>
                <c:ptCount val="4"/>
                <c:pt idx="0">
                  <c:v>0.12734733914506513</c:v>
                </c:pt>
                <c:pt idx="1">
                  <c:v>0.16787276356696637</c:v>
                </c:pt>
                <c:pt idx="2">
                  <c:v>0.125</c:v>
                </c:pt>
                <c:pt idx="3">
                  <c:v>0.18870555097505654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1-4F60-80E4-E45AEB4F731D}"/>
            </c:ext>
          </c:extLst>
        </c:ser>
        <c:ser>
          <c:idx val="1"/>
          <c:order val="1"/>
          <c:tx>
            <c:strRef>
              <c:f>'Chart SL'!$J$40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8B1-4F60-80E4-E45AEB4F7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SL'!$J$41:$J$44</c:f>
              <c:numCache>
                <c:formatCode>0%</c:formatCode>
                <c:ptCount val="4"/>
                <c:pt idx="0">
                  <c:v>0.1484866687704072</c:v>
                </c:pt>
                <c:pt idx="1">
                  <c:v>0.28363194177727152</c:v>
                </c:pt>
                <c:pt idx="2">
                  <c:v>0.25</c:v>
                </c:pt>
                <c:pt idx="3">
                  <c:v>0.11942717419382234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B1-4F60-80E4-E45AEB4F731D}"/>
            </c:ext>
          </c:extLst>
        </c:ser>
        <c:ser>
          <c:idx val="2"/>
          <c:order val="2"/>
          <c:tx>
            <c:strRef>
              <c:f>'Chart SL'!$K$40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8B1-4F60-80E4-E45AEB4F731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8B1-4F60-80E4-E45AEB4F7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SL'!$K$41:$K$44</c:f>
              <c:numCache>
                <c:formatCode>0%</c:formatCode>
                <c:ptCount val="4"/>
                <c:pt idx="0">
                  <c:v>0.6656302424558167</c:v>
                </c:pt>
                <c:pt idx="1">
                  <c:v>0.51614322805915935</c:v>
                </c:pt>
                <c:pt idx="2">
                  <c:v>0.5</c:v>
                </c:pt>
                <c:pt idx="3">
                  <c:v>0.60365394074289014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B1-4F60-80E4-E45AEB4F731D}"/>
            </c:ext>
          </c:extLst>
        </c:ser>
        <c:ser>
          <c:idx val="3"/>
          <c:order val="3"/>
          <c:tx>
            <c:strRef>
              <c:f>'Chart SL'!$L$40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SL'!$L$41:$L$44</c:f>
              <c:numCache>
                <c:formatCode>0%</c:formatCode>
                <c:ptCount val="4"/>
                <c:pt idx="0">
                  <c:v>5.8535749628711012E-2</c:v>
                </c:pt>
                <c:pt idx="1">
                  <c:v>3.2352066596602697E-2</c:v>
                </c:pt>
                <c:pt idx="2">
                  <c:v>0.125</c:v>
                </c:pt>
                <c:pt idx="3">
                  <c:v>8.8213334088231024E-2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B1-4F60-80E4-E45AEB4F73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7-4B67-9740-47EA8931E945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7-4B67-9740-47EA8931E945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7-4B67-9740-47EA8931E945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7-4B67-9740-47EA8931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E-4983-9695-AAC9F46A12FD}"/>
            </c:ext>
          </c:extLst>
        </c:ser>
        <c:ser>
          <c:idx val="1"/>
          <c:order val="1"/>
          <c:tx>
            <c:strRef>
              <c:f>'Chart 1'!$AJ$6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E-4983-9695-AAC9F46A12FD}"/>
            </c:ext>
          </c:extLst>
        </c:ser>
        <c:ser>
          <c:idx val="2"/>
          <c:order val="2"/>
          <c:tx>
            <c:strRef>
              <c:f>'Chart 1'!$AJ$7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E-4983-9695-AAC9F46A1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C1E-A522-60636C8669A0}"/>
            </c:ext>
          </c:extLst>
        </c:ser>
        <c:ser>
          <c:idx val="1"/>
          <c:order val="1"/>
          <c:tx>
            <c:strRef>
              <c:f>'Chart 1'!$AJ$6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C-4C1E-A522-60636C8669A0}"/>
            </c:ext>
          </c:extLst>
        </c:ser>
        <c:ser>
          <c:idx val="2"/>
          <c:order val="2"/>
          <c:tx>
            <c:strRef>
              <c:f>'Chart 1'!$AJ$7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2C-4C1E-A522-60636C86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B-4406-807F-71CE3C86AC14}"/>
            </c:ext>
          </c:extLst>
        </c:ser>
        <c:ser>
          <c:idx val="1"/>
          <c:order val="1"/>
          <c:tx>
            <c:strRef>
              <c:f>'Chart 1'!$AJ$67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B-4406-807F-71CE3C86AC14}"/>
            </c:ext>
          </c:extLst>
        </c:ser>
        <c:ser>
          <c:idx val="2"/>
          <c:order val="2"/>
          <c:tx>
            <c:strRef>
              <c:f>'Chart 1'!$AJ$68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B-4406-807F-71CE3C86A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E-41CC-88EC-7E7C058DE746}"/>
            </c:ext>
          </c:extLst>
        </c:ser>
        <c:ser>
          <c:idx val="1"/>
          <c:order val="1"/>
          <c:tx>
            <c:strRef>
              <c:f>'Chart 1'!$AJ$67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E-41CC-88EC-7E7C058DE746}"/>
            </c:ext>
          </c:extLst>
        </c:ser>
        <c:ser>
          <c:idx val="2"/>
          <c:order val="2"/>
          <c:tx>
            <c:strRef>
              <c:f>'Chart 1'!$AJ$68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E-41CC-88EC-7E7C058DE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1'!$AK$33:$AN$33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9-4D0E-A419-75EF3E111AB2}"/>
            </c:ext>
          </c:extLst>
        </c:ser>
        <c:ser>
          <c:idx val="1"/>
          <c:order val="1"/>
          <c:tx>
            <c:strRef>
              <c:f>'Chart 1'!$AJ$35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1'!$AK$33:$AN$33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9-4D0E-A419-75EF3E111AB2}"/>
            </c:ext>
          </c:extLst>
        </c:ser>
        <c:ser>
          <c:idx val="2"/>
          <c:order val="2"/>
          <c:tx>
            <c:strRef>
              <c:f>'Chart 1'!$AJ$36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1'!$AK$33:$AN$33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9-4D0E-A419-75EF3E111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7-47CA-984A-FF1B25D6C33F}"/>
            </c:ext>
          </c:extLst>
        </c:ser>
        <c:ser>
          <c:idx val="1"/>
          <c:order val="1"/>
          <c:tx>
            <c:strRef>
              <c:f>'Chart 1'!$AJ$35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7-47CA-984A-FF1B25D6C33F}"/>
            </c:ext>
          </c:extLst>
        </c:ser>
        <c:ser>
          <c:idx val="2"/>
          <c:order val="2"/>
          <c:tx>
            <c:strRef>
              <c:f>'Chart 1'!$AJ$36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7-47CA-984A-FF1B25D6C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271-A145-AF1867CCAFAF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4-4271-A145-AF1867CCAFAF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4-4271-A145-AF1867CCAFAF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B4-4271-A145-AF1867CCA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5-4083-AEE5-711CBB1469F1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5-4083-AEE5-711CBB1469F1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5-4083-AEE5-711CBB1469F1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5-4083-AEE5-711CBB146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A-47EC-9C89-A7089265A789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A-47EC-9C89-A7089265A789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A-47EC-9C89-A7089265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5-4658-8B36-A4C22ACDB89C}"/>
            </c:ext>
          </c:extLst>
        </c:ser>
        <c:ser>
          <c:idx val="1"/>
          <c:order val="1"/>
          <c:tx>
            <c:strRef>
              <c:f>'Chart 1'!$BA$6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5-4658-8B36-A4C22ACDB89C}"/>
            </c:ext>
          </c:extLst>
        </c:ser>
        <c:ser>
          <c:idx val="2"/>
          <c:order val="2"/>
          <c:tx>
            <c:strRef>
              <c:f>'Chart 1'!$BA$7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5-4658-8B36-A4C22ACD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C-460D-A532-DB1B0C7E967E}"/>
            </c:ext>
          </c:extLst>
        </c:ser>
        <c:ser>
          <c:idx val="1"/>
          <c:order val="1"/>
          <c:tx>
            <c:strRef>
              <c:f>'Chart 1'!$BA$6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C-460D-A532-DB1B0C7E967E}"/>
            </c:ext>
          </c:extLst>
        </c:ser>
        <c:ser>
          <c:idx val="2"/>
          <c:order val="2"/>
          <c:tx>
            <c:strRef>
              <c:f>'Chart 1'!$BA$7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5C-460D-A532-DB1B0C7E9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0-49FE-86BF-08A8DE97074C}"/>
            </c:ext>
          </c:extLst>
        </c:ser>
        <c:ser>
          <c:idx val="1"/>
          <c:order val="1"/>
          <c:tx>
            <c:strRef>
              <c:f>'Chart 1'!$P$5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0-49FE-86BF-08A8DE97074C}"/>
            </c:ext>
          </c:extLst>
        </c:ser>
        <c:ser>
          <c:idx val="2"/>
          <c:order val="2"/>
          <c:tx>
            <c:strRef>
              <c:f>'Chart 1'!$Q$5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0-49FE-86BF-08A8DE97074C}"/>
            </c:ext>
          </c:extLst>
        </c:ser>
        <c:ser>
          <c:idx val="3"/>
          <c:order val="3"/>
          <c:tx>
            <c:strRef>
              <c:f>'Chart 1'!$R$5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0-49FE-86BF-08A8DE970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1'!$O$69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B-4EB2-AB91-FA51992D734C}"/>
            </c:ext>
          </c:extLst>
        </c:ser>
        <c:ser>
          <c:idx val="2"/>
          <c:order val="1"/>
          <c:tx>
            <c:strRef>
              <c:f>'Chart 1'!$P$69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EB-4EB2-AB91-FA51992D734C}"/>
            </c:ext>
          </c:extLst>
        </c:ser>
        <c:ser>
          <c:idx val="3"/>
          <c:order val="2"/>
          <c:tx>
            <c:strRef>
              <c:f>'Chart 1'!$Q$69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EB-4EB2-AB91-FA51992D734C}"/>
            </c:ext>
          </c:extLst>
        </c:ser>
        <c:ser>
          <c:idx val="0"/>
          <c:order val="3"/>
          <c:tx>
            <c:strRef>
              <c:f>'Chart 1'!$R$69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EB-4EB2-AB91-FA51992D7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DA-4224-B629-D94264750E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A-4224-B629-D94264750E28}"/>
            </c:ext>
          </c:extLst>
        </c:ser>
        <c:ser>
          <c:idx val="1"/>
          <c:order val="1"/>
          <c:tx>
            <c:strRef>
              <c:f>'Chart 1'!$P$38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A-4224-B629-D94264750E28}"/>
            </c:ext>
          </c:extLst>
        </c:ser>
        <c:ser>
          <c:idx val="2"/>
          <c:order val="2"/>
          <c:tx>
            <c:strRef>
              <c:f>'Chart 1'!$Q$38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A-4224-B629-D94264750E28}"/>
            </c:ext>
          </c:extLst>
        </c:ser>
        <c:ser>
          <c:idx val="3"/>
          <c:order val="3"/>
          <c:tx>
            <c:strRef>
              <c:f>'Chart 1'!$R$38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DA-4224-B629-D94264750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1-409A-8F40-62656560B305}"/>
            </c:ext>
          </c:extLst>
        </c:ser>
        <c:ser>
          <c:idx val="1"/>
          <c:order val="1"/>
          <c:tx>
            <c:strRef>
              <c:f>'Chart 1'!$P$100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01-409A-8F40-62656560B305}"/>
            </c:ext>
          </c:extLst>
        </c:ser>
        <c:ser>
          <c:idx val="2"/>
          <c:order val="2"/>
          <c:tx>
            <c:strRef>
              <c:f>'Chart 1'!$Q$100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01-409A-8F40-62656560B305}"/>
            </c:ext>
          </c:extLst>
        </c:ser>
        <c:ser>
          <c:idx val="3"/>
          <c:order val="3"/>
          <c:tx>
            <c:strRef>
              <c:f>'Chart 1'!$R$100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01-409A-8F40-62656560B3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8-429E-9548-503B1E9EBC30}"/>
            </c:ext>
          </c:extLst>
        </c:ser>
        <c:ser>
          <c:idx val="1"/>
          <c:order val="1"/>
          <c:tx>
            <c:strRef>
              <c:f>'Chart 1'!$BQ$6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8-429E-9548-503B1E9EBC30}"/>
            </c:ext>
          </c:extLst>
        </c:ser>
        <c:ser>
          <c:idx val="2"/>
          <c:order val="2"/>
          <c:tx>
            <c:strRef>
              <c:f>'Chart 1'!$BQ$7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8-429E-9548-503B1E9E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C-41E6-A203-196A17496E26}"/>
            </c:ext>
          </c:extLst>
        </c:ser>
        <c:ser>
          <c:idx val="1"/>
          <c:order val="1"/>
          <c:tx>
            <c:strRef>
              <c:f>'Chart 1'!$BQ$6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C-41E6-A203-196A17496E26}"/>
            </c:ext>
          </c:extLst>
        </c:ser>
        <c:ser>
          <c:idx val="2"/>
          <c:order val="2"/>
          <c:tx>
            <c:strRef>
              <c:f>'Chart 1'!$BQ$7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C-41E6-A203-196A17496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E-49D6-BCE9-A3528B679E92}"/>
            </c:ext>
          </c:extLst>
        </c:ser>
        <c:ser>
          <c:idx val="1"/>
          <c:order val="1"/>
          <c:tx>
            <c:strRef>
              <c:f>'Chart 1'!$P$5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0E-49D6-BCE9-A3528B679E92}"/>
            </c:ext>
          </c:extLst>
        </c:ser>
        <c:ser>
          <c:idx val="2"/>
          <c:order val="2"/>
          <c:tx>
            <c:strRef>
              <c:f>'Chart 1'!$Q$5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0E-49D6-BCE9-A3528B679E92}"/>
            </c:ext>
          </c:extLst>
        </c:ser>
        <c:ser>
          <c:idx val="3"/>
          <c:order val="3"/>
          <c:tx>
            <c:strRef>
              <c:f>'Chart 1'!$R$5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0E-49D6-BCE9-A3528B679E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1'!$O$69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7-4C7D-9C25-C04AADE82371}"/>
            </c:ext>
          </c:extLst>
        </c:ser>
        <c:ser>
          <c:idx val="2"/>
          <c:order val="1"/>
          <c:tx>
            <c:strRef>
              <c:f>'Chart 1'!$P$69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97-4C7D-9C25-C04AADE82371}"/>
            </c:ext>
          </c:extLst>
        </c:ser>
        <c:ser>
          <c:idx val="3"/>
          <c:order val="2"/>
          <c:tx>
            <c:strRef>
              <c:f>'Chart 1'!$Q$69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97-4C7D-9C25-C04AADE82371}"/>
            </c:ext>
          </c:extLst>
        </c:ser>
        <c:ser>
          <c:idx val="0"/>
          <c:order val="3"/>
          <c:tx>
            <c:strRef>
              <c:f>'Chart 1'!$R$69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97-4C7D-9C25-C04AADE823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92-4F22-89F3-447486336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92-4F22-89F3-447486336398}"/>
            </c:ext>
          </c:extLst>
        </c:ser>
        <c:ser>
          <c:idx val="1"/>
          <c:order val="1"/>
          <c:tx>
            <c:strRef>
              <c:f>'Chart 1'!$P$38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92-4F22-89F3-447486336398}"/>
            </c:ext>
          </c:extLst>
        </c:ser>
        <c:ser>
          <c:idx val="2"/>
          <c:order val="2"/>
          <c:tx>
            <c:strRef>
              <c:f>'Chart 1'!$Q$38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92-4F22-89F3-447486336398}"/>
            </c:ext>
          </c:extLst>
        </c:ser>
        <c:ser>
          <c:idx val="3"/>
          <c:order val="3"/>
          <c:tx>
            <c:strRef>
              <c:f>'Chart 1'!$R$38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92-4F22-89F3-4474863363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1-461D-8C44-AA39A8CE732F}"/>
            </c:ext>
          </c:extLst>
        </c:ser>
        <c:ser>
          <c:idx val="1"/>
          <c:order val="1"/>
          <c:tx>
            <c:strRef>
              <c:f>'Chart 1'!$P$100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C1-461D-8C44-AA39A8CE732F}"/>
            </c:ext>
          </c:extLst>
        </c:ser>
        <c:ser>
          <c:idx val="2"/>
          <c:order val="2"/>
          <c:tx>
            <c:strRef>
              <c:f>'Chart 1'!$Q$100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C1-461D-8C44-AA39A8CE732F}"/>
            </c:ext>
          </c:extLst>
        </c:ser>
        <c:ser>
          <c:idx val="3"/>
          <c:order val="3"/>
          <c:tx>
            <c:strRef>
              <c:f>'Chart 1'!$R$100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C1-461D-8C44-AA39A8CE73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F-402C-9040-44BE4337087B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F-402C-9040-44BE4337087B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1F-402C-9040-44BE4337087B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1F-402C-9040-44BE43370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C-4930-A4AC-7B13D9778879}"/>
            </c:ext>
          </c:extLst>
        </c:ser>
        <c:ser>
          <c:idx val="1"/>
          <c:order val="1"/>
          <c:tx>
            <c:strRef>
              <c:f>'Chart 2_Thi truong'!$AJ$6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C-4930-A4AC-7B13D9778879}"/>
            </c:ext>
          </c:extLst>
        </c:ser>
        <c:ser>
          <c:idx val="2"/>
          <c:order val="2"/>
          <c:tx>
            <c:strRef>
              <c:f>'Chart 2_Thi truong'!$AJ$7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C-4930-A4AC-7B13D9778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4-4158-A989-6875CFCD92EA}"/>
            </c:ext>
          </c:extLst>
        </c:ser>
        <c:ser>
          <c:idx val="1"/>
          <c:order val="1"/>
          <c:tx>
            <c:strRef>
              <c:f>'Chart 2_Thi truong'!$AJ$6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4-4158-A989-6875CFCD92EA}"/>
            </c:ext>
          </c:extLst>
        </c:ser>
        <c:ser>
          <c:idx val="2"/>
          <c:order val="2"/>
          <c:tx>
            <c:strRef>
              <c:f>'Chart 2_Thi truong'!$AJ$7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4-4158-A989-6875CFCD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D-42FE-90E5-9495FEE9215E}"/>
            </c:ext>
          </c:extLst>
        </c:ser>
        <c:ser>
          <c:idx val="1"/>
          <c:order val="1"/>
          <c:tx>
            <c:strRef>
              <c:f>'Chart 2_Thi truong'!$AJ$67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D-42FE-90E5-9495FEE9215E}"/>
            </c:ext>
          </c:extLst>
        </c:ser>
        <c:ser>
          <c:idx val="2"/>
          <c:order val="2"/>
          <c:tx>
            <c:strRef>
              <c:f>'Chart 2_Thi truong'!$AJ$68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D-42FE-90E5-9495FEE9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B-4CEB-8EC1-2FBD219BB053}"/>
            </c:ext>
          </c:extLst>
        </c:ser>
        <c:ser>
          <c:idx val="1"/>
          <c:order val="1"/>
          <c:tx>
            <c:strRef>
              <c:f>'Chart 2_Thi truong'!$AJ$67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B-4CEB-8EC1-2FBD219BB053}"/>
            </c:ext>
          </c:extLst>
        </c:ser>
        <c:ser>
          <c:idx val="2"/>
          <c:order val="2"/>
          <c:tx>
            <c:strRef>
              <c:f>'Chart 2_Thi truong'!$AJ$68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AB-4CEB-8EC1-2FBD219B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2_Thi truong'!$AK$33:$AN$33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8-4CD4-9E52-C2349D21704F}"/>
            </c:ext>
          </c:extLst>
        </c:ser>
        <c:ser>
          <c:idx val="1"/>
          <c:order val="1"/>
          <c:tx>
            <c:strRef>
              <c:f>'Chart 2_Thi truong'!$AJ$35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2_Thi truong'!$AK$33:$AN$33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8-4CD4-9E52-C2349D21704F}"/>
            </c:ext>
          </c:extLst>
        </c:ser>
        <c:ser>
          <c:idx val="2"/>
          <c:order val="2"/>
          <c:tx>
            <c:strRef>
              <c:f>'Chart 2_Thi truong'!$AJ$36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2_Thi truong'!$AK$33:$AN$33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18-4CD4-9E52-C2349D217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92F-9082-EF2C547EBD65}"/>
            </c:ext>
          </c:extLst>
        </c:ser>
        <c:ser>
          <c:idx val="1"/>
          <c:order val="1"/>
          <c:tx>
            <c:strRef>
              <c:f>'Chart 2_Thi truong'!$AJ$35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92F-9082-EF2C547EBD65}"/>
            </c:ext>
          </c:extLst>
        </c:ser>
        <c:ser>
          <c:idx val="2"/>
          <c:order val="2"/>
          <c:tx>
            <c:strRef>
              <c:f>'Chart 2_Thi truong'!$AJ$36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F-492F-9082-EF2C547EB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4-4608-B892-08F09BF3CBD1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4-4608-B892-08F09BF3CBD1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4-4608-B892-08F09BF3CBD1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C4-4608-B892-08F09BF3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9-4A48-BA63-15C3C23BD74E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9-4A48-BA63-15C3C23BD74E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9-4A48-BA63-15C3C23BD74E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9-4A48-BA63-15C3C23BD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4-4E53-B9BA-F922807D0B6C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4-4E53-B9BA-F922807D0B6C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4-4E53-B9BA-F922807D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B-4C81-9C4C-61DA1D4F04F7}"/>
            </c:ext>
          </c:extLst>
        </c:ser>
        <c:ser>
          <c:idx val="1"/>
          <c:order val="1"/>
          <c:tx>
            <c:strRef>
              <c:f>'Chart 2_Thi truong'!$BA$6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B-4C81-9C4C-61DA1D4F04F7}"/>
            </c:ext>
          </c:extLst>
        </c:ser>
        <c:ser>
          <c:idx val="2"/>
          <c:order val="2"/>
          <c:tx>
            <c:strRef>
              <c:f>'Chart 2_Thi truong'!$BA$7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B-4C81-9C4C-61DA1D4F0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9-463E-80C3-03266D31583B}"/>
            </c:ext>
          </c:extLst>
        </c:ser>
        <c:ser>
          <c:idx val="1"/>
          <c:order val="1"/>
          <c:tx>
            <c:strRef>
              <c:f>'Chart 2_Thi truong'!$BA$6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9-463E-80C3-03266D31583B}"/>
            </c:ext>
          </c:extLst>
        </c:ser>
        <c:ser>
          <c:idx val="2"/>
          <c:order val="2"/>
          <c:tx>
            <c:strRef>
              <c:f>'Chart 2_Thi truong'!$BA$7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9-463E-80C3-03266D31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9-4947-8C15-04A7D1F84FA2}"/>
            </c:ext>
          </c:extLst>
        </c:ser>
        <c:ser>
          <c:idx val="1"/>
          <c:order val="1"/>
          <c:tx>
            <c:strRef>
              <c:f>'Chart 2_Thi truong'!$P$5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39-4947-8C15-04A7D1F84FA2}"/>
            </c:ext>
          </c:extLst>
        </c:ser>
        <c:ser>
          <c:idx val="2"/>
          <c:order val="2"/>
          <c:tx>
            <c:strRef>
              <c:f>'Chart 2_Thi truong'!$Q$5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39-4947-8C15-04A7D1F84FA2}"/>
            </c:ext>
          </c:extLst>
        </c:ser>
        <c:ser>
          <c:idx val="3"/>
          <c:order val="3"/>
          <c:tx>
            <c:strRef>
              <c:f>'Chart 2_Thi truong'!$R$5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39-4947-8C15-04A7D1F84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2_Thi truong'!$O$69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C-4A46-9105-0EE9466F2372}"/>
            </c:ext>
          </c:extLst>
        </c:ser>
        <c:ser>
          <c:idx val="2"/>
          <c:order val="1"/>
          <c:tx>
            <c:strRef>
              <c:f>'Chart 2_Thi truong'!$P$69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C-4A46-9105-0EE9466F2372}"/>
            </c:ext>
          </c:extLst>
        </c:ser>
        <c:ser>
          <c:idx val="3"/>
          <c:order val="2"/>
          <c:tx>
            <c:strRef>
              <c:f>'Chart 2_Thi truong'!$Q$69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C-4A46-9105-0EE9466F2372}"/>
            </c:ext>
          </c:extLst>
        </c:ser>
        <c:ser>
          <c:idx val="0"/>
          <c:order val="3"/>
          <c:tx>
            <c:strRef>
              <c:f>'Chart 2_Thi truong'!$R$69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C-4A46-9105-0EE9466F23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1-4780-907A-C697B6ABA6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1-4780-907A-C697B6ABA6C3}"/>
            </c:ext>
          </c:extLst>
        </c:ser>
        <c:ser>
          <c:idx val="1"/>
          <c:order val="1"/>
          <c:tx>
            <c:strRef>
              <c:f>'Chart 2_Thi truong'!$P$38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1-4780-907A-C697B6ABA6C3}"/>
            </c:ext>
          </c:extLst>
        </c:ser>
        <c:ser>
          <c:idx val="2"/>
          <c:order val="2"/>
          <c:tx>
            <c:strRef>
              <c:f>'Chart 2_Thi truong'!$Q$38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61-4780-907A-C697B6ABA6C3}"/>
            </c:ext>
          </c:extLst>
        </c:ser>
        <c:ser>
          <c:idx val="3"/>
          <c:order val="3"/>
          <c:tx>
            <c:strRef>
              <c:f>'Chart 2_Thi truong'!$R$38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61-4780-907A-C697B6ABA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8-4A39-AE89-4A19AB33E8F3}"/>
            </c:ext>
          </c:extLst>
        </c:ser>
        <c:ser>
          <c:idx val="1"/>
          <c:order val="1"/>
          <c:tx>
            <c:strRef>
              <c:f>'Chart 2_Thi truong'!$P$100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8-4A39-AE89-4A19AB33E8F3}"/>
            </c:ext>
          </c:extLst>
        </c:ser>
        <c:ser>
          <c:idx val="2"/>
          <c:order val="2"/>
          <c:tx>
            <c:strRef>
              <c:f>'Chart 2_Thi truong'!$Q$100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A8-4A39-AE89-4A19AB33E8F3}"/>
            </c:ext>
          </c:extLst>
        </c:ser>
        <c:ser>
          <c:idx val="3"/>
          <c:order val="3"/>
          <c:tx>
            <c:strRef>
              <c:f>'Chart 2_Thi truong'!$R$100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A8-4A39-AE89-4A19AB33E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5-4251-AF9B-1D6410FB525F}"/>
            </c:ext>
          </c:extLst>
        </c:ser>
        <c:ser>
          <c:idx val="1"/>
          <c:order val="1"/>
          <c:tx>
            <c:strRef>
              <c:f>'Chart 2_Thi truong'!$BQ$6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5-4251-AF9B-1D6410FB525F}"/>
            </c:ext>
          </c:extLst>
        </c:ser>
        <c:ser>
          <c:idx val="2"/>
          <c:order val="2"/>
          <c:tx>
            <c:strRef>
              <c:f>'Chart 2_Thi truong'!$BQ$7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5-4251-AF9B-1D6410FB5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3-43BD-A3AD-C6A135DB9F5D}"/>
            </c:ext>
          </c:extLst>
        </c:ser>
        <c:ser>
          <c:idx val="1"/>
          <c:order val="1"/>
          <c:tx>
            <c:strRef>
              <c:f>'Chart 2_Thi truong'!$BQ$6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3-43BD-A3AD-C6A135DB9F5D}"/>
            </c:ext>
          </c:extLst>
        </c:ser>
        <c:ser>
          <c:idx val="2"/>
          <c:order val="2"/>
          <c:tx>
            <c:strRef>
              <c:f>'Chart 2_Thi truong'!$BQ$7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43-43BD-A3AD-C6A135DB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truong'!$D$5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6A4-4DB6-ADCC-4ED8810D4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truong'!$D$6:$D$9</c:f>
              <c:numCache>
                <c:formatCode>_(* #,##0_);_(* \(#,##0\);_(* "-"??_);_(@_)</c:formatCode>
                <c:ptCount val="4"/>
                <c:pt idx="0">
                  <c:v>1396.9592995301155</c:v>
                </c:pt>
                <c:pt idx="1">
                  <c:v>1395.5723211650477</c:v>
                </c:pt>
                <c:pt idx="2">
                  <c:v>1255.0777540513418</c:v>
                </c:pt>
                <c:pt idx="3">
                  <c:v>1284.4978583339707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A4-4DB6-ADCC-4ED8810D4267}"/>
            </c:ext>
          </c:extLst>
        </c:ser>
        <c:ser>
          <c:idx val="1"/>
          <c:order val="1"/>
          <c:tx>
            <c:strRef>
              <c:f>'Chart 2_Thi truong'!$E$5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6A4-4DB6-ADCC-4ED8810D4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truong'!$E$6:$E$9</c:f>
              <c:numCache>
                <c:formatCode>_(* #,##0_);_(* \(#,##0\);_(* "-"??_);_(@_)</c:formatCode>
                <c:ptCount val="4"/>
                <c:pt idx="0">
                  <c:v>1057.5121174293299</c:v>
                </c:pt>
                <c:pt idx="1">
                  <c:v>1091.1469880868879</c:v>
                </c:pt>
                <c:pt idx="2">
                  <c:v>1111.0455948014267</c:v>
                </c:pt>
                <c:pt idx="3">
                  <c:v>1044.4978583339707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A4-4DB6-ADCC-4ED8810D4267}"/>
            </c:ext>
          </c:extLst>
        </c:ser>
        <c:ser>
          <c:idx val="2"/>
          <c:order val="2"/>
          <c:tx>
            <c:strRef>
              <c:f>'Chart 2_Thi truong'!$F$5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6A4-4DB6-ADCC-4ED8810D4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truong'!$F$6:$F$9</c:f>
              <c:numCache>
                <c:formatCode>_(* #,##0_);_(* \(#,##0\);_(* "-"??_);_(@_)</c:formatCode>
                <c:ptCount val="4"/>
                <c:pt idx="0">
                  <c:v>339.44718210078554</c:v>
                </c:pt>
                <c:pt idx="1">
                  <c:v>304.42533307815984</c:v>
                </c:pt>
                <c:pt idx="2">
                  <c:v>144.03215924991514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A4-4DB6-ADCC-4ED8810D4267}"/>
            </c:ext>
          </c:extLst>
        </c:ser>
        <c:ser>
          <c:idx val="3"/>
          <c:order val="3"/>
          <c:tx>
            <c:strRef>
              <c:f>'Chart 2_Thi truong'!$G$5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36A4-4DB6-ADCC-4ED8810D426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truong'!$G$6:$G$9</c:f>
              <c:numCache>
                <c:formatCode>0%</c:formatCode>
                <c:ptCount val="4"/>
                <c:pt idx="0">
                  <c:v>0.24299002999941574</c:v>
                </c:pt>
                <c:pt idx="1">
                  <c:v>0.21813655119214484</c:v>
                </c:pt>
                <c:pt idx="2">
                  <c:v>0.11475955078080619</c:v>
                </c:pt>
                <c:pt idx="3">
                  <c:v>0.18684344114928042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A4-4DB6-ADCC-4ED8810D42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2_Thi truong'!$D$69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65-4271-BADA-FF374C6CB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truong'!$D$70:$D$73</c:f>
              <c:numCache>
                <c:formatCode>_(* #,##0_);_(* \(#,##0\);_(* "-"??_);_(@_)</c:formatCode>
                <c:ptCount val="4"/>
                <c:pt idx="0">
                  <c:v>1224.2711679958338</c:v>
                </c:pt>
                <c:pt idx="1">
                  <c:v>1249.2972764950341</c:v>
                </c:pt>
                <c:pt idx="2">
                  <c:v>1172.7982733847525</c:v>
                </c:pt>
                <c:pt idx="3">
                  <c:v>1156.6078351092156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5-4271-BADA-FF374C6CB5EA}"/>
            </c:ext>
          </c:extLst>
        </c:ser>
        <c:ser>
          <c:idx val="2"/>
          <c:order val="1"/>
          <c:tx>
            <c:strRef>
              <c:f>'Chart 2_Thi truong'!$E$69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465-4271-BADA-FF374C6CB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truong'!$E$70:$E$73</c:f>
              <c:numCache>
                <c:formatCode>_(* #,##0_);_(* \(#,##0\);_(* "-"??_);_(@_)</c:formatCode>
                <c:ptCount val="4"/>
                <c:pt idx="0">
                  <c:v>946.1249985330254</c:v>
                </c:pt>
                <c:pt idx="1">
                  <c:v>1037.2653185179495</c:v>
                </c:pt>
                <c:pt idx="2">
                  <c:v>1018.7643348706455</c:v>
                </c:pt>
                <c:pt idx="3">
                  <c:v>966.60783510921567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65-4271-BADA-FF374C6CB5EA}"/>
            </c:ext>
          </c:extLst>
        </c:ser>
        <c:ser>
          <c:idx val="3"/>
          <c:order val="2"/>
          <c:tx>
            <c:strRef>
              <c:f>'Chart 2_Thi truong'!$F$69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65-4271-BADA-FF374C6CB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truong'!$F$70:$F$73</c:f>
              <c:numCache>
                <c:formatCode>_(* #,##0_);_(* \(#,##0\);_(* "-"??_);_(@_)</c:formatCode>
                <c:ptCount val="4"/>
                <c:pt idx="0">
                  <c:v>278.14616946280842</c:v>
                </c:pt>
                <c:pt idx="1">
                  <c:v>212.03195797708463</c:v>
                </c:pt>
                <c:pt idx="2">
                  <c:v>154.03393851410704</c:v>
                </c:pt>
                <c:pt idx="3">
                  <c:v>189.99999999999989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65-4271-BADA-FF374C6CB5EA}"/>
            </c:ext>
          </c:extLst>
        </c:ser>
        <c:ser>
          <c:idx val="0"/>
          <c:order val="3"/>
          <c:tx>
            <c:strRef>
              <c:f>'Chart 2_Thi truong'!$G$69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465-4271-BADA-FF374C6CB5E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truong'!$G$70:$G$73</c:f>
              <c:numCache>
                <c:formatCode>0%</c:formatCode>
                <c:ptCount val="4"/>
                <c:pt idx="0">
                  <c:v>0.22719326954186259</c:v>
                </c:pt>
                <c:pt idx="1">
                  <c:v>0.16972097991916774</c:v>
                </c:pt>
                <c:pt idx="2">
                  <c:v>0.13133881760377908</c:v>
                </c:pt>
                <c:pt idx="3">
                  <c:v>0.16427348512822296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65-4271-BADA-FF374C6CB5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truong'!$D$38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E1B-48BF-9E4B-57AEEDF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truong'!$D$39:$D$42</c:f>
              <c:numCache>
                <c:formatCode>_(* #,##0_);_(* \(#,##0\);_(* "-"??_);_(@_)</c:formatCode>
                <c:ptCount val="4"/>
                <c:pt idx="0">
                  <c:v>1223.1237395867231</c:v>
                </c:pt>
                <c:pt idx="1">
                  <c:v>1284.3172818543751</c:v>
                </c:pt>
                <c:pt idx="2">
                  <c:v>1202.2725115748035</c:v>
                </c:pt>
                <c:pt idx="3">
                  <c:v>1234.6977895342607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1B-48BF-9E4B-57AEEDFB94F1}"/>
            </c:ext>
          </c:extLst>
        </c:ser>
        <c:ser>
          <c:idx val="1"/>
          <c:order val="1"/>
          <c:tx>
            <c:strRef>
              <c:f>'Chart 2_Thi truong'!$E$38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E1B-48BF-9E4B-57AEEDF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truong'!$E$39:$E$42</c:f>
              <c:numCache>
                <c:formatCode>_(* #,##0_);_(* \(#,##0\);_(* "-"??_);_(@_)</c:formatCode>
                <c:ptCount val="4"/>
                <c:pt idx="0">
                  <c:v>894.25382341573754</c:v>
                </c:pt>
                <c:pt idx="1">
                  <c:v>999.30030458649674</c:v>
                </c:pt>
                <c:pt idx="2">
                  <c:v>1025.6974485828932</c:v>
                </c:pt>
                <c:pt idx="3">
                  <c:v>1024.6977895342609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1B-48BF-9E4B-57AEEDFB94F1}"/>
            </c:ext>
          </c:extLst>
        </c:ser>
        <c:ser>
          <c:idx val="2"/>
          <c:order val="2"/>
          <c:tx>
            <c:strRef>
              <c:f>'Chart 2_Thi truong'!$F$38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E1B-48BF-9E4B-57AEEDF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truong'!$F$39:$F$42</c:f>
              <c:numCache>
                <c:formatCode>_(* #,##0_);_(* \(#,##0\);_(* "-"??_);_(@_)</c:formatCode>
                <c:ptCount val="4"/>
                <c:pt idx="0">
                  <c:v>328.86991617098556</c:v>
                </c:pt>
                <c:pt idx="1">
                  <c:v>285.01697726787836</c:v>
                </c:pt>
                <c:pt idx="2">
                  <c:v>176.57506299191027</c:v>
                </c:pt>
                <c:pt idx="3">
                  <c:v>209.99999999999977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1B-48BF-9E4B-57AEEDFB94F1}"/>
            </c:ext>
          </c:extLst>
        </c:ser>
        <c:ser>
          <c:idx val="3"/>
          <c:order val="3"/>
          <c:tx>
            <c:strRef>
              <c:f>'Chart 2_Thi truong'!$G$38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E1B-48BF-9E4B-57AEEDFB94F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truong'!$G$39:$G$42</c:f>
              <c:numCache>
                <c:formatCode>0%</c:formatCode>
                <c:ptCount val="4"/>
                <c:pt idx="0">
                  <c:v>0.26887706086230184</c:v>
                </c:pt>
                <c:pt idx="1">
                  <c:v>0.22192100137152526</c:v>
                </c:pt>
                <c:pt idx="2">
                  <c:v>0.14686775360157109</c:v>
                </c:pt>
                <c:pt idx="3">
                  <c:v>0.17008210574282612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1B-48BF-9E4B-57AEEDFB94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truong'!$D$100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12-499A-B074-DFC390816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truong'!$D$101:$D$104</c:f>
              <c:numCache>
                <c:formatCode>_(* #,##0_);_(* \(#,##0\);_(* "-"??_);_(@_)</c:formatCode>
                <c:ptCount val="4"/>
                <c:pt idx="0">
                  <c:v>1068.9916591501801</c:v>
                </c:pt>
                <c:pt idx="1">
                  <c:v>1131.822916772503</c:v>
                </c:pt>
                <c:pt idx="2">
                  <c:v>1163.5204117498827</c:v>
                </c:pt>
                <c:pt idx="3">
                  <c:v>1134.590999848426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2-499A-B074-DFC3908160F1}"/>
            </c:ext>
          </c:extLst>
        </c:ser>
        <c:ser>
          <c:idx val="1"/>
          <c:order val="1"/>
          <c:tx>
            <c:strRef>
              <c:f>'Chart 2_Thi truong'!$E$100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E12-499A-B074-DFC390816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truong'!$E$101:$E$104</c:f>
              <c:numCache>
                <c:formatCode>_(* #,##0_);_(* \(#,##0\);_(* "-"??_);_(@_)</c:formatCode>
                <c:ptCount val="4"/>
                <c:pt idx="0">
                  <c:v>1133.4912786680072</c:v>
                </c:pt>
                <c:pt idx="1">
                  <c:v>998.10586743427757</c:v>
                </c:pt>
                <c:pt idx="2">
                  <c:v>1055.1503658259592</c:v>
                </c:pt>
                <c:pt idx="3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2-499A-B074-DFC3908160F1}"/>
            </c:ext>
          </c:extLst>
        </c:ser>
        <c:ser>
          <c:idx val="2"/>
          <c:order val="2"/>
          <c:tx>
            <c:strRef>
              <c:f>'Chart 2_Thi truong'!$F$100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E12-499A-B074-DFC390816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truong'!$F$101:$F$104</c:f>
              <c:numCache>
                <c:formatCode>_(* #,##0_);_(* \(#,##0\);_(* "-"??_);_(@_)</c:formatCode>
                <c:ptCount val="4"/>
                <c:pt idx="0">
                  <c:v>-64.499619517827114</c:v>
                </c:pt>
                <c:pt idx="1">
                  <c:v>133.71704933822548</c:v>
                </c:pt>
                <c:pt idx="2">
                  <c:v>108.3700459239235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12-499A-B074-DFC3908160F1}"/>
            </c:ext>
          </c:extLst>
        </c:ser>
        <c:ser>
          <c:idx val="3"/>
          <c:order val="3"/>
          <c:tx>
            <c:strRef>
              <c:f>'Chart 2_Thi truong'!$G$100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E12-499A-B074-DFC3908160F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truong'!$G$101:$G$104</c:f>
              <c:numCache>
                <c:formatCode>0%</c:formatCode>
                <c:ptCount val="4"/>
                <c:pt idx="0">
                  <c:v>-6.0336878183972542E-2</c:v>
                </c:pt>
                <c:pt idx="1">
                  <c:v>0.11814308347769802</c:v>
                </c:pt>
                <c:pt idx="2">
                  <c:v>9.3139789237508777E-2</c:v>
                </c:pt>
                <c:pt idx="3">
                  <c:v>0.16746122613821435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12-499A-B074-DFC3908160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D-4C3C-BF59-E893A1021042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D-4C3C-BF59-E893A1021042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CD-4C3C-BF59-E893A1021042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CD-4C3C-BF59-E893A102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B-49C9-A6C1-9F8FD76EB4EC}"/>
            </c:ext>
          </c:extLst>
        </c:ser>
        <c:ser>
          <c:idx val="1"/>
          <c:order val="1"/>
          <c:tx>
            <c:strRef>
              <c:f>'Chart 2_KTQT'!$AJ$6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B-49C9-A6C1-9F8FD76EB4EC}"/>
            </c:ext>
          </c:extLst>
        </c:ser>
        <c:ser>
          <c:idx val="2"/>
          <c:order val="2"/>
          <c:tx>
            <c:strRef>
              <c:f>'Chart 2_KTQT'!$AJ$7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B-49C9-A6C1-9F8FD76EB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D-4584-958A-894B1B6543BB}"/>
            </c:ext>
          </c:extLst>
        </c:ser>
        <c:ser>
          <c:idx val="1"/>
          <c:order val="1"/>
          <c:tx>
            <c:strRef>
              <c:f>'Chart 2_KTQT'!$AJ$6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D-4584-958A-894B1B6543BB}"/>
            </c:ext>
          </c:extLst>
        </c:ser>
        <c:ser>
          <c:idx val="2"/>
          <c:order val="2"/>
          <c:tx>
            <c:strRef>
              <c:f>'Chart 2_KTQT'!$AJ$7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D-4584-958A-894B1B654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2_KTQT'!$AK$66:$AR$66</c:f>
              <c:numCache>
                <c:formatCode>_(* #,##0,_);_(* \(#,##0,\);_(* "-"??_);_(@_)</c:formatCode>
                <c:ptCount val="8"/>
                <c:pt idx="0">
                  <c:v>0.21468931229240062</c:v>
                </c:pt>
                <c:pt idx="1">
                  <c:v>0.24154412638371991</c:v>
                </c:pt>
                <c:pt idx="2">
                  <c:v>0.19830199203232035</c:v>
                </c:pt>
                <c:pt idx="3">
                  <c:v>-9.9977432275749178E-2</c:v>
                </c:pt>
                <c:pt idx="4">
                  <c:v>-0.17446070291654459</c:v>
                </c:pt>
                <c:pt idx="5">
                  <c:v>-0.30591295252115147</c:v>
                </c:pt>
                <c:pt idx="6">
                  <c:v>0</c:v>
                </c:pt>
                <c:pt idx="7">
                  <c:v>-0.3890293231123918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5-4F9C-91DC-7B3270F9C04F}"/>
            </c:ext>
          </c:extLst>
        </c:ser>
        <c:ser>
          <c:idx val="1"/>
          <c:order val="1"/>
          <c:tx>
            <c:strRef>
              <c:f>'Chart 2_KTQT'!$AJ$67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5-4F9C-91DC-7B3270F9C04F}"/>
            </c:ext>
          </c:extLst>
        </c:ser>
        <c:ser>
          <c:idx val="2"/>
          <c:order val="2"/>
          <c:tx>
            <c:strRef>
              <c:f>'Chart 2_KTQT'!$AJ$68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A5-4F9C-91DC-7B3270F9C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2_KTQT'!$AK$66:$AN$66</c:f>
              <c:numCache>
                <c:formatCode>_(* #,##0,_);_(* \(#,##0,\);_(* "-"??_);_(@_)</c:formatCode>
                <c:ptCount val="4"/>
                <c:pt idx="0">
                  <c:v>0.21468931229240062</c:v>
                </c:pt>
                <c:pt idx="1">
                  <c:v>0.24154412638371991</c:v>
                </c:pt>
                <c:pt idx="2">
                  <c:v>0.19830199203232035</c:v>
                </c:pt>
                <c:pt idx="3">
                  <c:v>-9.9977432275749178E-2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4-46A0-9129-D47E2F4BD7A4}"/>
            </c:ext>
          </c:extLst>
        </c:ser>
        <c:ser>
          <c:idx val="1"/>
          <c:order val="1"/>
          <c:tx>
            <c:strRef>
              <c:f>'Chart 2_KTQT'!$AJ$67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4-46A0-9129-D47E2F4BD7A4}"/>
            </c:ext>
          </c:extLst>
        </c:ser>
        <c:ser>
          <c:idx val="2"/>
          <c:order val="2"/>
          <c:tx>
            <c:strRef>
              <c:f>'Chart 2_KTQT'!$AJ$68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4-46A0-9129-D47E2F4BD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58D-AC9B-01AA1815D62A}"/>
            </c:ext>
          </c:extLst>
        </c:ser>
        <c:ser>
          <c:idx val="1"/>
          <c:order val="1"/>
          <c:tx>
            <c:strRef>
              <c:f>'Chart 2_KTQT'!$AJ$35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1-458D-AC9B-01AA1815D62A}"/>
            </c:ext>
          </c:extLst>
        </c:ser>
        <c:ser>
          <c:idx val="2"/>
          <c:order val="2"/>
          <c:tx>
            <c:strRef>
              <c:f>'Chart 2_KTQT'!$AJ$36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11-458D-AC9B-01AA1815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414-912F-2153DA662403}"/>
            </c:ext>
          </c:extLst>
        </c:ser>
        <c:ser>
          <c:idx val="1"/>
          <c:order val="1"/>
          <c:tx>
            <c:strRef>
              <c:f>'Chart 2_KTQT'!$AJ$35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E-4414-912F-2153DA662403}"/>
            </c:ext>
          </c:extLst>
        </c:ser>
        <c:ser>
          <c:idx val="2"/>
          <c:order val="2"/>
          <c:tx>
            <c:strRef>
              <c:f>'Chart 2_KTQT'!$AJ$36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E-4414-912F-2153DA662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4-4B76-BBA5-9C8E990869F7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4-4B76-BBA5-9C8E990869F7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4-4B76-BBA5-9C8E990869F7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4-4B76-BBA5-9C8E99086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7-47C1-B969-B85410DD1A26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7-47C1-B969-B85410DD1A26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7-47C1-B969-B85410DD1A26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7-47C1-B969-B85410DD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F-43A7-8CA5-C9DABB05E4BC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F-43A7-8CA5-C9DABB05E4BC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F-43A7-8CA5-C9DABB05E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A-4860-940A-41B630AB346C}"/>
            </c:ext>
          </c:extLst>
        </c:ser>
        <c:ser>
          <c:idx val="1"/>
          <c:order val="1"/>
          <c:tx>
            <c:strRef>
              <c:f>'Chart 2_KTQT'!$BA$6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A-4860-940A-41B630AB346C}"/>
            </c:ext>
          </c:extLst>
        </c:ser>
        <c:ser>
          <c:idx val="2"/>
          <c:order val="2"/>
          <c:tx>
            <c:strRef>
              <c:f>'Chart 2_KTQT'!$BA$7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A-4860-940A-41B630AB3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135-8FFF-2FE3AC09A96D}"/>
            </c:ext>
          </c:extLst>
        </c:ser>
        <c:ser>
          <c:idx val="1"/>
          <c:order val="1"/>
          <c:tx>
            <c:strRef>
              <c:f>'Chart 2_KTQT'!$BA$6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9-4135-8FFF-2FE3AC09A96D}"/>
            </c:ext>
          </c:extLst>
        </c:ser>
        <c:ser>
          <c:idx val="2"/>
          <c:order val="2"/>
          <c:tx>
            <c:strRef>
              <c:f>'Chart 2_KTQT'!$BA$7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9-4135-8FFF-2FE3AC09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F-4A67-B23B-4F44FB0327E1}"/>
            </c:ext>
          </c:extLst>
        </c:ser>
        <c:ser>
          <c:idx val="1"/>
          <c:order val="1"/>
          <c:tx>
            <c:strRef>
              <c:f>'Chart 2_KTQT'!$P$5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F-4A67-B23B-4F44FB0327E1}"/>
            </c:ext>
          </c:extLst>
        </c:ser>
        <c:ser>
          <c:idx val="2"/>
          <c:order val="2"/>
          <c:tx>
            <c:strRef>
              <c:f>'Chart 2_KTQT'!$Q$5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F-4A67-B23B-4F44FB0327E1}"/>
            </c:ext>
          </c:extLst>
        </c:ser>
        <c:ser>
          <c:idx val="3"/>
          <c:order val="3"/>
          <c:tx>
            <c:strRef>
              <c:f>'Chart 2_KTQT'!$R$5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BF-4A67-B23B-4F44FB0327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2_KTQT'!$O$69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B-4364-865A-189685C02335}"/>
            </c:ext>
          </c:extLst>
        </c:ser>
        <c:ser>
          <c:idx val="2"/>
          <c:order val="1"/>
          <c:tx>
            <c:strRef>
              <c:f>'Chart 2_KTQT'!$P$69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B-4364-865A-189685C02335}"/>
            </c:ext>
          </c:extLst>
        </c:ser>
        <c:ser>
          <c:idx val="3"/>
          <c:order val="2"/>
          <c:tx>
            <c:strRef>
              <c:f>'Chart 2_KTQT'!$Q$69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4B-4364-865A-189685C02335}"/>
            </c:ext>
          </c:extLst>
        </c:ser>
        <c:ser>
          <c:idx val="0"/>
          <c:order val="3"/>
          <c:tx>
            <c:strRef>
              <c:f>'Chart 2_KTQT'!$R$69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4B-4364-865A-189685C02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1E-4D9D-8E0E-9C723149B3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1E-4D9D-8E0E-9C723149B38E}"/>
            </c:ext>
          </c:extLst>
        </c:ser>
        <c:ser>
          <c:idx val="1"/>
          <c:order val="1"/>
          <c:tx>
            <c:strRef>
              <c:f>'Chart 2_KTQT'!$P$38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1E-4D9D-8E0E-9C723149B38E}"/>
            </c:ext>
          </c:extLst>
        </c:ser>
        <c:ser>
          <c:idx val="2"/>
          <c:order val="2"/>
          <c:tx>
            <c:strRef>
              <c:f>'Chart 2_KTQT'!$Q$38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1E-4D9D-8E0E-9C723149B38E}"/>
            </c:ext>
          </c:extLst>
        </c:ser>
        <c:ser>
          <c:idx val="3"/>
          <c:order val="3"/>
          <c:tx>
            <c:strRef>
              <c:f>'Chart 2_KTQT'!$R$38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1E-4D9D-8E0E-9C723149B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54-4A1A-BE37-FC46EB19C052}"/>
            </c:ext>
          </c:extLst>
        </c:ser>
        <c:ser>
          <c:idx val="1"/>
          <c:order val="1"/>
          <c:tx>
            <c:strRef>
              <c:f>'Chart 2_KTQT'!$P$100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54-4A1A-BE37-FC46EB19C052}"/>
            </c:ext>
          </c:extLst>
        </c:ser>
        <c:ser>
          <c:idx val="2"/>
          <c:order val="2"/>
          <c:tx>
            <c:strRef>
              <c:f>'Chart 2_KTQT'!$Q$100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54-4A1A-BE37-FC46EB19C052}"/>
            </c:ext>
          </c:extLst>
        </c:ser>
        <c:ser>
          <c:idx val="3"/>
          <c:order val="3"/>
          <c:tx>
            <c:strRef>
              <c:f>'Chart 2_KTQT'!$R$100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54-4A1A-BE37-FC46EB19C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1-4213-AE8D-C8104DC19377}"/>
            </c:ext>
          </c:extLst>
        </c:ser>
        <c:ser>
          <c:idx val="1"/>
          <c:order val="1"/>
          <c:tx>
            <c:strRef>
              <c:f>'Chart 2_KTQT'!$BQ$6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1-4213-AE8D-C8104DC19377}"/>
            </c:ext>
          </c:extLst>
        </c:ser>
        <c:ser>
          <c:idx val="2"/>
          <c:order val="2"/>
          <c:tx>
            <c:strRef>
              <c:f>'Chart 2_KTQT'!$BQ$7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1-4213-AE8D-C8104DC19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9-450A-B805-0B6D167ECBA4}"/>
            </c:ext>
          </c:extLst>
        </c:ser>
        <c:ser>
          <c:idx val="1"/>
          <c:order val="1"/>
          <c:tx>
            <c:strRef>
              <c:f>'Chart 2_KTQT'!$BQ$6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9-450A-B805-0B6D167ECBA4}"/>
            </c:ext>
          </c:extLst>
        </c:ser>
        <c:ser>
          <c:idx val="2"/>
          <c:order val="2"/>
          <c:tx>
            <c:strRef>
              <c:f>'Chart 2_KTQT'!$BQ$7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9-450A-B805-0B6D167E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2_KTQT'!$D$5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3-48D6-9494-8F5910CA6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2_KTQT'!$D$6:$D$9</c:f>
              <c:numCache>
                <c:formatCode>_(* #,##0_);_(* \(#,##0\);_(* "-"??_);_(@_)</c:formatCode>
                <c:ptCount val="4"/>
                <c:pt idx="0">
                  <c:v>1396.9592995301155</c:v>
                </c:pt>
                <c:pt idx="1">
                  <c:v>1395.5723211650477</c:v>
                </c:pt>
                <c:pt idx="2">
                  <c:v>1255.0777540513418</c:v>
                </c:pt>
                <c:pt idx="3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3-48D6-9494-8F5910CA60A9}"/>
            </c:ext>
          </c:extLst>
        </c:ser>
        <c:ser>
          <c:idx val="1"/>
          <c:order val="1"/>
          <c:tx>
            <c:strRef>
              <c:f>'Chart 2_KTQT'!$E$5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73-48D6-9494-8F5910CA6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2_KTQT'!$E$6:$E$9</c:f>
              <c:numCache>
                <c:formatCode>_(* #,##0_);_(* \(#,##0\);_(* "-"??_);_(@_)</c:formatCode>
                <c:ptCount val="4"/>
                <c:pt idx="0">
                  <c:v>1057.5121174293299</c:v>
                </c:pt>
                <c:pt idx="1">
                  <c:v>1091.1469880868879</c:v>
                </c:pt>
                <c:pt idx="2">
                  <c:v>1111.0455948014267</c:v>
                </c:pt>
                <c:pt idx="3">
                  <c:v>1044.4978583339707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3-48D6-9494-8F5910CA60A9}"/>
            </c:ext>
          </c:extLst>
        </c:ser>
        <c:ser>
          <c:idx val="2"/>
          <c:order val="2"/>
          <c:tx>
            <c:strRef>
              <c:f>'Chart 2_KTQT'!$F$5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73-48D6-9494-8F5910CA6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2_KTQT'!$F$6:$F$9</c:f>
              <c:numCache>
                <c:formatCode>_(* #,##0_);_(* \(#,##0\);_(* "-"??_);_(@_)</c:formatCode>
                <c:ptCount val="4"/>
                <c:pt idx="0">
                  <c:v>339.44718210078554</c:v>
                </c:pt>
                <c:pt idx="1">
                  <c:v>304.42533307815984</c:v>
                </c:pt>
                <c:pt idx="2">
                  <c:v>144.03215924991514</c:v>
                </c:pt>
                <c:pt idx="3">
                  <c:v>425.50214166602927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73-48D6-9494-8F5910CA60A9}"/>
            </c:ext>
          </c:extLst>
        </c:ser>
        <c:ser>
          <c:idx val="3"/>
          <c:order val="3"/>
          <c:tx>
            <c:strRef>
              <c:f>'Chart 2_KTQT'!$G$5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273-48D6-9494-8F5910CA60A9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2_KTQT'!$G$6:$G$9</c:f>
              <c:numCache>
                <c:formatCode>0%</c:formatCode>
                <c:ptCount val="4"/>
                <c:pt idx="0">
                  <c:v>0.24299002999941574</c:v>
                </c:pt>
                <c:pt idx="1">
                  <c:v>0.21813655119214484</c:v>
                </c:pt>
                <c:pt idx="2">
                  <c:v>0.11475955078080619</c:v>
                </c:pt>
                <c:pt idx="3">
                  <c:v>0.28945723922859135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273-48D6-9494-8F5910CA60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2_KTQT'!$D$69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8-43C7-B8E7-19E4F0AFC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2_KTQT'!$D$70:$D$73</c:f>
              <c:numCache>
                <c:formatCode>_(* #,##0_);_(* \(#,##0\);_(* "-"??_);_(@_)</c:formatCode>
                <c:ptCount val="4"/>
                <c:pt idx="0">
                  <c:v>1224.2711679958338</c:v>
                </c:pt>
                <c:pt idx="1">
                  <c:v>1249.2972764950341</c:v>
                </c:pt>
                <c:pt idx="2">
                  <c:v>1172.7982733847525</c:v>
                </c:pt>
                <c:pt idx="3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8-43C7-B8E7-19E4F0AFCA67}"/>
            </c:ext>
          </c:extLst>
        </c:ser>
        <c:ser>
          <c:idx val="2"/>
          <c:order val="1"/>
          <c:tx>
            <c:strRef>
              <c:f>'Chart 2_KTQT'!$E$69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18-43C7-B8E7-19E4F0AFC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2_KTQT'!$E$70:$E$73</c:f>
              <c:numCache>
                <c:formatCode>_(* #,##0_);_(* \(#,##0\);_(* "-"??_);_(@_)</c:formatCode>
                <c:ptCount val="4"/>
                <c:pt idx="0">
                  <c:v>946.1249985330254</c:v>
                </c:pt>
                <c:pt idx="1">
                  <c:v>1037.2653185179495</c:v>
                </c:pt>
                <c:pt idx="2">
                  <c:v>1018.7643348706455</c:v>
                </c:pt>
                <c:pt idx="3">
                  <c:v>966.60783510921567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18-43C7-B8E7-19E4F0AFCA67}"/>
            </c:ext>
          </c:extLst>
        </c:ser>
        <c:ser>
          <c:idx val="3"/>
          <c:order val="2"/>
          <c:tx>
            <c:strRef>
              <c:f>'Chart 2_KTQT'!$F$69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18-43C7-B8E7-19E4F0AFC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2_KTQT'!$F$70:$F$73</c:f>
              <c:numCache>
                <c:formatCode>_(* #,##0_);_(* \(#,##0\);_(* "-"??_);_(@_)</c:formatCode>
                <c:ptCount val="4"/>
                <c:pt idx="0">
                  <c:v>278.14616946280842</c:v>
                </c:pt>
                <c:pt idx="1">
                  <c:v>212.03195797708463</c:v>
                </c:pt>
                <c:pt idx="2">
                  <c:v>154.03393851410704</c:v>
                </c:pt>
                <c:pt idx="3">
                  <c:v>413.39216489078433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18-43C7-B8E7-19E4F0AFCA67}"/>
            </c:ext>
          </c:extLst>
        </c:ser>
        <c:ser>
          <c:idx val="0"/>
          <c:order val="3"/>
          <c:tx>
            <c:strRef>
              <c:f>'Chart 2_KTQT'!$G$69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B18-43C7-B8E7-19E4F0AFCA6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2_KTQT'!$G$70:$G$73</c:f>
              <c:numCache>
                <c:formatCode>0%</c:formatCode>
                <c:ptCount val="4"/>
                <c:pt idx="0">
                  <c:v>0.22719326954186259</c:v>
                </c:pt>
                <c:pt idx="1">
                  <c:v>0.16972097991916774</c:v>
                </c:pt>
                <c:pt idx="2">
                  <c:v>0.13133881760377908</c:v>
                </c:pt>
                <c:pt idx="3">
                  <c:v>0.29955953977593069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B18-43C7-B8E7-19E4F0AFCA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2_KTQT'!$D$38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9A-4022-9EA5-28BAA2BE2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2_KTQT'!$D$39:$D$42</c:f>
              <c:numCache>
                <c:formatCode>_(* #,##0_);_(* \(#,##0\);_(* "-"??_);_(@_)</c:formatCode>
                <c:ptCount val="4"/>
                <c:pt idx="0">
                  <c:v>1223.1237395867231</c:v>
                </c:pt>
                <c:pt idx="1">
                  <c:v>1284.3172818543751</c:v>
                </c:pt>
                <c:pt idx="2">
                  <c:v>1202.2725115748035</c:v>
                </c:pt>
                <c:pt idx="3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9A-4022-9EA5-28BAA2BE2B30}"/>
            </c:ext>
          </c:extLst>
        </c:ser>
        <c:ser>
          <c:idx val="1"/>
          <c:order val="1"/>
          <c:tx>
            <c:strRef>
              <c:f>'Chart 2_KTQT'!$E$38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9A-4022-9EA5-28BAA2BE2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2_KTQT'!$E$39:$E$42</c:f>
              <c:numCache>
                <c:formatCode>_(* #,##0_);_(* \(#,##0\);_(* "-"??_);_(@_)</c:formatCode>
                <c:ptCount val="4"/>
                <c:pt idx="0">
                  <c:v>894.25382341573754</c:v>
                </c:pt>
                <c:pt idx="1">
                  <c:v>999.30030458649674</c:v>
                </c:pt>
                <c:pt idx="2">
                  <c:v>1025.6974485828932</c:v>
                </c:pt>
                <c:pt idx="3">
                  <c:v>1024.6977895342609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9A-4022-9EA5-28BAA2BE2B30}"/>
            </c:ext>
          </c:extLst>
        </c:ser>
        <c:ser>
          <c:idx val="2"/>
          <c:order val="2"/>
          <c:tx>
            <c:strRef>
              <c:f>'Chart 2_KTQT'!$F$38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39A-4022-9EA5-28BAA2BE2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2_KTQT'!$F$39:$F$42</c:f>
              <c:numCache>
                <c:formatCode>_(* #,##0_);_(* \(#,##0\);_(* "-"??_);_(@_)</c:formatCode>
                <c:ptCount val="4"/>
                <c:pt idx="0">
                  <c:v>328.86991617098556</c:v>
                </c:pt>
                <c:pt idx="1">
                  <c:v>285.01697726787836</c:v>
                </c:pt>
                <c:pt idx="2">
                  <c:v>176.57506299191027</c:v>
                </c:pt>
                <c:pt idx="3">
                  <c:v>385.30221046573911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9A-4022-9EA5-28BAA2BE2B30}"/>
            </c:ext>
          </c:extLst>
        </c:ser>
        <c:ser>
          <c:idx val="3"/>
          <c:order val="3"/>
          <c:tx>
            <c:strRef>
              <c:f>'Chart 2_KTQT'!$G$38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39A-4022-9EA5-28BAA2BE2B3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2_KTQT'!$G$39:$G$42</c:f>
              <c:numCache>
                <c:formatCode>0%</c:formatCode>
                <c:ptCount val="4"/>
                <c:pt idx="0">
                  <c:v>0.26887706086230184</c:v>
                </c:pt>
                <c:pt idx="1">
                  <c:v>0.22192100137152526</c:v>
                </c:pt>
                <c:pt idx="2">
                  <c:v>0.14686775360157109</c:v>
                </c:pt>
                <c:pt idx="3">
                  <c:v>0.27326397905371569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9A-4022-9EA5-28BAA2BE2B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2_KTQT'!$D$100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9-432F-AA1D-03E69976C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2_KTQT'!$D$101:$D$104</c:f>
              <c:numCache>
                <c:formatCode>_(* #,##0_);_(* \(#,##0\);_(* "-"??_);_(@_)</c:formatCode>
                <c:ptCount val="4"/>
                <c:pt idx="0">
                  <c:v>1068.9916591501801</c:v>
                </c:pt>
                <c:pt idx="1">
                  <c:v>1131.822916772503</c:v>
                </c:pt>
                <c:pt idx="2">
                  <c:v>1163.5204117498827</c:v>
                </c:pt>
                <c:pt idx="3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9-432F-AA1D-03E69976CEF7}"/>
            </c:ext>
          </c:extLst>
        </c:ser>
        <c:ser>
          <c:idx val="1"/>
          <c:order val="1"/>
          <c:tx>
            <c:strRef>
              <c:f>'Chart 2_KTQT'!$E$100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9-432F-AA1D-03E69976C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2_KTQT'!$E$101:$E$104</c:f>
              <c:numCache>
                <c:formatCode>_(* #,##0_);_(* \(#,##0\);_(* "-"??_);_(@_)</c:formatCode>
                <c:ptCount val="4"/>
                <c:pt idx="0">
                  <c:v>1133.4912786680072</c:v>
                </c:pt>
                <c:pt idx="1">
                  <c:v>998.10586743427757</c:v>
                </c:pt>
                <c:pt idx="2">
                  <c:v>1055.1503658259592</c:v>
                </c:pt>
                <c:pt idx="3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69-432F-AA1D-03E69976CEF7}"/>
            </c:ext>
          </c:extLst>
        </c:ser>
        <c:ser>
          <c:idx val="2"/>
          <c:order val="2"/>
          <c:tx>
            <c:strRef>
              <c:f>'Chart 2_KTQT'!$F$100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9-432F-AA1D-03E69976C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2_KTQT'!$F$101:$F$104</c:f>
              <c:numCache>
                <c:formatCode>_(* #,##0_);_(* \(#,##0\);_(* "-"??_);_(@_)</c:formatCode>
                <c:ptCount val="4"/>
                <c:pt idx="0">
                  <c:v>-64.499619517827114</c:v>
                </c:pt>
                <c:pt idx="1">
                  <c:v>133.71704933822548</c:v>
                </c:pt>
                <c:pt idx="2">
                  <c:v>108.3700459239235</c:v>
                </c:pt>
                <c:pt idx="3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69-432F-AA1D-03E69976CEF7}"/>
            </c:ext>
          </c:extLst>
        </c:ser>
        <c:ser>
          <c:idx val="3"/>
          <c:order val="3"/>
          <c:tx>
            <c:strRef>
              <c:f>'Chart 2_KTQT'!$G$100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F669-432F-AA1D-03E69976CEF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2_KTQT'!$G$101:$G$104</c:f>
              <c:numCache>
                <c:formatCode>0%</c:formatCode>
                <c:ptCount val="4"/>
                <c:pt idx="0">
                  <c:v>-6.0336878183972542E-2</c:v>
                </c:pt>
                <c:pt idx="1">
                  <c:v>0.11814308347769802</c:v>
                </c:pt>
                <c:pt idx="2">
                  <c:v>9.3139789237508777E-2</c:v>
                </c:pt>
                <c:pt idx="3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69-432F-AA1D-03E69976CE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A-4339-9D9D-80A68721BDAF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A-4339-9D9D-80A68721BDAF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A-4339-9D9D-80A68721BDAF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0A-4339-9D9D-80A68721B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E-44D5-A5C4-AD71B607309E}"/>
            </c:ext>
          </c:extLst>
        </c:ser>
        <c:ser>
          <c:idx val="1"/>
          <c:order val="1"/>
          <c:tx>
            <c:strRef>
              <c:f>'Chart 2_TT&amp;KTQT'!$AJ$6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E-44D5-A5C4-AD71B607309E}"/>
            </c:ext>
          </c:extLst>
        </c:ser>
        <c:ser>
          <c:idx val="2"/>
          <c:order val="2"/>
          <c:tx>
            <c:strRef>
              <c:f>'Chart 2_TT&amp;KTQT'!$AJ$7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E-44D5-A5C4-AD71B6073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585-AEFF-65E360E21B36}"/>
            </c:ext>
          </c:extLst>
        </c:ser>
        <c:ser>
          <c:idx val="1"/>
          <c:order val="1"/>
          <c:tx>
            <c:strRef>
              <c:f>'Chart 2_TT&amp;KTQT'!$AJ$6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3-4585-AEFF-65E360E21B36}"/>
            </c:ext>
          </c:extLst>
        </c:ser>
        <c:ser>
          <c:idx val="2"/>
          <c:order val="2"/>
          <c:tx>
            <c:strRef>
              <c:f>'Chart 2_TT&amp;KTQT'!$AJ$7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3-4585-AEFF-65E360E21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4-4369-89BC-36048933848D}"/>
            </c:ext>
          </c:extLst>
        </c:ser>
        <c:ser>
          <c:idx val="1"/>
          <c:order val="1"/>
          <c:tx>
            <c:strRef>
              <c:f>'Chart 2_TT&amp;KTQT'!$AJ$67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4-4369-89BC-36048933848D}"/>
            </c:ext>
          </c:extLst>
        </c:ser>
        <c:ser>
          <c:idx val="2"/>
          <c:order val="2"/>
          <c:tx>
            <c:strRef>
              <c:f>'Chart 2_TT&amp;KTQT'!$AJ$68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4-4369-89BC-36048933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E-4D3D-8791-67F8613423AE}"/>
            </c:ext>
          </c:extLst>
        </c:ser>
        <c:ser>
          <c:idx val="1"/>
          <c:order val="1"/>
          <c:tx>
            <c:strRef>
              <c:f>'Chart 2_TT&amp;KTQT'!$AJ$67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E-4D3D-8791-67F8613423AE}"/>
            </c:ext>
          </c:extLst>
        </c:ser>
        <c:ser>
          <c:idx val="2"/>
          <c:order val="2"/>
          <c:tx>
            <c:strRef>
              <c:f>'Chart 2_TT&amp;KTQT'!$AJ$68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E-4D3D-8791-67F86134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4-42FD-818D-BE60E69D4975}"/>
            </c:ext>
          </c:extLst>
        </c:ser>
        <c:ser>
          <c:idx val="1"/>
          <c:order val="1"/>
          <c:tx>
            <c:strRef>
              <c:f>'Chart 2_TT&amp;KTQT'!$AJ$35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4-42FD-818D-BE60E69D4975}"/>
            </c:ext>
          </c:extLst>
        </c:ser>
        <c:ser>
          <c:idx val="2"/>
          <c:order val="2"/>
          <c:tx>
            <c:strRef>
              <c:f>'Chart 2_TT&amp;KTQT'!$AJ$36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F4-42FD-818D-BE60E69D4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5-494D-A093-7A7413AD5284}"/>
            </c:ext>
          </c:extLst>
        </c:ser>
        <c:ser>
          <c:idx val="1"/>
          <c:order val="1"/>
          <c:tx>
            <c:strRef>
              <c:f>'Chart 2_TT&amp;KTQT'!$AJ$35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5-494D-A093-7A7413AD5284}"/>
            </c:ext>
          </c:extLst>
        </c:ser>
        <c:ser>
          <c:idx val="2"/>
          <c:order val="2"/>
          <c:tx>
            <c:strRef>
              <c:f>'Chart 2_TT&amp;KTQT'!$AJ$36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5-494D-A093-7A7413AD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D-4013-80E4-ECC8755C55A5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D-4013-80E4-ECC8755C55A5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D-4013-80E4-ECC8755C55A5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1D-4013-80E4-ECC8755C5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A-4174-BA99-4F0F47D87463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A-4174-BA99-4F0F47D87463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A-4174-BA99-4F0F47D87463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A-4174-BA99-4F0F47D87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2F1-B2AE-DFCD1B30DD72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3-42F1-B2AE-DFCD1B30DD72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3-42F1-B2AE-DFCD1B30D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447-BEAA-F6AAF77F0F86}"/>
            </c:ext>
          </c:extLst>
        </c:ser>
        <c:ser>
          <c:idx val="1"/>
          <c:order val="1"/>
          <c:tx>
            <c:strRef>
              <c:f>'Chart 2_TT&amp;KTQT'!$BA$6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F-4447-BEAA-F6AAF77F0F86}"/>
            </c:ext>
          </c:extLst>
        </c:ser>
        <c:ser>
          <c:idx val="2"/>
          <c:order val="2"/>
          <c:tx>
            <c:strRef>
              <c:f>'Chart 2_TT&amp;KTQT'!$BA$7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3F-4447-BEAA-F6AAF77F0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3-4855-A12D-A767CF3D5FE8}"/>
            </c:ext>
          </c:extLst>
        </c:ser>
        <c:ser>
          <c:idx val="1"/>
          <c:order val="1"/>
          <c:tx>
            <c:strRef>
              <c:f>'Chart 2_TT&amp;KTQT'!$BA$6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3-4855-A12D-A767CF3D5FE8}"/>
            </c:ext>
          </c:extLst>
        </c:ser>
        <c:ser>
          <c:idx val="2"/>
          <c:order val="2"/>
          <c:tx>
            <c:strRef>
              <c:f>'Chart 2_TT&amp;KTQT'!$BA$7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3-4855-A12D-A767CF3D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EA-4198-B2AC-3002E01167A4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DEA-4198-B2AC-3002E0116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2_TT&amp;KTQT'!$O$6:$O$10</c:f>
              <c:numCache>
                <c:formatCode>_(* #,##0_);_(* \(#,##0\);_(* "-"??_);_(@_)</c:formatCode>
                <c:ptCount val="5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  <c:pt idx="3">
                  <c:v>34039.193245850227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B-499C-AB52-BE9CF4FF97C4}"/>
            </c:ext>
          </c:extLst>
        </c:ser>
        <c:ser>
          <c:idx val="1"/>
          <c:order val="1"/>
          <c:tx>
            <c:strRef>
              <c:f>'Chart 2_TT&amp;KTQT'!$P$5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DEA-4198-B2AC-3002E0116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2_TT&amp;KTQT'!$P$6:$P$10</c:f>
              <c:numCache>
                <c:formatCode>_(* #,##0_);_(* \(#,##0\);_(* "-"??_);_(@_)</c:formatCode>
                <c:ptCount val="5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  <c:pt idx="3">
                  <c:v>27679.193245850223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B-499C-AB52-BE9CF4FF97C4}"/>
            </c:ext>
          </c:extLst>
        </c:ser>
        <c:ser>
          <c:idx val="2"/>
          <c:order val="2"/>
          <c:tx>
            <c:strRef>
              <c:f>'Chart 2_TT&amp;KTQT'!$Q$5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EA-4198-B2AC-3002E01167A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EA-4198-B2AC-3002E0116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2_TT&amp;KTQT'!$Q$6:$Q$10</c:f>
              <c:numCache>
                <c:formatCode>_(* #,##0_);_(* \(#,##0\);_(* "-"??_);_(@_)</c:formatCode>
                <c:ptCount val="5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  <c:pt idx="3">
                  <c:v>6360.0000000000036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AB-499C-AB52-BE9CF4FF97C4}"/>
            </c:ext>
          </c:extLst>
        </c:ser>
        <c:ser>
          <c:idx val="3"/>
          <c:order val="3"/>
          <c:tx>
            <c:strRef>
              <c:f>'Chart 2_TT&amp;KTQT'!$R$5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FDEA-4198-B2AC-3002E01167A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2_TT&amp;KTQT'!$R$6:$R$10</c:f>
              <c:numCache>
                <c:formatCode>0%</c:formatCode>
                <c:ptCount val="5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  <c:pt idx="3">
                  <c:v>0.1868434411492805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AB-499C-AB52-BE9CF4FF9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2_TT&amp;KTQT'!$O$69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4A-43BE-A7B5-7BA93EECAE5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14A-43BE-A7B5-7BA93EECA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2_TT&amp;KTQT'!$O$70:$O$74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2-4DAC-8AD8-0835CEE4554E}"/>
            </c:ext>
          </c:extLst>
        </c:ser>
        <c:ser>
          <c:idx val="2"/>
          <c:order val="1"/>
          <c:tx>
            <c:strRef>
              <c:f>'Chart 2_TT&amp;KTQT'!$P$69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4A-43BE-A7B5-7BA93EECA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2_TT&amp;KTQT'!$P$70:$P$74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2-4DAC-8AD8-0835CEE4554E}"/>
            </c:ext>
          </c:extLst>
        </c:ser>
        <c:ser>
          <c:idx val="3"/>
          <c:order val="2"/>
          <c:tx>
            <c:strRef>
              <c:f>'Chart 2_TT&amp;KTQT'!$Q$69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4A-43BE-A7B5-7BA93EECAE5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4A-43BE-A7B5-7BA93EECA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2_TT&amp;KTQT'!$Q$70:$Q$74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2-4DAC-8AD8-0835CEE4554E}"/>
            </c:ext>
          </c:extLst>
        </c:ser>
        <c:ser>
          <c:idx val="0"/>
          <c:order val="3"/>
          <c:tx>
            <c:strRef>
              <c:f>'Chart 2_TT&amp;KTQT'!$R$69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B14A-43BE-A7B5-7BA93EECAE5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2_TT&amp;KTQT'!$R$70:$R$74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72-4DAC-8AD8-0835CEE45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5-48DE-B04C-F80B946DDE66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322-45E6-A972-147AFFDAC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2_TT&amp;KTQT'!$O$39:$O$43</c:f>
              <c:numCache>
                <c:formatCode>_(* #,##0_);_(* \(#,##0\);_(* "-"??_);_(@_)</c:formatCode>
                <c:ptCount val="5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  <c:pt idx="3">
                  <c:v>32719.491422657906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15-48DE-B04C-F80B946DDE66}"/>
            </c:ext>
          </c:extLst>
        </c:ser>
        <c:ser>
          <c:idx val="1"/>
          <c:order val="1"/>
          <c:tx>
            <c:strRef>
              <c:f>'Chart 2_TT&amp;KTQT'!$P$38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22-45E6-A972-147AFFDAC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2_TT&amp;KTQT'!$P$39:$P$43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27154.491422657913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15-48DE-B04C-F80B946DDE66}"/>
            </c:ext>
          </c:extLst>
        </c:ser>
        <c:ser>
          <c:idx val="2"/>
          <c:order val="2"/>
          <c:tx>
            <c:strRef>
              <c:f>'Chart 2_TT&amp;KTQT'!$Q$38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22-45E6-A972-147AFFDAC39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22-45E6-A972-147AFFDAC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2_TT&amp;KTQT'!$Q$39:$Q$43</c:f>
              <c:numCache>
                <c:formatCode>_(* #,##0_);_(* \(#,##0\);_(* "-"??_);_(@_)</c:formatCode>
                <c:ptCount val="5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15-48DE-B04C-F80B946DDE66}"/>
            </c:ext>
          </c:extLst>
        </c:ser>
        <c:ser>
          <c:idx val="3"/>
          <c:order val="3"/>
          <c:tx>
            <c:strRef>
              <c:f>'Chart 2_TT&amp;KTQT'!$R$38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322-45E6-A972-147AFFDAC39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2_TT&amp;KTQT'!$R$39:$R$43</c:f>
              <c:numCache>
                <c:formatCode>0%</c:formatCode>
                <c:ptCount val="5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  <c:pt idx="3">
                  <c:v>0.17008210574282606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15-48DE-B04C-F80B946DDE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63-4D18-81CB-FABDB50B832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63-4D18-81CB-FABDB50B8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2_TT&amp;KTQT'!$O$101:$O$105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3-415D-809C-903723EECE63}"/>
            </c:ext>
          </c:extLst>
        </c:ser>
        <c:ser>
          <c:idx val="1"/>
          <c:order val="1"/>
          <c:tx>
            <c:strRef>
              <c:f>'Chart 2_TT&amp;KTQT'!$P$100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63-4D18-81CB-FABDB50B8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2_TT&amp;KTQT'!$P$101:$P$105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33-415D-809C-903723EECE63}"/>
            </c:ext>
          </c:extLst>
        </c:ser>
        <c:ser>
          <c:idx val="2"/>
          <c:order val="2"/>
          <c:tx>
            <c:strRef>
              <c:f>'Chart 2_TT&amp;KTQT'!$Q$100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63-4D18-81CB-FABDB50B83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63-4D18-81CB-FABDB50B8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2_TT&amp;KTQT'!$Q$101:$Q$105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33-415D-809C-903723EECE63}"/>
            </c:ext>
          </c:extLst>
        </c:ser>
        <c:ser>
          <c:idx val="3"/>
          <c:order val="3"/>
          <c:tx>
            <c:strRef>
              <c:f>'Chart 2_TT&amp;KTQT'!$R$100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F563-4D18-81CB-FABDB50B832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2_TT&amp;KTQT'!$R$101:$R$105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33-415D-809C-903723EECE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46DF-A5C9-5F66BE4C4586}"/>
            </c:ext>
          </c:extLst>
        </c:ser>
        <c:ser>
          <c:idx val="1"/>
          <c:order val="1"/>
          <c:tx>
            <c:strRef>
              <c:f>'Chart 2_TT&amp;KTQT'!$BQ$6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C-46DF-A5C9-5F66BE4C4586}"/>
            </c:ext>
          </c:extLst>
        </c:ser>
        <c:ser>
          <c:idx val="2"/>
          <c:order val="2"/>
          <c:tx>
            <c:strRef>
              <c:f>'Chart 2_TT&amp;KTQT'!$BQ$7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C-46DF-A5C9-5F66BE4C4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D-4379-ADD3-0B25A37947D0}"/>
            </c:ext>
          </c:extLst>
        </c:ser>
        <c:ser>
          <c:idx val="1"/>
          <c:order val="1"/>
          <c:tx>
            <c:strRef>
              <c:f>'Chart 2_TT&amp;KTQT'!$BQ$6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D-4379-ADD3-0B25A37947D0}"/>
            </c:ext>
          </c:extLst>
        </c:ser>
        <c:ser>
          <c:idx val="2"/>
          <c:order val="2"/>
          <c:tx>
            <c:strRef>
              <c:f>'Chart 2_TT&amp;KTQT'!$BQ$7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D-4379-ADD3-0B25A3794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40-401E-9234-279D3768C5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D40-401E-9234-279D3768C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2_TT&amp;KTQT'!$D$6:$D$10</c:f>
              <c:numCache>
                <c:formatCode>_(* #,##0_);_(* \(#,##0\);_(* "-"??_);_(@_)</c:formatCode>
                <c:ptCount val="5"/>
                <c:pt idx="0">
                  <c:v>1396.9592995301155</c:v>
                </c:pt>
                <c:pt idx="1">
                  <c:v>1345.2792347226514</c:v>
                </c:pt>
                <c:pt idx="2">
                  <c:v>1191.5563229628797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40-401E-9234-279D3768C594}"/>
            </c:ext>
          </c:extLst>
        </c:ser>
        <c:ser>
          <c:idx val="1"/>
          <c:order val="1"/>
          <c:tx>
            <c:strRef>
              <c:f>'Chart 2_TT&amp;KTQT'!$E$5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D40-401E-9234-279D3768C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2_TT&amp;KTQT'!$E$6:$E$10</c:f>
              <c:numCache>
                <c:formatCode>_(* #,##0_);_(* \(#,##0\);_(* "-"??_);_(@_)</c:formatCode>
                <c:ptCount val="5"/>
                <c:pt idx="0">
                  <c:v>1097.0470682135215</c:v>
                </c:pt>
                <c:pt idx="1">
                  <c:v>1091.1469880868879</c:v>
                </c:pt>
                <c:pt idx="2">
                  <c:v>1094.2479311948205</c:v>
                </c:pt>
                <c:pt idx="3">
                  <c:v>1044.4978583339707</c:v>
                </c:pt>
                <c:pt idx="4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40-401E-9234-279D3768C594}"/>
            </c:ext>
          </c:extLst>
        </c:ser>
        <c:ser>
          <c:idx val="2"/>
          <c:order val="2"/>
          <c:tx>
            <c:strRef>
              <c:f>'Chart 2_TT&amp;KTQT'!$F$5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D40-401E-9234-279D3768C5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D40-401E-9234-279D3768C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2_TT&amp;KTQT'!$F$6:$F$10</c:f>
              <c:numCache>
                <c:formatCode>_(* #,##0_);_(* \(#,##0\);_(* "-"??_);_(@_)</c:formatCode>
                <c:ptCount val="5"/>
                <c:pt idx="0">
                  <c:v>299.91223131659399</c:v>
                </c:pt>
                <c:pt idx="1">
                  <c:v>254.13224663576352</c:v>
                </c:pt>
                <c:pt idx="2">
                  <c:v>97.308391768059209</c:v>
                </c:pt>
                <c:pt idx="3">
                  <c:v>240</c:v>
                </c:pt>
                <c:pt idx="4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40-401E-9234-279D3768C594}"/>
            </c:ext>
          </c:extLst>
        </c:ser>
        <c:ser>
          <c:idx val="3"/>
          <c:order val="3"/>
          <c:tx>
            <c:strRef>
              <c:f>'Chart 2_TT&amp;KTQT'!$G$5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CD40-401E-9234-279D3768C59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2_TT&amp;KTQT'!$G$6:$G$10</c:f>
              <c:numCache>
                <c:formatCode>0%</c:formatCode>
                <c:ptCount val="5"/>
                <c:pt idx="0">
                  <c:v>0.21468931229240049</c:v>
                </c:pt>
                <c:pt idx="1">
                  <c:v>0.1889066894637354</c:v>
                </c:pt>
                <c:pt idx="2">
                  <c:v>8.166495355091212E-2</c:v>
                </c:pt>
                <c:pt idx="3">
                  <c:v>0.18684344114928042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D40-401E-9234-279D3768C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2_TT&amp;KTQT'!$D$69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C-4527-93C7-9BE0BA3AC47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D2C-4527-93C7-9BE0BA3AC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2_TT&amp;KTQT'!$D$70:$D$74</c:f>
              <c:numCache>
                <c:formatCode>_(* #,##0_);_(* \(#,##0\);_(* "-"??_);_(@_)</c:formatCode>
                <c:ptCount val="5"/>
                <c:pt idx="0">
                  <c:v>1224.2711679958338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C-4527-93C7-9BE0BA3AC478}"/>
            </c:ext>
          </c:extLst>
        </c:ser>
        <c:ser>
          <c:idx val="2"/>
          <c:order val="1"/>
          <c:tx>
            <c:strRef>
              <c:f>'Chart 2_TT&amp;KTQT'!$E$69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C-4527-93C7-9BE0BA3AC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2_TT&amp;KTQT'!$E$70:$E$74</c:f>
              <c:numCache>
                <c:formatCode>_(* #,##0_);_(* \(#,##0\);_(* "-"??_);_(@_)</c:formatCode>
                <c:ptCount val="5"/>
                <c:pt idx="0">
                  <c:v>981.49575659452444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2C-4527-93C7-9BE0BA3AC478}"/>
            </c:ext>
          </c:extLst>
        </c:ser>
        <c:ser>
          <c:idx val="3"/>
          <c:order val="2"/>
          <c:tx>
            <c:strRef>
              <c:f>'Chart 2_TT&amp;KTQT'!$F$69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2C-4527-93C7-9BE0BA3AC47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D2C-4527-93C7-9BE0BA3AC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2_TT&amp;KTQT'!$F$70:$F$74</c:f>
              <c:numCache>
                <c:formatCode>_(* #,##0_);_(* \(#,##0\);_(* "-"??_);_(@_)</c:formatCode>
                <c:ptCount val="5"/>
                <c:pt idx="0">
                  <c:v>242.77541140130938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2C-4527-93C7-9BE0BA3AC478}"/>
            </c:ext>
          </c:extLst>
        </c:ser>
        <c:ser>
          <c:idx val="0"/>
          <c:order val="3"/>
          <c:tx>
            <c:strRef>
              <c:f>'Chart 2_TT&amp;KTQT'!$G$69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5D2C-4527-93C7-9BE0BA3AC478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2_TT&amp;KTQT'!$G$70:$G$74</c:f>
              <c:numCache>
                <c:formatCode>0%</c:formatCode>
                <c:ptCount val="5"/>
                <c:pt idx="0">
                  <c:v>0.19830199203232035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2C-4527-93C7-9BE0BA3AC4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F-4205-8F20-79F765DEBA7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D0F-4205-8F20-79F765DEB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2_TT&amp;KTQT'!$D$39:$D$43</c:f>
              <c:numCache>
                <c:formatCode>_(* #,##0_);_(* \(#,##0\);_(* "-"??_);_(@_)</c:formatCode>
                <c:ptCount val="5"/>
                <c:pt idx="0">
                  <c:v>1223.1237395867231</c:v>
                </c:pt>
                <c:pt idx="1">
                  <c:v>1238.0335607629145</c:v>
                </c:pt>
                <c:pt idx="2">
                  <c:v>1141.4236356808344</c:v>
                </c:pt>
                <c:pt idx="3">
                  <c:v>1234.6977895342607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0F-4205-8F20-79F765DEBA7E}"/>
            </c:ext>
          </c:extLst>
        </c:ser>
        <c:ser>
          <c:idx val="1"/>
          <c:order val="1"/>
          <c:tx>
            <c:strRef>
              <c:f>'Chart 2_TT&amp;KTQT'!$E$38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0F-4205-8F20-79F765DEB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2_TT&amp;KTQT'!$E$39:$E$43</c:f>
              <c:numCache>
                <c:formatCode>_(* #,##0_);_(* \(#,##0\);_(* "-"??_);_(@_)</c:formatCode>
                <c:ptCount val="5"/>
                <c:pt idx="0">
                  <c:v>927.6853844490596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1024.6977895342609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0F-4205-8F20-79F765DEBA7E}"/>
            </c:ext>
          </c:extLst>
        </c:ser>
        <c:ser>
          <c:idx val="2"/>
          <c:order val="2"/>
          <c:tx>
            <c:strRef>
              <c:f>'Chart 2_TT&amp;KTQT'!$F$38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D0F-4205-8F20-79F765DEBA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D0F-4205-8F20-79F765DEB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2_TT&amp;KTQT'!$F$39:$F$43</c:f>
              <c:numCache>
                <c:formatCode>_(* #,##0_);_(* \(#,##0\);_(* "-"??_);_(@_)</c:formatCode>
                <c:ptCount val="5"/>
                <c:pt idx="0">
                  <c:v>295.43835513766351</c:v>
                </c:pt>
                <c:pt idx="1">
                  <c:v>238.73325617641774</c:v>
                </c:pt>
                <c:pt idx="2">
                  <c:v>131.233490114186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0F-4205-8F20-79F765DEBA7E}"/>
            </c:ext>
          </c:extLst>
        </c:ser>
        <c:ser>
          <c:idx val="3"/>
          <c:order val="3"/>
          <c:tx>
            <c:strRef>
              <c:f>'Chart 2_TT&amp;KTQT'!$G$38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D0F-4205-8F20-79F765DEBA7E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2_TT&amp;KTQT'!$G$39:$G$43</c:f>
              <c:numCache>
                <c:formatCode>0%</c:formatCode>
                <c:ptCount val="5"/>
                <c:pt idx="0">
                  <c:v>0.24154412638371986</c:v>
                </c:pt>
                <c:pt idx="1">
                  <c:v>0.19283262081304398</c:v>
                </c:pt>
                <c:pt idx="2">
                  <c:v>0.11497351729177052</c:v>
                </c:pt>
                <c:pt idx="3">
                  <c:v>0.17008210574282612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0F-4205-8F20-79F765DEB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9-47D4-B32F-931250CFE604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9F9-47D4-B32F-931250CFE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2_TT&amp;KTQT'!$D$101:$D$105</c:f>
              <c:numCache>
                <c:formatCode>_(* #,##0_);_(* \(#,##0\);_(* "-"??_);_(@_)</c:formatCode>
                <c:ptCount val="5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F9-47D4-B32F-931250CFE604}"/>
            </c:ext>
          </c:extLst>
        </c:ser>
        <c:ser>
          <c:idx val="1"/>
          <c:order val="1"/>
          <c:tx>
            <c:strRef>
              <c:f>'Chart 2_TT&amp;KTQT'!$E$100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9-47D4-B32F-931250CFE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2_TT&amp;KTQT'!$E$101:$E$105</c:f>
              <c:numCache>
                <c:formatCode>_(* #,##0_);_(* \(#,##0\);_(* "-"??_);_(@_)</c:formatCode>
                <c:ptCount val="5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F9-47D4-B32F-931250CFE604}"/>
            </c:ext>
          </c:extLst>
        </c:ser>
        <c:ser>
          <c:idx val="2"/>
          <c:order val="2"/>
          <c:tx>
            <c:strRef>
              <c:f>'Chart 2_TT&amp;KTQT'!$F$100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F9-47D4-B32F-931250CFE6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F9-47D4-B32F-931250CFE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2_TT&amp;KTQT'!$F$101:$F$105</c:f>
              <c:numCache>
                <c:formatCode>_(* #,##0_);_(* \(#,##0\);_(* "-"??_);_(@_)</c:formatCode>
                <c:ptCount val="5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F9-47D4-B32F-931250CFE604}"/>
            </c:ext>
          </c:extLst>
        </c:ser>
        <c:ser>
          <c:idx val="3"/>
          <c:order val="3"/>
          <c:tx>
            <c:strRef>
              <c:f>'Chart 2_TT&amp;KTQT'!$G$100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D9F9-47D4-B32F-931250CFE60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2_TT&amp;KTQT'!$G$101:$G$105</c:f>
              <c:numCache>
                <c:formatCode>0%</c:formatCode>
                <c:ptCount val="5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F9-47D4-B32F-931250CFE6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2-4314-B97D-51882A3CBFA0}"/>
            </c:ext>
          </c:extLst>
        </c:ser>
        <c:ser>
          <c:idx val="1"/>
          <c:order val="1"/>
          <c:tx>
            <c:strRef>
              <c:f>'Chart 2_TT&amp;KTQT'!$X$165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2_TT&amp;KTQT'!$Y$165:$AC$165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2-4314-B97D-51882A3CBFA0}"/>
            </c:ext>
          </c:extLst>
        </c:ser>
        <c:ser>
          <c:idx val="2"/>
          <c:order val="2"/>
          <c:tx>
            <c:strRef>
              <c:f>'Chart 2_TT&amp;KTQT'!$X$166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2_TT&amp;KTQT'!$Y$166:$AC$166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2-4314-B97D-51882A3CB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Vảy FPET201-Out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1D6-41CA-8AF4-9C0849459E3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1D6-41CA-8AF4-9C0849459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2_TT&amp;KTQT'!$O$165:$O$168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3-4660-9E08-C9B0C3093E15}"/>
            </c:ext>
          </c:extLst>
        </c:ser>
        <c:ser>
          <c:idx val="1"/>
          <c:order val="1"/>
          <c:tx>
            <c:strRef>
              <c:f>'Chart 2_TT&amp;KTQT'!$P$164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1D6-41CA-8AF4-9C0849459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2_TT&amp;KTQT'!$P$165:$P$168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43-4660-9E08-C9B0C3093E15}"/>
            </c:ext>
          </c:extLst>
        </c:ser>
        <c:ser>
          <c:idx val="2"/>
          <c:order val="2"/>
          <c:tx>
            <c:strRef>
              <c:f>'Chart 2_TT&amp;KTQT'!$Q$164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D6-41CA-8AF4-9C0849459E3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D6-41CA-8AF4-9C0849459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2_TT&amp;KTQT'!$Q$165:$Q$168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43-4660-9E08-C9B0C3093E15}"/>
            </c:ext>
          </c:extLst>
        </c:ser>
        <c:ser>
          <c:idx val="3"/>
          <c:order val="3"/>
          <c:tx>
            <c:strRef>
              <c:f>'Chart 2_TT&amp;KTQT'!$R$164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2_TT&amp;KTQT'!$R$165:$R$168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43-4660-9E08-C9B0C3093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Vảy FPET201-Out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E6-4AEC-B952-E6D42B2F678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CF-4B03-9903-1880E44DA3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2_TT&amp;KTQT'!$D$165:$D$168</c:f>
              <c:numCache>
                <c:formatCode>_(* #,##0_);_(* \(#,##0\);_(* "-"??_);_(@_)</c:formatCode>
                <c:ptCount val="4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CF-4B03-9903-1880E44DA3E0}"/>
            </c:ext>
          </c:extLst>
        </c:ser>
        <c:ser>
          <c:idx val="1"/>
          <c:order val="1"/>
          <c:tx>
            <c:strRef>
              <c:f>'Chart 2_TT&amp;KTQT'!$E$164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9E6-4AEC-B952-E6D42B2F67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2_TT&amp;KTQT'!$E$165:$E$168</c:f>
              <c:numCache>
                <c:formatCode>_(* #,##0_);_(* \(#,##0\);_(* "-"??_);_(@_)</c:formatCode>
                <c:ptCount val="4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CF-4B03-9903-1880E44DA3E0}"/>
            </c:ext>
          </c:extLst>
        </c:ser>
        <c:ser>
          <c:idx val="2"/>
          <c:order val="2"/>
          <c:tx>
            <c:strRef>
              <c:f>'Chart 2_TT&amp;KTQT'!$F$164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E6-4AEC-B952-E6D42B2F67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CF-4B03-9903-1880E44DA3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2_TT&amp;KTQT'!$F$165:$F$168</c:f>
              <c:numCache>
                <c:formatCode>_(* #,##0_);_(* \(#,##0\);_(* "-"??_);_(@_)</c:formatCode>
                <c:ptCount val="4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2CF-4B03-9903-1880E44DA3E0}"/>
            </c:ext>
          </c:extLst>
        </c:ser>
        <c:ser>
          <c:idx val="3"/>
          <c:order val="3"/>
          <c:tx>
            <c:strRef>
              <c:f>'Chart 2_TT&amp;KTQT'!$G$164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2_TT&amp;KTQT'!$G$165:$G$168</c:f>
              <c:numCache>
                <c:formatCode>0%</c:formatCode>
                <c:ptCount val="4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2CF-4B03-9903-1880E44DA3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2-4651-9FFF-A28FC73DBEF3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2-4651-9FFF-A28FC73DBEF3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2-4651-9FFF-A28FC73DB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B3-4017-84C4-0C47A2B4AB8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B3-4017-84C4-0C47A2B4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2_TT&amp;KTQT'!$O$132:$O$136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3-4017-84C4-0C47A2B4AB8B}"/>
            </c:ext>
          </c:extLst>
        </c:ser>
        <c:ser>
          <c:idx val="1"/>
          <c:order val="1"/>
          <c:tx>
            <c:strRef>
              <c:f>'Chart 2_TT&amp;KTQT'!$P$131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B3-4017-84C4-0C47A2B4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2_TT&amp;KTQT'!$P$132:$P$136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B3-4017-84C4-0C47A2B4AB8B}"/>
            </c:ext>
          </c:extLst>
        </c:ser>
        <c:ser>
          <c:idx val="2"/>
          <c:order val="2"/>
          <c:tx>
            <c:strRef>
              <c:f>'Chart 2_TT&amp;KTQT'!$Q$131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B3-4017-84C4-0C47A2B4AB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B3-4017-84C4-0C47A2B4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2_TT&amp;KTQT'!$Q$132:$Q$136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B3-4017-84C4-0C47A2B4AB8B}"/>
            </c:ext>
          </c:extLst>
        </c:ser>
        <c:ser>
          <c:idx val="3"/>
          <c:order val="3"/>
          <c:tx>
            <c:strRef>
              <c:f>'Chart 2_TT&amp;KTQT'!$R$131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CB3-4017-84C4-0C47A2B4AB8B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2_TT&amp;KTQT'!$R$132:$R$136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B3-4017-84C4-0C47A2B4AB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7-4929-8619-6A7C0D45846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7-4929-8619-6A7C0D458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2_TT&amp;KTQT'!$D$132:$D$136</c:f>
              <c:numCache>
                <c:formatCode>_(* #,##0_);_(* \(#,##0\);_(* "-"??_);_(@_)</c:formatCode>
                <c:ptCount val="5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57-4929-8619-6A7C0D45846F}"/>
            </c:ext>
          </c:extLst>
        </c:ser>
        <c:ser>
          <c:idx val="1"/>
          <c:order val="1"/>
          <c:tx>
            <c:strRef>
              <c:f>'Chart 2_TT&amp;KTQT'!$E$131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7-4929-8619-6A7C0D458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2_TT&amp;KTQT'!$E$132:$E$136</c:f>
              <c:numCache>
                <c:formatCode>_(* #,##0_);_(* \(#,##0\);_(* "-"??_);_(@_)</c:formatCode>
                <c:ptCount val="5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57-4929-8619-6A7C0D45846F}"/>
            </c:ext>
          </c:extLst>
        </c:ser>
        <c:ser>
          <c:idx val="2"/>
          <c:order val="2"/>
          <c:tx>
            <c:strRef>
              <c:f>'Chart 2_TT&amp;KTQT'!$F$131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957-4929-8619-6A7C0D45846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957-4929-8619-6A7C0D458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2_TT&amp;KTQT'!$F$132:$F$136</c:f>
              <c:numCache>
                <c:formatCode>_(* #,##0_);_(* \(#,##0\);_(* "-"??_);_(@_)</c:formatCode>
                <c:ptCount val="5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57-4929-8619-6A7C0D45846F}"/>
            </c:ext>
          </c:extLst>
        </c:ser>
        <c:ser>
          <c:idx val="3"/>
          <c:order val="3"/>
          <c:tx>
            <c:strRef>
              <c:f>'Chart 2_TT&amp;KTQT'!$G$131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9957-4929-8619-6A7C0D45846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2_TT&amp;KTQT'!$G$132:$G$136</c:f>
              <c:numCache>
                <c:formatCode>0%</c:formatCode>
                <c:ptCount val="5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957-4929-8619-6A7C0D458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D-4591-8312-E5057001149B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D-4591-8312-E5057001149B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D-4591-8312-E5057001149B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2D-4591-8312-E50570011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3-476E-979F-6696F474D877}"/>
            </c:ext>
          </c:extLst>
        </c:ser>
        <c:ser>
          <c:idx val="1"/>
          <c:order val="1"/>
          <c:tx>
            <c:strRef>
              <c:f>'Chart 2_TT&amp;KTQT (Suntory)'!$AJ$6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3-476E-979F-6696F474D877}"/>
            </c:ext>
          </c:extLst>
        </c:ser>
        <c:ser>
          <c:idx val="2"/>
          <c:order val="2"/>
          <c:tx>
            <c:strRef>
              <c:f>'Chart 2_TT&amp;KTQT (Suntory)'!$AJ$7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3-476E-979F-6696F474D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6-440F-B5E2-5630A6D71C5D}"/>
            </c:ext>
          </c:extLst>
        </c:ser>
        <c:ser>
          <c:idx val="1"/>
          <c:order val="1"/>
          <c:tx>
            <c:strRef>
              <c:f>'Chart 2_TT&amp;KTQT (Suntory)'!$AJ$6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6-440F-B5E2-5630A6D71C5D}"/>
            </c:ext>
          </c:extLst>
        </c:ser>
        <c:ser>
          <c:idx val="2"/>
          <c:order val="2"/>
          <c:tx>
            <c:strRef>
              <c:f>'Chart 2_TT&amp;KTQT (Suntory)'!$AJ$7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6-440F-B5E2-5630A6D7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B-4455-BF7D-E09E7CC2CB34}"/>
            </c:ext>
          </c:extLst>
        </c:ser>
        <c:ser>
          <c:idx val="1"/>
          <c:order val="1"/>
          <c:tx>
            <c:strRef>
              <c:f>'Chart 2_TT&amp;KTQT (Suntory)'!$AJ$67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B-4455-BF7D-E09E7CC2CB34}"/>
            </c:ext>
          </c:extLst>
        </c:ser>
        <c:ser>
          <c:idx val="2"/>
          <c:order val="2"/>
          <c:tx>
            <c:strRef>
              <c:f>'Chart 2_TT&amp;KTQT (Suntory)'!$AJ$68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1B-4455-BF7D-E09E7CC2C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0-4763-A68A-CE08CCC8ED1B}"/>
            </c:ext>
          </c:extLst>
        </c:ser>
        <c:ser>
          <c:idx val="1"/>
          <c:order val="1"/>
          <c:tx>
            <c:strRef>
              <c:f>'Chart 2_TT&amp;KTQT (Suntory)'!$AJ$67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0-4763-A68A-CE08CCC8ED1B}"/>
            </c:ext>
          </c:extLst>
        </c:ser>
        <c:ser>
          <c:idx val="2"/>
          <c:order val="2"/>
          <c:tx>
            <c:strRef>
              <c:f>'Chart 2_TT&amp;KTQT (Suntory)'!$AJ$68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D0-4763-A68A-CE08CCC8E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 (Suntory)'!$AK$33:$AN$33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8-4E6E-A00C-38F269E316B7}"/>
            </c:ext>
          </c:extLst>
        </c:ser>
        <c:ser>
          <c:idx val="1"/>
          <c:order val="1"/>
          <c:tx>
            <c:strRef>
              <c:f>'Chart 2_TT&amp;KTQT (Suntory)'!$AJ$35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 (Suntory)'!$AK$33:$AN$33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8-4E6E-A00C-38F269E316B7}"/>
            </c:ext>
          </c:extLst>
        </c:ser>
        <c:ser>
          <c:idx val="2"/>
          <c:order val="2"/>
          <c:tx>
            <c:strRef>
              <c:f>'Chart 2_TT&amp;KTQT (Suntory)'!$AJ$36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 (Suntory)'!$AK$33:$AN$33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B8-4E6E-A00C-38F269E31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C-46DF-A164-C1E1DF142973}"/>
            </c:ext>
          </c:extLst>
        </c:ser>
        <c:ser>
          <c:idx val="1"/>
          <c:order val="1"/>
          <c:tx>
            <c:strRef>
              <c:f>'Chart 2_TT&amp;KTQT (Suntory)'!$AJ$35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C-46DF-A164-C1E1DF142973}"/>
            </c:ext>
          </c:extLst>
        </c:ser>
        <c:ser>
          <c:idx val="2"/>
          <c:order val="2"/>
          <c:tx>
            <c:strRef>
              <c:f>'Chart 2_TT&amp;KTQT (Suntory)'!$AJ$36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1C-46DF-A164-C1E1DF142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B-4EC5-9EE1-77931926B450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B-4EC5-9EE1-77931926B450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B-4EC5-9EE1-77931926B450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0B-4EC5-9EE1-77931926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7-449C-8EEC-A32D83C1B1BD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7-449C-8EEC-A32D83C1B1BD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7-449C-8EEC-A32D83C1B1BD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7-449C-8EEC-A32D83C1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7-4E63-BB5E-846C0964C6DF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7-4E63-BB5E-846C0964C6DF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7-4E63-BB5E-846C0964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7AD-A652-D2906FA3EAB6}"/>
            </c:ext>
          </c:extLst>
        </c:ser>
        <c:ser>
          <c:idx val="1"/>
          <c:order val="1"/>
          <c:tx>
            <c:strRef>
              <c:f>'Chart 2_TT&amp;KTQT (Suntory)'!$BA$6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1-47AD-A652-D2906FA3EAB6}"/>
            </c:ext>
          </c:extLst>
        </c:ser>
        <c:ser>
          <c:idx val="2"/>
          <c:order val="2"/>
          <c:tx>
            <c:strRef>
              <c:f>'Chart 2_TT&amp;KTQT (Suntory)'!$BA$7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41-47AD-A652-D2906FA3E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E-419C-A6F5-A6CA3D7096D1}"/>
            </c:ext>
          </c:extLst>
        </c:ser>
        <c:ser>
          <c:idx val="1"/>
          <c:order val="1"/>
          <c:tx>
            <c:strRef>
              <c:f>'Chart 2_TT&amp;KTQT (Suntory)'!$BA$6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E-419C-A6F5-A6CA3D7096D1}"/>
            </c:ext>
          </c:extLst>
        </c:ser>
        <c:ser>
          <c:idx val="2"/>
          <c:order val="2"/>
          <c:tx>
            <c:strRef>
              <c:f>'Chart 2_TT&amp;KTQT (Suntory)'!$BA$7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E-419C-A6F5-A6CA3D709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(Suntory)'!$O$5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54-4202-8A61-C57A33C178D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54-4202-8A61-C57A33C17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(Suntory)'!$O$6:$O$10</c:f>
              <c:numCache>
                <c:formatCode>_(* #,##0_);_(* \(#,##0\);_(* "-"??_);_(@_)</c:formatCode>
                <c:ptCount val="5"/>
                <c:pt idx="0">
                  <c:v>35679.993238491428</c:v>
                </c:pt>
                <c:pt idx="1">
                  <c:v>34636.123976893912</c:v>
                </c:pt>
                <c:pt idx="2">
                  <c:v>30657.558979441008</c:v>
                </c:pt>
                <c:pt idx="3">
                  <c:v>34784.266711098855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54-4202-8A61-C57A33C178D1}"/>
            </c:ext>
          </c:extLst>
        </c:ser>
        <c:ser>
          <c:idx val="1"/>
          <c:order val="1"/>
          <c:tx>
            <c:strRef>
              <c:f>'Chart 2_TT&amp;KTQT (Suntory)'!$P$5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254-4202-8A61-C57A33C17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(Suntory)'!$P$6:$P$10</c:f>
              <c:numCache>
                <c:formatCode>_(* #,##0_);_(* \(#,##0\);_(* "-"??_);_(@_)</c:formatCode>
                <c:ptCount val="5"/>
                <c:pt idx="0">
                  <c:v>28107.031178932233</c:v>
                </c:pt>
                <c:pt idx="1">
                  <c:v>28425.137778271146</c:v>
                </c:pt>
                <c:pt idx="2">
                  <c:v>28606.26705038725</c:v>
                </c:pt>
                <c:pt idx="3">
                  <c:v>28424.266711098859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54-4202-8A61-C57A33C178D1}"/>
            </c:ext>
          </c:extLst>
        </c:ser>
        <c:ser>
          <c:idx val="2"/>
          <c:order val="2"/>
          <c:tx>
            <c:strRef>
              <c:f>'Chart 2_TT&amp;KTQT (Suntory)'!$Q$5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254-4202-8A61-C57A33C178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254-4202-8A61-C57A33C17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(Suntory)'!$Q$6:$Q$10</c:f>
              <c:numCache>
                <c:formatCode>_(* #,##0_);_(* \(#,##0\);_(* "-"??_);_(@_)</c:formatCode>
                <c:ptCount val="5"/>
                <c:pt idx="0">
                  <c:v>7572.962059559195</c:v>
                </c:pt>
                <c:pt idx="1">
                  <c:v>6210.9861986227661</c:v>
                </c:pt>
                <c:pt idx="2">
                  <c:v>2051.2919290537575</c:v>
                </c:pt>
                <c:pt idx="3">
                  <c:v>6359.9999999999964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254-4202-8A61-C57A33C178D1}"/>
            </c:ext>
          </c:extLst>
        </c:ser>
        <c:ser>
          <c:idx val="3"/>
          <c:order val="3"/>
          <c:tx>
            <c:strRef>
              <c:f>'Chart 2_TT&amp;KTQT (Suntory)'!$R$5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A254-4202-8A61-C57A33C178D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'Chart 2_TT&amp;KTQT (Suntory)'!$N$6:$N$10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(Suntory)'!$R$6:$R$10</c:f>
              <c:numCache>
                <c:formatCode>0%</c:formatCode>
                <c:ptCount val="5"/>
                <c:pt idx="0">
                  <c:v>0.21224673471601208</c:v>
                </c:pt>
                <c:pt idx="1">
                  <c:v>0.17932105228535888</c:v>
                </c:pt>
                <c:pt idx="2">
                  <c:v>6.6909825744096457E-2</c:v>
                </c:pt>
                <c:pt idx="3">
                  <c:v>0.18284128433188063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254-4202-8A61-C57A33C178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2_TT&amp;KTQT (Suntory)'!$O$69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4A-42E0-8E73-D034455AFDB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4A-42E0-8E73-D034455AFD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(Suntory)'!$O$70:$O$74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4A-42E0-8E73-D034455AFDBB}"/>
            </c:ext>
          </c:extLst>
        </c:ser>
        <c:ser>
          <c:idx val="2"/>
          <c:order val="1"/>
          <c:tx>
            <c:strRef>
              <c:f>'Chart 2_TT&amp;KTQT (Suntory)'!$P$69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4A-42E0-8E73-D034455AFD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(Suntory)'!$P$70:$P$74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4A-42E0-8E73-D034455AFDBB}"/>
            </c:ext>
          </c:extLst>
        </c:ser>
        <c:ser>
          <c:idx val="3"/>
          <c:order val="2"/>
          <c:tx>
            <c:strRef>
              <c:f>'Chart 2_TT&amp;KTQT (Suntory)'!$Q$69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4A-42E0-8E73-D034455AFDB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D4A-42E0-8E73-D034455AFD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(Suntory)'!$Q$70:$Q$74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D4A-42E0-8E73-D034455AFDBB}"/>
            </c:ext>
          </c:extLst>
        </c:ser>
        <c:ser>
          <c:idx val="0"/>
          <c:order val="3"/>
          <c:tx>
            <c:strRef>
              <c:f>'Chart 2_TT&amp;KTQT (Suntory)'!$R$69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BD4A-42E0-8E73-D034455AFDBB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(Suntory)'!$R$70:$R$74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D4A-42E0-8E73-D034455AFD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(Suntory)'!$O$38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B3-42E9-90BA-880A905E0EDC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3-42E9-90BA-880A905E0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(Suntory)'!$O$39:$O$43</c:f>
              <c:numCache>
                <c:formatCode>_(* #,##0_);_(* \(#,##0\);_(* "-"??_);_(@_)</c:formatCode>
                <c:ptCount val="5"/>
                <c:pt idx="0">
                  <c:v>27987.700722569352</c:v>
                </c:pt>
                <c:pt idx="1">
                  <c:v>35922.632954672328</c:v>
                </c:pt>
                <c:pt idx="2">
                  <c:v>0</c:v>
                </c:pt>
                <c:pt idx="3">
                  <c:v>33460.543736076273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B3-42E9-90BA-880A905E0EDC}"/>
            </c:ext>
          </c:extLst>
        </c:ser>
        <c:ser>
          <c:idx val="1"/>
          <c:order val="1"/>
          <c:tx>
            <c:strRef>
              <c:f>'Chart 2_TT&amp;KTQT (Suntory)'!$P$38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FB3-42E9-90BA-880A905E0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(Suntory)'!$P$39:$P$43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27895.543736076281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B3-42E9-90BA-880A905E0EDC}"/>
            </c:ext>
          </c:extLst>
        </c:ser>
        <c:ser>
          <c:idx val="2"/>
          <c:order val="2"/>
          <c:tx>
            <c:strRef>
              <c:f>'Chart 2_TT&amp;KTQT (Suntory)'!$Q$38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FB3-42E9-90BA-880A905E0ED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FB3-42E9-90BA-880A905E0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(Suntory)'!$Q$39:$Q$43</c:f>
              <c:numCache>
                <c:formatCode>_(* #,##0_);_(* \(#,##0\);_(* "-"??_);_(@_)</c:formatCode>
                <c:ptCount val="5"/>
                <c:pt idx="0">
                  <c:v>4926.5726065299168</c:v>
                </c:pt>
                <c:pt idx="1">
                  <c:v>10152.553199863338</c:v>
                </c:pt>
                <c:pt idx="2">
                  <c:v>-26450.812566521479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B3-42E9-90BA-880A905E0EDC}"/>
            </c:ext>
          </c:extLst>
        </c:ser>
        <c:ser>
          <c:idx val="3"/>
          <c:order val="3"/>
          <c:tx>
            <c:strRef>
              <c:f>'Chart 2_TT&amp;KTQT (Suntory)'!$R$38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0FB3-42E9-90BA-880A905E0EDC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(Suntory)'!$R$39:$R$43</c:f>
              <c:numCache>
                <c:formatCode>0%</c:formatCode>
                <c:ptCount val="5"/>
                <c:pt idx="0">
                  <c:v>0.1760263429770462</c:v>
                </c:pt>
                <c:pt idx="1">
                  <c:v>0.28262274685360533</c:v>
                </c:pt>
                <c:pt idx="2">
                  <c:v>0</c:v>
                </c:pt>
                <c:pt idx="3">
                  <c:v>0.16631528895329806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B3-42E9-90BA-880A905E0E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(Suntory)'!$O$100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46-4430-8062-9C938B0A7CE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46-4430-8062-9C938B0A7C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(Suntory)'!$O$101:$O$105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46-4430-8062-9C938B0A7CEA}"/>
            </c:ext>
          </c:extLst>
        </c:ser>
        <c:ser>
          <c:idx val="1"/>
          <c:order val="1"/>
          <c:tx>
            <c:strRef>
              <c:f>'Chart 2_TT&amp;KTQT (Suntory)'!$P$100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46-4430-8062-9C938B0A7C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(Suntory)'!$P$101:$P$105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46-4430-8062-9C938B0A7CEA}"/>
            </c:ext>
          </c:extLst>
        </c:ser>
        <c:ser>
          <c:idx val="2"/>
          <c:order val="2"/>
          <c:tx>
            <c:strRef>
              <c:f>'Chart 2_TT&amp;KTQT (Suntory)'!$Q$100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46-4430-8062-9C938B0A7C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46-4430-8062-9C938B0A7C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(Suntory)'!$Q$101:$Q$105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146-4430-8062-9C938B0A7CEA}"/>
            </c:ext>
          </c:extLst>
        </c:ser>
        <c:ser>
          <c:idx val="3"/>
          <c:order val="3"/>
          <c:tx>
            <c:strRef>
              <c:f>'Chart 2_TT&amp;KTQT (Suntory)'!$R$100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146-4430-8062-9C938B0A7CE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(Suntory)'!$R$101:$R$105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146-4430-8062-9C938B0A7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7-4F30-A77E-5A04E0489B0C}"/>
            </c:ext>
          </c:extLst>
        </c:ser>
        <c:ser>
          <c:idx val="1"/>
          <c:order val="1"/>
          <c:tx>
            <c:strRef>
              <c:f>'Chart 2_TT&amp;KTQT (Suntory)'!$BQ$6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7-4F30-A77E-5A04E0489B0C}"/>
            </c:ext>
          </c:extLst>
        </c:ser>
        <c:ser>
          <c:idx val="2"/>
          <c:order val="2"/>
          <c:tx>
            <c:strRef>
              <c:f>'Chart 2_TT&amp;KTQT (Suntory)'!$BQ$7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 (Suntory)'!$BR$7:$BY$7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7-4F30-A77E-5A04E0489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 (Suntory)'!$BR$4:$BU$4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D-4F58-947A-5EE8BB7E5C46}"/>
            </c:ext>
          </c:extLst>
        </c:ser>
        <c:ser>
          <c:idx val="1"/>
          <c:order val="1"/>
          <c:tx>
            <c:strRef>
              <c:f>'Chart 2_TT&amp;KTQT (Suntory)'!$BQ$6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 (Suntory)'!$BR$4:$BU$4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D-4F58-947A-5EE8BB7E5C46}"/>
            </c:ext>
          </c:extLst>
        </c:ser>
        <c:ser>
          <c:idx val="2"/>
          <c:order val="2"/>
          <c:tx>
            <c:strRef>
              <c:f>'Chart 2_TT&amp;KTQT (Suntory)'!$BQ$7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 (Suntory)'!$BR$4:$BU$4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 (Suntory)'!$BR$7:$BU$7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D-4F58-947A-5EE8BB7E5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(Suntory)'!$D$5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E0-41DB-82C5-D11FADD4C91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E0-41DB-82C5-D11FADD4C91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1E0-41DB-82C5-D11FADD4C9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(Suntory)'!$C$6:$C$11</c:f>
              <c:strCach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  <c:pt idx="5">
                  <c:v>2026 Offer_Suntory </c:v>
                </c:pt>
              </c:strCache>
            </c:strRef>
          </c:cat>
          <c:val>
            <c:numRef>
              <c:f>'Chart 2_TT&amp;KTQT (Suntory)'!$D$6:$D$11</c:f>
              <c:numCache>
                <c:formatCode>_(* #,##0_);_(* \(#,##0\);_(* "-"??_);_(@_)</c:formatCode>
                <c:ptCount val="6"/>
                <c:pt idx="0">
                  <c:v>1435.3074176613347</c:v>
                </c:pt>
                <c:pt idx="1">
                  <c:v>1343.1036911458054</c:v>
                </c:pt>
                <c:pt idx="2">
                  <c:v>1170.8511370028</c:v>
                </c:pt>
                <c:pt idx="3">
                  <c:v>1312.6138381546739</c:v>
                </c:pt>
                <c:pt idx="4">
                  <c:v>1470</c:v>
                </c:pt>
                <c:pt idx="5">
                  <c:v>1326.8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E0-41DB-82C5-D11FADD4C91D}"/>
            </c:ext>
          </c:extLst>
        </c:ser>
        <c:ser>
          <c:idx val="1"/>
          <c:order val="1"/>
          <c:tx>
            <c:strRef>
              <c:f>'Chart 2_TT&amp;KTQT (Suntory)'!$E$5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1E0-41DB-82C5-D11FADD4C9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(Suntory)'!$C$6:$C$11</c:f>
              <c:strCach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  <c:pt idx="5">
                  <c:v>2026 Offer_Suntory </c:v>
                </c:pt>
              </c:strCache>
            </c:strRef>
          </c:cat>
          <c:val>
            <c:numRef>
              <c:f>'Chart 2_TT&amp;KTQT (Suntory)'!$E$6:$E$11</c:f>
              <c:numCache>
                <c:formatCode>_(* #,##0_);_(* \(#,##0\);_(* "-"??_);_(@_)</c:formatCode>
                <c:ptCount val="6"/>
                <c:pt idx="0">
                  <c:v>1130.6681049490453</c:v>
                </c:pt>
                <c:pt idx="1">
                  <c:v>1102.2569239211898</c:v>
                </c:pt>
                <c:pt idx="2">
                  <c:v>1092.5096914536655</c:v>
                </c:pt>
                <c:pt idx="3">
                  <c:v>1072.6138381546739</c:v>
                </c:pt>
                <c:pt idx="4">
                  <c:v>1033</c:v>
                </c:pt>
                <c:pt idx="5">
                  <c:v>1072.6138381546739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E0-41DB-82C5-D11FADD4C91D}"/>
            </c:ext>
          </c:extLst>
        </c:ser>
        <c:ser>
          <c:idx val="2"/>
          <c:order val="2"/>
          <c:tx>
            <c:strRef>
              <c:f>'Chart 2_TT&amp;KTQT (Suntory)'!$F$5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1E0-41DB-82C5-D11FADD4C91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1E0-41DB-82C5-D11FADD4C9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(Suntory)'!$C$6:$C$11</c:f>
              <c:strCach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  <c:pt idx="5">
                  <c:v>2026 Offer_Suntory </c:v>
                </c:pt>
              </c:strCache>
            </c:strRef>
          </c:cat>
          <c:val>
            <c:numRef>
              <c:f>'Chart 2_TT&amp;KTQT (Suntory)'!$F$6:$F$11</c:f>
              <c:numCache>
                <c:formatCode>_(* #,##0_);_(* \(#,##0\);_(* "-"??_);_(@_)</c:formatCode>
                <c:ptCount val="6"/>
                <c:pt idx="0">
                  <c:v>304.63931271228944</c:v>
                </c:pt>
                <c:pt idx="1">
                  <c:v>240.84676722461563</c:v>
                </c:pt>
                <c:pt idx="2">
                  <c:v>78.341445549134505</c:v>
                </c:pt>
                <c:pt idx="3">
                  <c:v>240</c:v>
                </c:pt>
                <c:pt idx="4">
                  <c:v>437</c:v>
                </c:pt>
                <c:pt idx="5">
                  <c:v>254.18616184532607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1E0-41DB-82C5-D11FADD4C91D}"/>
            </c:ext>
          </c:extLst>
        </c:ser>
        <c:ser>
          <c:idx val="3"/>
          <c:order val="3"/>
          <c:tx>
            <c:strRef>
              <c:f>'Chart 2_TT&amp;KTQT (Suntory)'!$G$5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B1E0-41DB-82C5-D11FADD4C91D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2_TT&amp;KTQT (Suntory)'!$C$6:$C$11</c:f>
              <c:strCach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  <c:pt idx="5">
                  <c:v>2026 Offer_Suntory </c:v>
                </c:pt>
              </c:strCache>
            </c:strRef>
          </c:cat>
          <c:val>
            <c:numRef>
              <c:f>'Chart 2_TT&amp;KTQT (Suntory)'!$G$6:$G$11</c:f>
              <c:numCache>
                <c:formatCode>0%</c:formatCode>
                <c:ptCount val="6"/>
                <c:pt idx="0">
                  <c:v>0.21224673471601191</c:v>
                </c:pt>
                <c:pt idx="1">
                  <c:v>0.17932105228535899</c:v>
                </c:pt>
                <c:pt idx="2">
                  <c:v>6.6909825744096416E-2</c:v>
                </c:pt>
                <c:pt idx="3">
                  <c:v>0.18284128433188074</c:v>
                </c:pt>
                <c:pt idx="4">
                  <c:v>0.29727891156462583</c:v>
                </c:pt>
                <c:pt idx="5">
                  <c:v>0.19157835532508749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1E0-41DB-82C5-D11FADD4C9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2_TT&amp;KTQT (Suntory)'!$D$69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48-4BB5-A067-A8B26727C8E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48-4BB5-A067-A8B26727C8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(Suntory)'!$D$70:$D$74</c:f>
              <c:numCache>
                <c:formatCode>_(* #,##0_);_(* \(#,##0\);_(* "-"??_);_(@_)</c:formatCode>
                <c:ptCount val="5"/>
                <c:pt idx="0">
                  <c:v>1224.2711679958338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8-4BB5-A067-A8B26727C8E3}"/>
            </c:ext>
          </c:extLst>
        </c:ser>
        <c:ser>
          <c:idx val="2"/>
          <c:order val="1"/>
          <c:tx>
            <c:strRef>
              <c:f>'Chart 2_TT&amp;KTQT (Suntory)'!$E$69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48-4BB5-A067-A8B26727C8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(Suntory)'!$E$70:$E$74</c:f>
              <c:numCache>
                <c:formatCode>_(* #,##0_);_(* \(#,##0\);_(* "-"??_);_(@_)</c:formatCode>
                <c:ptCount val="5"/>
                <c:pt idx="0">
                  <c:v>981.49575659452444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48-4BB5-A067-A8B26727C8E3}"/>
            </c:ext>
          </c:extLst>
        </c:ser>
        <c:ser>
          <c:idx val="3"/>
          <c:order val="2"/>
          <c:tx>
            <c:strRef>
              <c:f>'Chart 2_TT&amp;KTQT (Suntory)'!$F$69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48-4BB5-A067-A8B26727C8E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48-4BB5-A067-A8B26727C8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(Suntory)'!$F$70:$F$74</c:f>
              <c:numCache>
                <c:formatCode>_(* #,##0_);_(* \(#,##0\);_(* "-"??_);_(@_)</c:formatCode>
                <c:ptCount val="5"/>
                <c:pt idx="0">
                  <c:v>242.77541140130938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448-4BB5-A067-A8B26727C8E3}"/>
            </c:ext>
          </c:extLst>
        </c:ser>
        <c:ser>
          <c:idx val="0"/>
          <c:order val="3"/>
          <c:tx>
            <c:strRef>
              <c:f>'Chart 2_TT&amp;KTQT (Suntory)'!$G$69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9448-4BB5-A067-A8B26727C8E3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(Suntory)'!$G$70:$G$74</c:f>
              <c:numCache>
                <c:formatCode>0%</c:formatCode>
                <c:ptCount val="5"/>
                <c:pt idx="0">
                  <c:v>0.19830199203232035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448-4BB5-A067-A8B26727C8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(Suntory)'!$D$38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D5-44E8-9A9A-6DF80765199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D5-44E8-9A9A-6DF8076519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(Suntory)'!$D$39:$D$43</c:f>
              <c:numCache>
                <c:formatCode>_(* #,##0_);_(* \(#,##0\);_(* "-"??_);_(@_)</c:formatCode>
                <c:ptCount val="5"/>
                <c:pt idx="0">
                  <c:v>1125.8677708226983</c:v>
                </c:pt>
                <c:pt idx="1">
                  <c:v>1392.9913447960555</c:v>
                </c:pt>
                <c:pt idx="2">
                  <c:v>0</c:v>
                </c:pt>
                <c:pt idx="3">
                  <c:v>1262.6620277764632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D5-44E8-9A9A-6DF807651999}"/>
            </c:ext>
          </c:extLst>
        </c:ser>
        <c:ser>
          <c:idx val="1"/>
          <c:order val="1"/>
          <c:tx>
            <c:strRef>
              <c:f>'Chart 2_TT&amp;KTQT (Suntory)'!$E$38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FD5-44E8-9A9A-6DF8076519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(Suntory)'!$E$39:$E$43</c:f>
              <c:numCache>
                <c:formatCode>_(* #,##0_);_(* \(#,##0\);_(* "-"??_);_(@_)</c:formatCode>
                <c:ptCount val="5"/>
                <c:pt idx="0">
                  <c:v>927.6853844490596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1052.6620277764634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D5-44E8-9A9A-6DF807651999}"/>
            </c:ext>
          </c:extLst>
        </c:ser>
        <c:ser>
          <c:idx val="2"/>
          <c:order val="2"/>
          <c:tx>
            <c:strRef>
              <c:f>'Chart 2_TT&amp;KTQT (Suntory)'!$F$38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FD5-44E8-9A9A-6DF80765199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FD5-44E8-9A9A-6DF8076519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(Suntory)'!$F$39:$F$43</c:f>
              <c:numCache>
                <c:formatCode>_(* #,##0_);_(* \(#,##0\);_(* "-"??_);_(@_)</c:formatCode>
                <c:ptCount val="5"/>
                <c:pt idx="0">
                  <c:v>198.18238637363868</c:v>
                </c:pt>
                <c:pt idx="1">
                  <c:v>393.69104020955876</c:v>
                </c:pt>
                <c:pt idx="2">
                  <c:v>-1010.1901455666484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D5-44E8-9A9A-6DF807651999}"/>
            </c:ext>
          </c:extLst>
        </c:ser>
        <c:ser>
          <c:idx val="3"/>
          <c:order val="3"/>
          <c:tx>
            <c:strRef>
              <c:f>'Chart 2_TT&amp;KTQT (Suntory)'!$G$38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9FD5-44E8-9A9A-6DF807651999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 11.8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(Suntory)'!$G$39:$G$43</c:f>
              <c:numCache>
                <c:formatCode>0%</c:formatCode>
                <c:ptCount val="5"/>
                <c:pt idx="0">
                  <c:v>0.17602634297704614</c:v>
                </c:pt>
                <c:pt idx="1">
                  <c:v>0.28262274685360528</c:v>
                </c:pt>
                <c:pt idx="2">
                  <c:v>0</c:v>
                </c:pt>
                <c:pt idx="3">
                  <c:v>0.16631528895329808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FD5-44E8-9A9A-6DF807651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(Suntory)'!$D$100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D-457D-B6F8-CFAD0B152E4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D-457D-B6F8-CFAD0B152E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(Suntory)'!$D$101:$D$105</c:f>
              <c:numCache>
                <c:formatCode>_(* #,##0_);_(* \(#,##0\);_(* "-"??_);_(@_)</c:formatCode>
                <c:ptCount val="5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AD-457D-B6F8-CFAD0B152E4D}"/>
            </c:ext>
          </c:extLst>
        </c:ser>
        <c:ser>
          <c:idx val="1"/>
          <c:order val="1"/>
          <c:tx>
            <c:strRef>
              <c:f>'Chart 2_TT&amp;KTQT (Suntory)'!$E$100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AD-457D-B6F8-CFAD0B152E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(Suntory)'!$E$101:$E$105</c:f>
              <c:numCache>
                <c:formatCode>_(* #,##0_);_(* \(#,##0\);_(* "-"??_);_(@_)</c:formatCode>
                <c:ptCount val="5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AD-457D-B6F8-CFAD0B152E4D}"/>
            </c:ext>
          </c:extLst>
        </c:ser>
        <c:ser>
          <c:idx val="2"/>
          <c:order val="2"/>
          <c:tx>
            <c:strRef>
              <c:f>'Chart 2_TT&amp;KTQT (Suntory)'!$F$100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AD-457D-B6F8-CFAD0B152E4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AD-457D-B6F8-CFAD0B152E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(Suntory)'!$F$101:$F$105</c:f>
              <c:numCache>
                <c:formatCode>_(* #,##0_);_(* \(#,##0\);_(* "-"??_);_(@_)</c:formatCode>
                <c:ptCount val="5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AD-457D-B6F8-CFAD0B152E4D}"/>
            </c:ext>
          </c:extLst>
        </c:ser>
        <c:ser>
          <c:idx val="3"/>
          <c:order val="3"/>
          <c:tx>
            <c:strRef>
              <c:f>'Chart 2_TT&amp;KTQT (Suntory)'!$G$100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CAD-457D-B6F8-CFAD0B152E4D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(Suntory)'!$G$101:$G$105</c:f>
              <c:numCache>
                <c:formatCode>0%</c:formatCode>
                <c:ptCount val="5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AD-457D-B6F8-CFAD0B152E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 (Suntory)'!$Y$164:$AC$164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D-4155-BF1C-124CE101533C}"/>
            </c:ext>
          </c:extLst>
        </c:ser>
        <c:ser>
          <c:idx val="1"/>
          <c:order val="1"/>
          <c:tx>
            <c:strRef>
              <c:f>'Chart 2_TT&amp;KTQT (Suntory)'!$X$165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 (Suntory)'!$Y$164:$AC$164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 (Suntory)'!$Y$165:$AC$165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D-4155-BF1C-124CE101533C}"/>
            </c:ext>
          </c:extLst>
        </c:ser>
        <c:ser>
          <c:idx val="2"/>
          <c:order val="2"/>
          <c:tx>
            <c:strRef>
              <c:f>'Chart 2_TT&amp;KTQT (Suntory)'!$X$166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 (Suntory)'!$Y$164:$AC$164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 (Suntory)'!$Y$166:$AC$166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FD-4155-BF1C-124CE1015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Vảy FPET201-Out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(Suntory)'!$O$164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5E-442F-9C0C-AEBBA1EDE6C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5E-442F-9C0C-AEBBA1EDE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(Suntory)'!$O$165:$O$168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5E-442F-9C0C-AEBBA1EDE6C8}"/>
            </c:ext>
          </c:extLst>
        </c:ser>
        <c:ser>
          <c:idx val="1"/>
          <c:order val="1"/>
          <c:tx>
            <c:strRef>
              <c:f>'Chart 2_TT&amp;KTQT (Suntory)'!$P$164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5E-442F-9C0C-AEBBA1EDE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(Suntory)'!$P$165:$P$168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5E-442F-9C0C-AEBBA1EDE6C8}"/>
            </c:ext>
          </c:extLst>
        </c:ser>
        <c:ser>
          <c:idx val="2"/>
          <c:order val="2"/>
          <c:tx>
            <c:strRef>
              <c:f>'Chart 2_TT&amp;KTQT (Suntory)'!$Q$164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5E-442F-9C0C-AEBBA1EDE6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5E-442F-9C0C-AEBBA1EDE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(Suntory)'!$Q$165:$Q$168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35E-442F-9C0C-AEBBA1EDE6C8}"/>
            </c:ext>
          </c:extLst>
        </c:ser>
        <c:ser>
          <c:idx val="3"/>
          <c:order val="3"/>
          <c:tx>
            <c:strRef>
              <c:f>'Chart 2_TT&amp;KTQT (Suntory)'!$R$164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(Suntory)'!$R$165:$R$168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5E-442F-9C0C-AEBBA1EDE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Vảy FPET201-Out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(Suntory)'!$D$164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92-478A-9653-9145FD64179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92-478A-9653-9145FD6417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(Suntory)'!$D$165:$D$168</c:f>
              <c:numCache>
                <c:formatCode>_(* #,##0_);_(* \(#,##0\);_(* "-"??_);_(@_)</c:formatCode>
                <c:ptCount val="4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92-478A-9653-9145FD641793}"/>
            </c:ext>
          </c:extLst>
        </c:ser>
        <c:ser>
          <c:idx val="1"/>
          <c:order val="1"/>
          <c:tx>
            <c:strRef>
              <c:f>'Chart 2_TT&amp;KTQT (Suntory)'!$E$164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92-478A-9653-9145FD6417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(Suntory)'!$E$165:$E$168</c:f>
              <c:numCache>
                <c:formatCode>_(* #,##0_);_(* \(#,##0\);_(* "-"??_);_(@_)</c:formatCode>
                <c:ptCount val="4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92-478A-9653-9145FD641793}"/>
            </c:ext>
          </c:extLst>
        </c:ser>
        <c:ser>
          <c:idx val="2"/>
          <c:order val="2"/>
          <c:tx>
            <c:strRef>
              <c:f>'Chart 2_TT&amp;KTQT (Suntory)'!$F$164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92-478A-9653-9145FD64179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92-478A-9653-9145FD6417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(Suntory)'!$F$165:$F$168</c:f>
              <c:numCache>
                <c:formatCode>_(* #,##0_);_(* \(#,##0\);_(* "-"??_);_(@_)</c:formatCode>
                <c:ptCount val="4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92-478A-9653-9145FD641793}"/>
            </c:ext>
          </c:extLst>
        </c:ser>
        <c:ser>
          <c:idx val="3"/>
          <c:order val="3"/>
          <c:tx>
            <c:strRef>
              <c:f>'Chart 2_TT&amp;KTQT (Suntory)'!$G$164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 (Suntory)'!$G$165:$G$168</c:f>
              <c:numCache>
                <c:formatCode>0%</c:formatCode>
                <c:ptCount val="4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92-478A-9653-9145FD6417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3-4793-AF9C-639A5329E61F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3-4793-AF9C-639A5329E61F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3-4793-AF9C-639A5329E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(Suntory)'!$O$131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7-4553-A6C0-4654A0362A7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7-4553-A6C0-4654A0362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(Suntory)'!$O$132:$O$136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E7-4553-A6C0-4654A0362A7B}"/>
            </c:ext>
          </c:extLst>
        </c:ser>
        <c:ser>
          <c:idx val="1"/>
          <c:order val="1"/>
          <c:tx>
            <c:strRef>
              <c:f>'Chart 2_TT&amp;KTQT (Suntory)'!$P$131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E7-4553-A6C0-4654A0362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(Suntory)'!$P$132:$P$136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E7-4553-A6C0-4654A0362A7B}"/>
            </c:ext>
          </c:extLst>
        </c:ser>
        <c:ser>
          <c:idx val="2"/>
          <c:order val="2"/>
          <c:tx>
            <c:strRef>
              <c:f>'Chart 2_TT&amp;KTQT (Suntory)'!$Q$131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E7-4553-A6C0-4654A0362A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E7-4553-A6C0-4654A0362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(Suntory)'!$Q$132:$Q$136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E7-4553-A6C0-4654A0362A7B}"/>
            </c:ext>
          </c:extLst>
        </c:ser>
        <c:ser>
          <c:idx val="3"/>
          <c:order val="3"/>
          <c:tx>
            <c:strRef>
              <c:f>'Chart 2_TT&amp;KTQT (Suntory)'!$R$131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1CE7-4553-A6C0-4654A0362A7B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(Suntory)'!$R$132:$R$136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E7-4553-A6C0-4654A0362A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 (Suntory)'!$D$131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D2-4544-BBEE-2DA2A5A6D4E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D2-4544-BBEE-2DA2A5A6D4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(Suntory)'!$D$132:$D$136</c:f>
              <c:numCache>
                <c:formatCode>_(* #,##0_);_(* \(#,##0\);_(* "-"??_);_(@_)</c:formatCode>
                <c:ptCount val="5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D2-4544-BBEE-2DA2A5A6D4EA}"/>
            </c:ext>
          </c:extLst>
        </c:ser>
        <c:ser>
          <c:idx val="1"/>
          <c:order val="1"/>
          <c:tx>
            <c:strRef>
              <c:f>'Chart 2_TT&amp;KTQT (Suntory)'!$E$131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D2-4544-BBEE-2DA2A5A6D4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(Suntory)'!$E$132:$E$136</c:f>
              <c:numCache>
                <c:formatCode>_(* #,##0_);_(* \(#,##0\);_(* "-"??_);_(@_)</c:formatCode>
                <c:ptCount val="5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D2-4544-BBEE-2DA2A5A6D4EA}"/>
            </c:ext>
          </c:extLst>
        </c:ser>
        <c:ser>
          <c:idx val="2"/>
          <c:order val="2"/>
          <c:tx>
            <c:strRef>
              <c:f>'Chart 2_TT&amp;KTQT (Suntory)'!$F$131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D2-4544-BBEE-2DA2A5A6D4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AD2-4544-BBEE-2DA2A5A6D4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 (Suntory)'!$C$132:$C$136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(Suntory)'!$F$132:$F$136</c:f>
              <c:numCache>
                <c:formatCode>_(* #,##0_);_(* \(#,##0\);_(* "-"??_);_(@_)</c:formatCode>
                <c:ptCount val="5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AD2-4544-BBEE-2DA2A5A6D4EA}"/>
            </c:ext>
          </c:extLst>
        </c:ser>
        <c:ser>
          <c:idx val="3"/>
          <c:order val="3"/>
          <c:tx>
            <c:strRef>
              <c:f>'Chart 2_TT&amp;KTQT (Suntory)'!$G$131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5AD2-4544-BBEE-2DA2A5A6D4E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 (Suntory)'!$C$132:$C$136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 (Suntory)'!$G$132:$G$136</c:f>
              <c:numCache>
                <c:formatCode>0%</c:formatCode>
                <c:ptCount val="5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AD2-4544-BBEE-2DA2A5A6D4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7-431C-8E09-6EA5CBA94F85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7-431C-8E09-6EA5CBA94F85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67-431C-8E09-6EA5CBA94F85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67-431C-8E09-6EA5CBA9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3_TT5&amp;FC7_ByProduct_Cus'!$AM$5:$AT$5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1-4B51-B5DF-11276E96AE60}"/>
            </c:ext>
          </c:extLst>
        </c:ser>
        <c:ser>
          <c:idx val="1"/>
          <c:order val="1"/>
          <c:tx>
            <c:strRef>
              <c:f>'Chart 3_TT5&amp;FC7_ByProduct_Cus'!$AL$6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3_TT5&amp;FC7_ByProduct_Cus'!$AM$6:$AT$6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1-4B51-B5DF-11276E96AE60}"/>
            </c:ext>
          </c:extLst>
        </c:ser>
        <c:ser>
          <c:idx val="2"/>
          <c:order val="2"/>
          <c:tx>
            <c:strRef>
              <c:f>'Chart 3_TT5&amp;FC7_ByProduct_Cus'!$AL$7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3_TT5&amp;FC7_ByProduct_Cus'!$AM$7:$AT$7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41-4B51-B5DF-11276E96A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3_TT5&amp;FC7_ByProduct_Cus'!$AM$5:$AP$5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0-44E9-BD2D-EC8615325033}"/>
            </c:ext>
          </c:extLst>
        </c:ser>
        <c:ser>
          <c:idx val="1"/>
          <c:order val="1"/>
          <c:tx>
            <c:strRef>
              <c:f>'Chart 3_TT5&amp;FC7_ByProduct_Cus'!$AL$6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3_TT5&amp;FC7_ByProduct_Cus'!$AM$6:$AP$6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0-44E9-BD2D-EC8615325033}"/>
            </c:ext>
          </c:extLst>
        </c:ser>
        <c:ser>
          <c:idx val="2"/>
          <c:order val="2"/>
          <c:tx>
            <c:strRef>
              <c:f>'Chart 3_TT5&amp;FC7_ByProduct_Cus'!$AL$7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3_TT5&amp;FC7_ByProduct_Cus'!$AM$7:$AP$7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0-44E9-BD2D-EC8615325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3_TT5&amp;FC7_ByProduct_Cus'!$AM$66:$AT$66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1E0-AC71-33D5CAD9B2FA}"/>
            </c:ext>
          </c:extLst>
        </c:ser>
        <c:ser>
          <c:idx val="1"/>
          <c:order val="1"/>
          <c:tx>
            <c:strRef>
              <c:f>'Chart 3_TT5&amp;FC7_ByProduct_Cus'!$AL$67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3_TT5&amp;FC7_ByProduct_Cus'!$AM$67:$AT$67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1E0-AC71-33D5CAD9B2FA}"/>
            </c:ext>
          </c:extLst>
        </c:ser>
        <c:ser>
          <c:idx val="2"/>
          <c:order val="2"/>
          <c:tx>
            <c:strRef>
              <c:f>'Chart 3_TT5&amp;FC7_ByProduct_Cus'!$AL$68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3_TT5&amp;FC7_ByProduct_Cus'!$AM$68:$AT$68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3-41E0-AC71-33D5CAD9B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3_TT5&amp;FC7_ByProduct_Cus'!$AM$66:$AP$66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D-4DBF-BADD-EADC680A1909}"/>
            </c:ext>
          </c:extLst>
        </c:ser>
        <c:ser>
          <c:idx val="1"/>
          <c:order val="1"/>
          <c:tx>
            <c:strRef>
              <c:f>'Chart 3_TT5&amp;FC7_ByProduct_Cus'!$AL$67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3_TT5&amp;FC7_ByProduct_Cus'!$AM$67:$AP$67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D-4DBF-BADD-EADC680A1909}"/>
            </c:ext>
          </c:extLst>
        </c:ser>
        <c:ser>
          <c:idx val="2"/>
          <c:order val="2"/>
          <c:tx>
            <c:strRef>
              <c:f>'Chart 3_TT5&amp;FC7_ByProduct_Cus'!$AL$68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3_TT5&amp;FC7_ByProduct_Cus'!$AM$68:$AP$68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D-4DBF-BADD-EADC680A1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3_TT5&amp;FC7_ByProduct_Cus'!$AM$33:$AP$33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3_TT5&amp;FC7_ByProduct_Cus'!$AM$34:$AP$34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D-408E-AFEB-1E3E39C69A79}"/>
            </c:ext>
          </c:extLst>
        </c:ser>
        <c:ser>
          <c:idx val="1"/>
          <c:order val="1"/>
          <c:tx>
            <c:strRef>
              <c:f>'Chart 3_TT5&amp;FC7_ByProduct_Cus'!$AL$35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3_TT5&amp;FC7_ByProduct_Cus'!$AM$33:$AP$33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3_TT5&amp;FC7_ByProduct_Cus'!$AM$35:$AP$35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D-408E-AFEB-1E3E39C69A79}"/>
            </c:ext>
          </c:extLst>
        </c:ser>
        <c:ser>
          <c:idx val="2"/>
          <c:order val="2"/>
          <c:tx>
            <c:strRef>
              <c:f>'Chart 3_TT5&amp;FC7_ByProduct_Cus'!$AL$36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3_TT5&amp;FC7_ByProduct_Cus'!$AM$33:$AP$33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3_TT5&amp;FC7_ByProduct_Cus'!$AM$36:$AP$36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D-408E-AFEB-1E3E39C6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3_TT5&amp;FC7_ByProduct_Cus'!$AM$34:$AT$34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C-459A-8E16-C1DBD688E45F}"/>
            </c:ext>
          </c:extLst>
        </c:ser>
        <c:ser>
          <c:idx val="1"/>
          <c:order val="1"/>
          <c:tx>
            <c:strRef>
              <c:f>'Chart 3_TT5&amp;FC7_ByProduct_Cus'!$AL$35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3_TT5&amp;FC7_ByProduct_Cus'!$AM$35:$AT$35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C-459A-8E16-C1DBD688E45F}"/>
            </c:ext>
          </c:extLst>
        </c:ser>
        <c:ser>
          <c:idx val="2"/>
          <c:order val="2"/>
          <c:tx>
            <c:strRef>
              <c:f>'Chart 3_TT5&amp;FC7_ByProduct_Cus'!$AL$36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3_TT5&amp;FC7_ByProduct_Cus'!$AM$36:$AT$36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C-459A-8E16-C1DBD688E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A-49F9-8007-9DE0C13BC9AA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A-49F9-8007-9DE0C13BC9AA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A-49F9-8007-9DE0C13BC9AA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8A-49F9-8007-9DE0C13BC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3-4B04-9727-86BA9A2A685E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3-4B04-9727-86BA9A2A685E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3-4B04-9727-86BA9A2A685E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93-4B04-9727-86BA9A2A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32D-B3C9-1F7E075EE248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C-432D-B3C9-1F7E075EE248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C-432D-B3C9-1F7E075E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3_TT5&amp;FC7_ByProduct_Cus'!$BD$5:$BK$5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E-47F9-B8DE-FE7537FD38CF}"/>
            </c:ext>
          </c:extLst>
        </c:ser>
        <c:ser>
          <c:idx val="1"/>
          <c:order val="1"/>
          <c:tx>
            <c:strRef>
              <c:f>'Chart 3_TT5&amp;FC7_ByProduct_Cus'!$BC$6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3_TT5&amp;FC7_ByProduct_Cus'!$BD$6:$BK$6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E-47F9-B8DE-FE7537FD38CF}"/>
            </c:ext>
          </c:extLst>
        </c:ser>
        <c:ser>
          <c:idx val="2"/>
          <c:order val="2"/>
          <c:tx>
            <c:strRef>
              <c:f>'Chart 3_TT5&amp;FC7_ByProduct_Cus'!$BC$7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3_TT5&amp;FC7_ByProduct_Cus'!$BD$7:$BK$7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E-47F9-B8DE-FE7537FD3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3_TT5&amp;FC7_ByProduct_Cus'!$BD$5:$BG$5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6-43B4-85FF-F057969A96E1}"/>
            </c:ext>
          </c:extLst>
        </c:ser>
        <c:ser>
          <c:idx val="1"/>
          <c:order val="1"/>
          <c:tx>
            <c:strRef>
              <c:f>'Chart 3_TT5&amp;FC7_ByProduct_Cus'!$BC$6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3_TT5&amp;FC7_ByProduct_Cus'!$BD$6:$BG$6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6-43B4-85FF-F057969A96E1}"/>
            </c:ext>
          </c:extLst>
        </c:ser>
        <c:ser>
          <c:idx val="2"/>
          <c:order val="2"/>
          <c:tx>
            <c:strRef>
              <c:f>'Chart 3_TT5&amp;FC7_ByProduct_Cus'!$BC$7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3_TT5&amp;FC7_ByProduct_Cus'!$BD$7:$BG$7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6-43B4-85FF-F05796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59-4665-A2F6-256473B8920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59-4665-A2F6-256473B89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3_TT5&amp;FC7_ByProduct_Cus'!$Q$6:$Q$10</c:f>
              <c:numCache>
                <c:formatCode>_(* #,##0_);_(* \(#,##0\);_(* "-"??_);_(@_)</c:formatCode>
                <c:ptCount val="5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  <c:pt idx="3">
                  <c:v>34039.193245850227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59-4665-A2F6-256473B8920A}"/>
            </c:ext>
          </c:extLst>
        </c:ser>
        <c:ser>
          <c:idx val="1"/>
          <c:order val="1"/>
          <c:tx>
            <c:strRef>
              <c:f>'Chart 3_TT5&amp;FC7_ByProduct_Cus'!$R$5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959-4665-A2F6-256473B89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3_TT5&amp;FC7_ByProduct_Cus'!$R$6:$R$10</c:f>
              <c:numCache>
                <c:formatCode>_(* #,##0_);_(* \(#,##0\);_(* "-"??_);_(@_)</c:formatCode>
                <c:ptCount val="5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  <c:pt idx="3">
                  <c:v>27679.193245850223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59-4665-A2F6-256473B8920A}"/>
            </c:ext>
          </c:extLst>
        </c:ser>
        <c:ser>
          <c:idx val="2"/>
          <c:order val="2"/>
          <c:tx>
            <c:strRef>
              <c:f>'Chart 3_TT5&amp;FC7_ByProduct_Cus'!$S$5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959-4665-A2F6-256473B892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959-4665-A2F6-256473B89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3_TT5&amp;FC7_ByProduct_Cus'!$S$6:$S$10</c:f>
              <c:numCache>
                <c:formatCode>_(* #,##0_);_(* \(#,##0\);_(* "-"??_);_(@_)</c:formatCode>
                <c:ptCount val="5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  <c:pt idx="3">
                  <c:v>6360.0000000000036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59-4665-A2F6-256473B8920A}"/>
            </c:ext>
          </c:extLst>
        </c:ser>
        <c:ser>
          <c:idx val="3"/>
          <c:order val="3"/>
          <c:tx>
            <c:strRef>
              <c:f>'Chart 3_TT5&amp;FC7_ByProduct_Cus'!$T$5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1959-4665-A2F6-256473B8920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3_TT5&amp;FC7_ByProduct_Cus'!$T$6:$T$10</c:f>
              <c:numCache>
                <c:formatCode>0%</c:formatCode>
                <c:ptCount val="5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  <c:pt idx="3">
                  <c:v>0.1868434411492805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959-4665-A2F6-256473B892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3_TT5&amp;FC7_ByProduct_Cus'!$Q$69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59-4D9D-AE96-02BD63C1721C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59-4D9D-AE96-02BD63C17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3_TT5&amp;FC7_ByProduct_Cus'!$Q$70:$Q$74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59-4D9D-AE96-02BD63C1721C}"/>
            </c:ext>
          </c:extLst>
        </c:ser>
        <c:ser>
          <c:idx val="2"/>
          <c:order val="1"/>
          <c:tx>
            <c:strRef>
              <c:f>'Chart 3_TT5&amp;FC7_ByProduct_Cus'!$R$69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59-4D9D-AE96-02BD63C17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3_TT5&amp;FC7_ByProduct_Cus'!$R$70:$R$74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59-4D9D-AE96-02BD63C1721C}"/>
            </c:ext>
          </c:extLst>
        </c:ser>
        <c:ser>
          <c:idx val="3"/>
          <c:order val="2"/>
          <c:tx>
            <c:strRef>
              <c:f>'Chart 3_TT5&amp;FC7_ByProduct_Cus'!$S$69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59-4D9D-AE96-02BD63C1721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59-4D9D-AE96-02BD63C17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3_TT5&amp;FC7_ByProduct_Cus'!$S$70:$S$74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059-4D9D-AE96-02BD63C1721C}"/>
            </c:ext>
          </c:extLst>
        </c:ser>
        <c:ser>
          <c:idx val="0"/>
          <c:order val="3"/>
          <c:tx>
            <c:strRef>
              <c:f>'Chart 3_TT5&amp;FC7_ByProduct_Cus'!$T$69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5059-4D9D-AE96-02BD63C1721C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3_TT5&amp;FC7_ByProduct_Cus'!$T$70:$T$74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059-4D9D-AE96-02BD63C172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E8-463F-8C8F-49C6D8FFA103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8-463F-8C8F-49C6D8FFA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3_TT5&amp;FC7_ByProduct_Cus'!$Q$39:$Q$43</c:f>
              <c:numCache>
                <c:formatCode>_(* #,##0_);_(* \(#,##0\);_(* "-"??_);_(@_)</c:formatCode>
                <c:ptCount val="5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  <c:pt idx="3">
                  <c:v>32719.491422657906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E8-463F-8C8F-49C6D8FFA103}"/>
            </c:ext>
          </c:extLst>
        </c:ser>
        <c:ser>
          <c:idx val="1"/>
          <c:order val="1"/>
          <c:tx>
            <c:strRef>
              <c:f>'Chart 3_TT5&amp;FC7_ByProduct_Cus'!$R$38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E8-463F-8C8F-49C6D8FFA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3_TT5&amp;FC7_ByProduct_Cus'!$R$39:$R$43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27154.491422657913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E8-463F-8C8F-49C6D8FFA103}"/>
            </c:ext>
          </c:extLst>
        </c:ser>
        <c:ser>
          <c:idx val="2"/>
          <c:order val="2"/>
          <c:tx>
            <c:strRef>
              <c:f>'Chart 3_TT5&amp;FC7_ByProduct_Cus'!$S$38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AE8-463F-8C8F-49C6D8FFA1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AE8-463F-8C8F-49C6D8FFA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3_TT5&amp;FC7_ByProduct_Cus'!$S$39:$S$43</c:f>
              <c:numCache>
                <c:formatCode>_(* #,##0_);_(* \(#,##0\);_(* "-"??_);_(@_)</c:formatCode>
                <c:ptCount val="5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AE8-463F-8C8F-49C6D8FFA103}"/>
            </c:ext>
          </c:extLst>
        </c:ser>
        <c:ser>
          <c:idx val="3"/>
          <c:order val="3"/>
          <c:tx>
            <c:strRef>
              <c:f>'Chart 3_TT5&amp;FC7_ByProduct_Cus'!$T$38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AE8-463F-8C8F-49C6D8FFA103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3_TT5&amp;FC7_ByProduct_Cus'!$T$39:$T$43</c:f>
              <c:numCache>
                <c:formatCode>0%</c:formatCode>
                <c:ptCount val="5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  <c:pt idx="3">
                  <c:v>0.17008210574282606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AE8-463F-8C8F-49C6D8FFA1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E1-4FE1-A390-F806F5CA04D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E1-4FE1-A390-F806F5CA0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3_TT5&amp;FC7_ByProduct_Cus'!$Q$101:$Q$105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E1-4FE1-A390-F806F5CA04D6}"/>
            </c:ext>
          </c:extLst>
        </c:ser>
        <c:ser>
          <c:idx val="1"/>
          <c:order val="1"/>
          <c:tx>
            <c:strRef>
              <c:f>'Chart 3_TT5&amp;FC7_ByProduct_Cus'!$R$100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E1-4FE1-A390-F806F5CA0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3_TT5&amp;FC7_ByProduct_Cus'!$R$101:$R$105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E1-4FE1-A390-F806F5CA04D6}"/>
            </c:ext>
          </c:extLst>
        </c:ser>
        <c:ser>
          <c:idx val="2"/>
          <c:order val="2"/>
          <c:tx>
            <c:strRef>
              <c:f>'Chart 3_TT5&amp;FC7_ByProduct_Cus'!$S$100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E1-4FE1-A390-F806F5CA04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E1-4FE1-A390-F806F5CA0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3_TT5&amp;FC7_ByProduct_Cus'!$S$101:$S$105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1E1-4FE1-A390-F806F5CA04D6}"/>
            </c:ext>
          </c:extLst>
        </c:ser>
        <c:ser>
          <c:idx val="3"/>
          <c:order val="3"/>
          <c:tx>
            <c:strRef>
              <c:f>'Chart 3_TT5&amp;FC7_ByProduct_Cus'!$T$100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1E1-4FE1-A390-F806F5CA04D6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3_TT5&amp;FC7_ByProduct_Cus'!$T$101:$T$105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1E1-4FE1-A390-F806F5CA04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3_TT5&amp;FC7_ByProduct_Cus'!$BT$5:$CA$5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A-421B-AA40-5B63EEA864D9}"/>
            </c:ext>
          </c:extLst>
        </c:ser>
        <c:ser>
          <c:idx val="1"/>
          <c:order val="1"/>
          <c:tx>
            <c:strRef>
              <c:f>'Chart 3_TT5&amp;FC7_ByProduct_Cus'!$BS$6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3_TT5&amp;FC7_ByProduct_Cus'!$BT$6:$CA$6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A-421B-AA40-5B63EEA864D9}"/>
            </c:ext>
          </c:extLst>
        </c:ser>
        <c:ser>
          <c:idx val="2"/>
          <c:order val="2"/>
          <c:tx>
            <c:strRef>
              <c:f>'Chart 3_TT5&amp;FC7_ByProduct_Cus'!$BS$7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3_TT5&amp;FC7_ByProduct_Cus'!$BT$7:$CA$7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A-421B-AA40-5B63EEA8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3_TT5&amp;FC7_ByProduct_Cus'!$BT$5:$BW$5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5-425B-93EE-A1037F7E2373}"/>
            </c:ext>
          </c:extLst>
        </c:ser>
        <c:ser>
          <c:idx val="1"/>
          <c:order val="1"/>
          <c:tx>
            <c:strRef>
              <c:f>'Chart 3_TT5&amp;FC7_ByProduct_Cus'!$BS$6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3_TT5&amp;FC7_ByProduct_Cus'!$BT$6:$BW$6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5-425B-93EE-A1037F7E2373}"/>
            </c:ext>
          </c:extLst>
        </c:ser>
        <c:ser>
          <c:idx val="2"/>
          <c:order val="2"/>
          <c:tx>
            <c:strRef>
              <c:f>'Chart 3_TT5&amp;FC7_ByProduct_Cus'!$BS$7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3_TT5&amp;FC7_ByProduct_Cus'!$BT$7:$BW$7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5-425B-93EE-A1037F7E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96-40D6-895D-F2795831A91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96-40D6-895D-F2795831A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3_TT5&amp;FC7_ByProduct_Cus'!$E$6:$E$10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1345.2792347226514</c:v>
                </c:pt>
                <c:pt idx="2">
                  <c:v>1191.5563229628797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96-40D6-895D-F2795831A914}"/>
            </c:ext>
          </c:extLst>
        </c:ser>
        <c:ser>
          <c:idx val="1"/>
          <c:order val="1"/>
          <c:tx>
            <c:strRef>
              <c:f>'Chart 3_TT5&amp;FC7_ByProduct_Cus'!$F$5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B96-40D6-895D-F2795831A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3_TT5&amp;FC7_ByProduct_Cus'!$F$6:$F$10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1091.1469880868879</c:v>
                </c:pt>
                <c:pt idx="2">
                  <c:v>1094.2479311948205</c:v>
                </c:pt>
                <c:pt idx="3">
                  <c:v>1044.4978583339707</c:v>
                </c:pt>
                <c:pt idx="4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96-40D6-895D-F2795831A914}"/>
            </c:ext>
          </c:extLst>
        </c:ser>
        <c:ser>
          <c:idx val="2"/>
          <c:order val="2"/>
          <c:tx>
            <c:strRef>
              <c:f>'Chart 3_TT5&amp;FC7_ByProduct_Cus'!$G$5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B96-40D6-895D-F2795831A91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B96-40D6-895D-F2795831A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3_TT5&amp;FC7_ByProduct_Cus'!$G$6:$G$10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254.13224663576352</c:v>
                </c:pt>
                <c:pt idx="2">
                  <c:v>97.308391768059209</c:v>
                </c:pt>
                <c:pt idx="3">
                  <c:v>240</c:v>
                </c:pt>
                <c:pt idx="4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96-40D6-895D-F2795831A914}"/>
            </c:ext>
          </c:extLst>
        </c:ser>
        <c:ser>
          <c:idx val="3"/>
          <c:order val="3"/>
          <c:tx>
            <c:strRef>
              <c:f>'Chart 3_TT5&amp;FC7_ByProduct_Cus'!$H$5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B96-40D6-895D-F2795831A91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3_TT5&amp;FC7_ByProduct_Cus'!$H$6:$H$10</c:f>
              <c:numCache>
                <c:formatCode>0%</c:formatCode>
                <c:ptCount val="5"/>
                <c:pt idx="0">
                  <c:v>0</c:v>
                </c:pt>
                <c:pt idx="1">
                  <c:v>0.1889066894637354</c:v>
                </c:pt>
                <c:pt idx="2">
                  <c:v>8.166495355091212E-2</c:v>
                </c:pt>
                <c:pt idx="3">
                  <c:v>0.18684344114928042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96-40D6-895D-F2795831A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3_TT5&amp;FC7_ByProduct_Cus'!$E$69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74-44E5-B9B0-610F49C6D0F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74-44E5-B9B0-610F49C6D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3_TT5&amp;FC7_ByProduct_Cus'!$E$70:$E$74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74-44E5-B9B0-610F49C6D0F9}"/>
            </c:ext>
          </c:extLst>
        </c:ser>
        <c:ser>
          <c:idx val="2"/>
          <c:order val="1"/>
          <c:tx>
            <c:strRef>
              <c:f>'Chart 3_TT5&amp;FC7_ByProduct_Cus'!$F$69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74-44E5-B9B0-610F49C6D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3_TT5&amp;FC7_ByProduct_Cus'!$F$70:$F$74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74-44E5-B9B0-610F49C6D0F9}"/>
            </c:ext>
          </c:extLst>
        </c:ser>
        <c:ser>
          <c:idx val="3"/>
          <c:order val="2"/>
          <c:tx>
            <c:strRef>
              <c:f>'Chart 3_TT5&amp;FC7_ByProduct_Cus'!$G$69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74-44E5-B9B0-610F49C6D0F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74-44E5-B9B0-610F49C6D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3_TT5&amp;FC7_ByProduct_Cus'!$G$70:$G$74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774-44E5-B9B0-610F49C6D0F9}"/>
            </c:ext>
          </c:extLst>
        </c:ser>
        <c:ser>
          <c:idx val="0"/>
          <c:order val="3"/>
          <c:tx>
            <c:strRef>
              <c:f>'Chart 3_TT5&amp;FC7_ByProduct_Cus'!$H$69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1774-44E5-B9B0-610F49C6D0F9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3_TT5&amp;FC7_ByProduct_Cus'!$H$70:$H$74</c:f>
              <c:numCache>
                <c:formatCode>0%</c:formatCode>
                <c:ptCount val="5"/>
                <c:pt idx="0">
                  <c:v>0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774-44E5-B9B0-610F49C6D0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9E-493F-B56A-6A32A14C952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9E-493F-B56A-6A32A14C95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3_TT5&amp;FC7_ByProduct_Cus'!$E$39:$E$43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1238.0335607629145</c:v>
                </c:pt>
                <c:pt idx="2">
                  <c:v>1141.4236356808344</c:v>
                </c:pt>
                <c:pt idx="3">
                  <c:v>1234.6977895342607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9E-493F-B56A-6A32A14C9523}"/>
            </c:ext>
          </c:extLst>
        </c:ser>
        <c:ser>
          <c:idx val="1"/>
          <c:order val="1"/>
          <c:tx>
            <c:strRef>
              <c:f>'Chart 3_TT5&amp;FC7_ByProduct_Cus'!$F$38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D9E-493F-B56A-6A32A14C95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3_TT5&amp;FC7_ByProduct_Cus'!$F$39:$F$43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1024.6977895342609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9E-493F-B56A-6A32A14C9523}"/>
            </c:ext>
          </c:extLst>
        </c:ser>
        <c:ser>
          <c:idx val="2"/>
          <c:order val="2"/>
          <c:tx>
            <c:strRef>
              <c:f>'Chart 3_TT5&amp;FC7_ByProduct_Cus'!$G$38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D9E-493F-B56A-6A32A14C95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D9E-493F-B56A-6A32A14C95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3_TT5&amp;FC7_ByProduct_Cus'!$G$39:$G$43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238.73325617641774</c:v>
                </c:pt>
                <c:pt idx="2">
                  <c:v>131.233490114186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D9E-493F-B56A-6A32A14C9523}"/>
            </c:ext>
          </c:extLst>
        </c:ser>
        <c:ser>
          <c:idx val="3"/>
          <c:order val="3"/>
          <c:tx>
            <c:strRef>
              <c:f>'Chart 3_TT5&amp;FC7_ByProduct_Cus'!$H$38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D9E-493F-B56A-6A32A14C9523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3_TT5&amp;FC7_ByProduct_Cus'!$H$39:$H$43</c:f>
              <c:numCache>
                <c:formatCode>0%</c:formatCode>
                <c:ptCount val="5"/>
                <c:pt idx="0">
                  <c:v>0</c:v>
                </c:pt>
                <c:pt idx="1">
                  <c:v>0.19283262081304398</c:v>
                </c:pt>
                <c:pt idx="2">
                  <c:v>0.11497351729177052</c:v>
                </c:pt>
                <c:pt idx="3">
                  <c:v>0.17008210574282612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D9E-493F-B56A-6A32A14C95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1-4FA6-96EF-4CE2A0797FF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1-4FA6-96EF-4CE2A079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3_TT5&amp;FC7_ByProduct_Cus'!$E$101:$E$105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81-4FA6-96EF-4CE2A0797FF0}"/>
            </c:ext>
          </c:extLst>
        </c:ser>
        <c:ser>
          <c:idx val="1"/>
          <c:order val="1"/>
          <c:tx>
            <c:strRef>
              <c:f>'Chart 3_TT5&amp;FC7_ByProduct_Cus'!$F$100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81-4FA6-96EF-4CE2A079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3_TT5&amp;FC7_ByProduct_Cus'!$F$101:$F$105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81-4FA6-96EF-4CE2A0797FF0}"/>
            </c:ext>
          </c:extLst>
        </c:ser>
        <c:ser>
          <c:idx val="2"/>
          <c:order val="2"/>
          <c:tx>
            <c:strRef>
              <c:f>'Chart 3_TT5&amp;FC7_ByProduct_Cus'!$G$100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81-4FA6-96EF-4CE2A0797FF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81-4FA6-96EF-4CE2A079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3_TT5&amp;FC7_ByProduct_Cus'!$G$101:$G$105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781-4FA6-96EF-4CE2A0797FF0}"/>
            </c:ext>
          </c:extLst>
        </c:ser>
        <c:ser>
          <c:idx val="3"/>
          <c:order val="3"/>
          <c:tx>
            <c:strRef>
              <c:f>'Chart 3_TT5&amp;FC7_ByProduct_Cus'!$H$100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781-4FA6-96EF-4CE2A0797FF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3_TT5&amp;FC7_ByProduct_Cus'!$H$101:$H$105</c:f>
              <c:numCache>
                <c:formatCode>0%</c:formatCode>
                <c:ptCount val="5"/>
                <c:pt idx="0">
                  <c:v>0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781-4FA6-96EF-4CE2A0797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3_TT5&amp;FC7_ByProduct_Cus'!$AA$164:$AE$164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5-49DC-8649-38B2BB010D62}"/>
            </c:ext>
          </c:extLst>
        </c:ser>
        <c:ser>
          <c:idx val="1"/>
          <c:order val="1"/>
          <c:tx>
            <c:strRef>
              <c:f>'Chart 3_TT5&amp;FC7_ByProduct_Cus'!$Z$165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3_TT5&amp;FC7_ByProduct_Cus'!$AA$164:$AE$164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3_TT5&amp;FC7_ByProduct_Cus'!$AA$165:$AE$165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5-49DC-8649-38B2BB010D62}"/>
            </c:ext>
          </c:extLst>
        </c:ser>
        <c:ser>
          <c:idx val="2"/>
          <c:order val="2"/>
          <c:tx>
            <c:strRef>
              <c:f>'Chart 3_TT5&amp;FC7_ByProduct_Cus'!$Z$166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3_TT5&amp;FC7_ByProduct_Cus'!$AA$164:$AE$164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3_TT5&amp;FC7_ByProduct_Cus'!$AA$166:$AE$166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5-49DC-8649-38B2BB010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Vảy FPET201-Out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E8-4ACA-A045-80EF81477767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E8-4ACA-A045-80EF81477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3_TT5&amp;FC7_ByProduct_Cus'!$Q$165:$Q$168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E8-4ACA-A045-80EF81477767}"/>
            </c:ext>
          </c:extLst>
        </c:ser>
        <c:ser>
          <c:idx val="1"/>
          <c:order val="1"/>
          <c:tx>
            <c:strRef>
              <c:f>'Chart 3_TT5&amp;FC7_ByProduct_Cus'!$R$164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E8-4ACA-A045-80EF81477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3_TT5&amp;FC7_ByProduct_Cus'!$R$165:$R$168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E8-4ACA-A045-80EF81477767}"/>
            </c:ext>
          </c:extLst>
        </c:ser>
        <c:ser>
          <c:idx val="2"/>
          <c:order val="2"/>
          <c:tx>
            <c:strRef>
              <c:f>'Chart 3_TT5&amp;FC7_ByProduct_Cus'!$S$164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EE8-4ACA-A045-80EF814777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EE8-4ACA-A045-80EF81477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3_TT5&amp;FC7_ByProduct_Cus'!$S$165:$S$168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EE8-4ACA-A045-80EF81477767}"/>
            </c:ext>
          </c:extLst>
        </c:ser>
        <c:ser>
          <c:idx val="3"/>
          <c:order val="3"/>
          <c:tx>
            <c:strRef>
              <c:f>'Chart 3_TT5&amp;FC7_ByProduct_Cus'!$T$164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3_TT5&amp;FC7_ByProduct_Cus'!$T$165:$T$168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E8-4ACA-A045-80EF814777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Vảy FPET201-Out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D9-4D12-A3C2-30A5B255A37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D9-4D12-A3C2-30A5B255A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3_TT5&amp;FC7_ByProduct_Cus'!$E$165:$E$168</c:f>
              <c:numCache>
                <c:formatCode>_(* #,##0_);_(* \(#,##0\);_(* "-"??_);_(@_)</c:formatCode>
                <c:ptCount val="4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D9-4D12-A3C2-30A5B255A370}"/>
            </c:ext>
          </c:extLst>
        </c:ser>
        <c:ser>
          <c:idx val="1"/>
          <c:order val="1"/>
          <c:tx>
            <c:strRef>
              <c:f>'Chart 3_TT5&amp;FC7_ByProduct_Cus'!$F$164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D9-4D12-A3C2-30A5B255A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3_TT5&amp;FC7_ByProduct_Cus'!$F$165:$F$168</c:f>
              <c:numCache>
                <c:formatCode>_(* #,##0_);_(* \(#,##0\);_(* "-"??_);_(@_)</c:formatCode>
                <c:ptCount val="4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D9-4D12-A3C2-30A5B255A370}"/>
            </c:ext>
          </c:extLst>
        </c:ser>
        <c:ser>
          <c:idx val="2"/>
          <c:order val="2"/>
          <c:tx>
            <c:strRef>
              <c:f>'Chart 3_TT5&amp;FC7_ByProduct_Cus'!$G$164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D9-4D12-A3C2-30A5B255A3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D9-4D12-A3C2-30A5B255A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3_TT5&amp;FC7_ByProduct_Cus'!$G$165:$G$168</c:f>
              <c:numCache>
                <c:formatCode>_(* #,##0_);_(* \(#,##0\);_(* "-"??_);_(@_)</c:formatCode>
                <c:ptCount val="4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D9-4D12-A3C2-30A5B255A370}"/>
            </c:ext>
          </c:extLst>
        </c:ser>
        <c:ser>
          <c:idx val="3"/>
          <c:order val="3"/>
          <c:tx>
            <c:strRef>
              <c:f>'Chart 3_TT5&amp;FC7_ByProduct_Cus'!$H$164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3_TT5&amp;FC7_ByProduct_Cus'!$H$165:$H$168</c:f>
              <c:numCache>
                <c:formatCode>0%</c:formatCode>
                <c:ptCount val="4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D9-4D12-A3C2-30A5B255A3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4-4B18-9913-96A51225FC65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4-4B18-9913-96A51225FC65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84-4B18-9913-96A51225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4-43B5-AAA6-4891083DFE0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4-43B5-AAA6-4891083DF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3_TT5&amp;FC7_ByProduct_Cus'!$Q$132:$Q$136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54-43B5-AAA6-4891083DFE06}"/>
            </c:ext>
          </c:extLst>
        </c:ser>
        <c:ser>
          <c:idx val="1"/>
          <c:order val="1"/>
          <c:tx>
            <c:strRef>
              <c:f>'Chart 3_TT5&amp;FC7_ByProduct_Cus'!$R$131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4-43B5-AAA6-4891083DF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3_TT5&amp;FC7_ByProduct_Cus'!$R$132:$R$136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54-43B5-AAA6-4891083DFE06}"/>
            </c:ext>
          </c:extLst>
        </c:ser>
        <c:ser>
          <c:idx val="2"/>
          <c:order val="2"/>
          <c:tx>
            <c:strRef>
              <c:f>'Chart 3_TT5&amp;FC7_ByProduct_Cus'!$S$131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54-43B5-AAA6-4891083DFE0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154-43B5-AAA6-4891083DF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3_TT5&amp;FC7_ByProduct_Cus'!$S$132:$S$136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54-43B5-AAA6-4891083DFE06}"/>
            </c:ext>
          </c:extLst>
        </c:ser>
        <c:ser>
          <c:idx val="3"/>
          <c:order val="3"/>
          <c:tx>
            <c:strRef>
              <c:f>'Chart 3_TT5&amp;FC7_ByProduct_Cus'!$T$131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0154-43B5-AAA6-4891083DFE06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3_TT5&amp;FC7_ByProduct_Cus'!$T$132:$T$136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54-43B5-AAA6-4891083DFE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01-446C-A8E1-ACA38D30286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01-446C-A8E1-ACA38D302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3_TT5&amp;FC7_ByProduct_Cus'!$E$132:$E$136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01-446C-A8E1-ACA38D302861}"/>
            </c:ext>
          </c:extLst>
        </c:ser>
        <c:ser>
          <c:idx val="1"/>
          <c:order val="1"/>
          <c:tx>
            <c:strRef>
              <c:f>'Chart 3_TT5&amp;FC7_ByProduct_Cus'!$F$131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501-446C-A8E1-ACA38D302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3_TT5&amp;FC7_ByProduct_Cus'!$F$132:$F$136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01-446C-A8E1-ACA38D302861}"/>
            </c:ext>
          </c:extLst>
        </c:ser>
        <c:ser>
          <c:idx val="2"/>
          <c:order val="2"/>
          <c:tx>
            <c:strRef>
              <c:f>'Chart 3_TT5&amp;FC7_ByProduct_Cus'!$G$131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501-446C-A8E1-ACA38D3028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501-446C-A8E1-ACA38D302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3_TT5&amp;FC7_ByProduct_Cus'!$G$132:$G$136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01-446C-A8E1-ACA38D302861}"/>
            </c:ext>
          </c:extLst>
        </c:ser>
        <c:ser>
          <c:idx val="3"/>
          <c:order val="3"/>
          <c:tx>
            <c:strRef>
              <c:f>'Chart 3_TT5&amp;FC7_ByProduct_Cus'!$H$131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2501-446C-A8E1-ACA38D30286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3_TT5&amp;FC7_ByProduct_Cus'!$H$132:$H$136</c:f>
              <c:numCache>
                <c:formatCode>0%</c:formatCode>
                <c:ptCount val="5"/>
                <c:pt idx="0">
                  <c:v>0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501-446C-A8E1-ACA38D302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4-4D95-90CB-9A011749BFF3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4-4D95-90CB-9A011749BFF3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4-4D95-90CB-9A011749BFF3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4-4D95-90CB-9A011749B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3_TT5&amp;FC7_ByCustomer-Pro'!$AM$5:$AT$5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4-49F7-ABD8-4B6B5CE7A622}"/>
            </c:ext>
          </c:extLst>
        </c:ser>
        <c:ser>
          <c:idx val="1"/>
          <c:order val="1"/>
          <c:tx>
            <c:strRef>
              <c:f>'Chart 3_TT5&amp;FC7_ByCustomer-Pro'!$AL$6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3_TT5&amp;FC7_ByCustomer-Pro'!$AM$6:$AT$6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4-49F7-ABD8-4B6B5CE7A622}"/>
            </c:ext>
          </c:extLst>
        </c:ser>
        <c:ser>
          <c:idx val="2"/>
          <c:order val="2"/>
          <c:tx>
            <c:strRef>
              <c:f>'Chart 3_TT5&amp;FC7_ByCustomer-Pro'!$AL$7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3_TT5&amp;FC7_ByCustomer-Pro'!$AM$7:$AT$7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B4-49F7-ABD8-4B6B5CE7A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3_TT5&amp;FC7_ByCustomer-Pro'!$AM$5:$AP$5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F-42FA-A0BB-F688FB37E738}"/>
            </c:ext>
          </c:extLst>
        </c:ser>
        <c:ser>
          <c:idx val="1"/>
          <c:order val="1"/>
          <c:tx>
            <c:strRef>
              <c:f>'Chart 3_TT5&amp;FC7_ByCustomer-Pro'!$AL$6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3_TT5&amp;FC7_ByCustomer-Pro'!$AM$6:$AP$6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F-42FA-A0BB-F688FB37E738}"/>
            </c:ext>
          </c:extLst>
        </c:ser>
        <c:ser>
          <c:idx val="2"/>
          <c:order val="2"/>
          <c:tx>
            <c:strRef>
              <c:f>'Chart 3_TT5&amp;FC7_ByCustomer-Pro'!$AL$7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3_TT5&amp;FC7_ByCustomer-Pro'!$AM$7:$AP$7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F-42FA-A0BB-F688FB37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3_TT5&amp;FC7_ByCustomer-Pro'!$AM$66:$AT$66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0-47F5-8C86-362D85E9965E}"/>
            </c:ext>
          </c:extLst>
        </c:ser>
        <c:ser>
          <c:idx val="1"/>
          <c:order val="1"/>
          <c:tx>
            <c:strRef>
              <c:f>'Chart 3_TT5&amp;FC7_ByCustomer-Pro'!$AL$67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3_TT5&amp;FC7_ByCustomer-Pro'!$AM$67:$AT$67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0-47F5-8C86-362D85E9965E}"/>
            </c:ext>
          </c:extLst>
        </c:ser>
        <c:ser>
          <c:idx val="2"/>
          <c:order val="2"/>
          <c:tx>
            <c:strRef>
              <c:f>'Chart 3_TT5&amp;FC7_ByCustomer-Pro'!$AL$68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3_TT5&amp;FC7_ByCustomer-Pro'!$AM$68:$AT$68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0-47F5-8C86-362D85E9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3_TT5&amp;FC7_ByCustomer-Pro'!$AM$66:$AP$66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B-4E1C-B467-3AA96644CBA7}"/>
            </c:ext>
          </c:extLst>
        </c:ser>
        <c:ser>
          <c:idx val="1"/>
          <c:order val="1"/>
          <c:tx>
            <c:strRef>
              <c:f>'Chart 3_TT5&amp;FC7_ByCustomer-Pro'!$AL$67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3_TT5&amp;FC7_ByCustomer-Pro'!$AM$67:$AP$67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B-4E1C-B467-3AA96644CBA7}"/>
            </c:ext>
          </c:extLst>
        </c:ser>
        <c:ser>
          <c:idx val="2"/>
          <c:order val="2"/>
          <c:tx>
            <c:strRef>
              <c:f>'Chart 3_TT5&amp;FC7_ByCustomer-Pro'!$AL$68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3_TT5&amp;FC7_ByCustomer-Pro'!$AM$68:$AP$68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B-4E1C-B467-3AA96644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3_TT5&amp;FC7_ByCustomer-Pro'!$AM$33:$AP$33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3_TT5&amp;FC7_ByCustomer-Pro'!$AM$34:$AP$34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0-47D5-848C-05BECE1D77C1}"/>
            </c:ext>
          </c:extLst>
        </c:ser>
        <c:ser>
          <c:idx val="1"/>
          <c:order val="1"/>
          <c:tx>
            <c:strRef>
              <c:f>'Chart 3_TT5&amp;FC7_ByCustomer-Pro'!$AL$35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3_TT5&amp;FC7_ByCustomer-Pro'!$AM$33:$AP$33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3_TT5&amp;FC7_ByCustomer-Pro'!$AM$35:$AP$35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0-47D5-848C-05BECE1D77C1}"/>
            </c:ext>
          </c:extLst>
        </c:ser>
        <c:ser>
          <c:idx val="2"/>
          <c:order val="2"/>
          <c:tx>
            <c:strRef>
              <c:f>'Chart 3_TT5&amp;FC7_ByCustomer-Pro'!$AL$36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3_TT5&amp;FC7_ByCustomer-Pro'!$AM$33:$AP$33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3_TT5&amp;FC7_ByCustomer-Pro'!$AM$36:$AP$36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0-47D5-848C-05BECE1D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3_TT5&amp;FC7_ByCustomer-Pro'!$AM$34:$AT$34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1-4771-8DC7-D67297261BCD}"/>
            </c:ext>
          </c:extLst>
        </c:ser>
        <c:ser>
          <c:idx val="1"/>
          <c:order val="1"/>
          <c:tx>
            <c:strRef>
              <c:f>'Chart 3_TT5&amp;FC7_ByCustomer-Pro'!$AL$35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3_TT5&amp;FC7_ByCustomer-Pro'!$AM$35:$AT$35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1-4771-8DC7-D67297261BCD}"/>
            </c:ext>
          </c:extLst>
        </c:ser>
        <c:ser>
          <c:idx val="2"/>
          <c:order val="2"/>
          <c:tx>
            <c:strRef>
              <c:f>'Chart 3_TT5&amp;FC7_ByCustomer-Pro'!$AL$36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3_TT5&amp;FC7_ByCustomer-Pro'!$AM$36:$AT$36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1-4771-8DC7-D67297261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4-4D3C-AB07-7987781E3D24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4-4D3C-AB07-7987781E3D24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4-4D3C-AB07-7987781E3D24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24-4D3C-AB07-7987781E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6-47DD-9C83-7E21A5CE605E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6-47DD-9C83-7E21A5CE605E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6-47DD-9C83-7E21A5CE605E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B6-47DD-9C83-7E21A5CE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9-410E-BB5C-D361A9DDAF4B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9-410E-BB5C-D361A9DDAF4B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9-410E-BB5C-D361A9DD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3_TT5&amp;FC7_ByCustomer-Pro'!$BD$5:$BK$5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7-4E98-827F-2ACA60BB4DAC}"/>
            </c:ext>
          </c:extLst>
        </c:ser>
        <c:ser>
          <c:idx val="1"/>
          <c:order val="1"/>
          <c:tx>
            <c:strRef>
              <c:f>'Chart 3_TT5&amp;FC7_ByCustomer-Pro'!$BC$6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3_TT5&amp;FC7_ByCustomer-Pro'!$BD$6:$BK$6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7-4E98-827F-2ACA60BB4DAC}"/>
            </c:ext>
          </c:extLst>
        </c:ser>
        <c:ser>
          <c:idx val="2"/>
          <c:order val="2"/>
          <c:tx>
            <c:strRef>
              <c:f>'Chart 3_TT5&amp;FC7_ByCustomer-Pro'!$BC$7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3_TT5&amp;FC7_ByCustomer-Pro'!$BD$7:$BK$7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7-4E98-827F-2ACA60BB4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3_TT5&amp;FC7_ByCustomer-Pro'!$BD$5:$BG$5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B-4244-92D1-FDF03D6F046A}"/>
            </c:ext>
          </c:extLst>
        </c:ser>
        <c:ser>
          <c:idx val="1"/>
          <c:order val="1"/>
          <c:tx>
            <c:strRef>
              <c:f>'Chart 3_TT5&amp;FC7_ByCustomer-Pro'!$BC$6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3_TT5&amp;FC7_ByCustomer-Pro'!$BD$6:$BG$6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AB-4244-92D1-FDF03D6F046A}"/>
            </c:ext>
          </c:extLst>
        </c:ser>
        <c:ser>
          <c:idx val="2"/>
          <c:order val="2"/>
          <c:tx>
            <c:strRef>
              <c:f>'Chart 3_TT5&amp;FC7_ByCustomer-Pro'!$BC$7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3_TT5&amp;FC7_ByCustomer-Pro'!$BD$7:$BG$7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AB-4244-92D1-FDF03D6F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Niagara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3_TT5&amp;FC7_ByCustomer-Pro'!$P$5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3_TT5&amp;FC7_ByCustomer-Pro'!$P$6:$P$10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A7-43A5-9AE7-17B8F1CA18F9}"/>
            </c:ext>
          </c:extLst>
        </c:ser>
        <c:ser>
          <c:idx val="1"/>
          <c:order val="1"/>
          <c:tx>
            <c:strRef>
              <c:f>'Chart 3_TT5&amp;FC7_ByCustomer-Pro'!$Q$5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DA7-43A5-9AE7-17B8F1CA18F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98-4405-A1D0-36EBF0B2EC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3_TT5&amp;FC7_ByCustomer-Pro'!$Q$6:$Q$10</c:f>
              <c:numCache>
                <c:formatCode>_(* #,##0_);_(* \(#,##0\);_(* "-"??_);_(@_)</c:formatCode>
                <c:ptCount val="5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  <c:pt idx="3">
                  <c:v>34039.193245850227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A7-43A5-9AE7-17B8F1CA18F9}"/>
            </c:ext>
          </c:extLst>
        </c:ser>
        <c:ser>
          <c:idx val="2"/>
          <c:order val="2"/>
          <c:tx>
            <c:strRef>
              <c:f>'Chart 3_TT5&amp;FC7_ByCustomer-Pro'!$R$5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DA7-43A5-9AE7-17B8F1CA18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3_TT5&amp;FC7_ByCustomer-Pro'!$R$6:$R$10</c:f>
              <c:numCache>
                <c:formatCode>_(* #,##0_);_(* \(#,##0\);_(* "-"??_);_(@_)</c:formatCode>
                <c:ptCount val="5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  <c:pt idx="3">
                  <c:v>27679.193245850223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DA7-43A5-9AE7-17B8F1CA18F9}"/>
            </c:ext>
          </c:extLst>
        </c:ser>
        <c:ser>
          <c:idx val="3"/>
          <c:order val="3"/>
          <c:tx>
            <c:strRef>
              <c:f>'Chart 3_TT5&amp;FC7_ByCustomer-Pro'!$S$5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A7-43A5-9AE7-17B8F1CA18F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98-4405-A1D0-36EBF0B2EC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3_TT5&amp;FC7_ByCustomer-Pro'!$S$6:$S$10</c:f>
              <c:numCache>
                <c:formatCode>_(* #,##0_);_(* \(#,##0\);_(* "-"??_);_(@_)</c:formatCode>
                <c:ptCount val="5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  <c:pt idx="3">
                  <c:v>6360.0000000000036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DA7-43A5-9AE7-17B8F1CA18F9}"/>
            </c:ext>
          </c:extLst>
        </c:ser>
        <c:ser>
          <c:idx val="4"/>
          <c:order val="4"/>
          <c:tx>
            <c:strRef>
              <c:f>'Chart 3_TT5&amp;FC7_ByCustomer-Pro'!$T$5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298-4405-A1D0-36EBF0B2EC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3_TT5&amp;FC7_ByCustomer-Pro'!$T$6:$T$10</c:f>
              <c:numCache>
                <c:formatCode>0%</c:formatCode>
                <c:ptCount val="5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  <c:pt idx="3">
                  <c:v>0.1868434411492805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55A-4346-86F7-E7A7D43DD4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Outerinho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3_TT5&amp;FC7_ByCustomer-Pro'!$Q$69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0-4F53-AA7D-8033B966987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0-4F53-AA7D-8033B9669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3_TT5&amp;FC7_ByCustomer-Pro'!$Q$70:$Q$74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D0-4F53-AA7D-8033B9669872}"/>
            </c:ext>
          </c:extLst>
        </c:ser>
        <c:ser>
          <c:idx val="2"/>
          <c:order val="1"/>
          <c:tx>
            <c:strRef>
              <c:f>'Chart 3_TT5&amp;FC7_ByCustomer-Pro'!$R$69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D0-4F53-AA7D-8033B9669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3_TT5&amp;FC7_ByCustomer-Pro'!$R$70:$R$74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D0-4F53-AA7D-8033B9669872}"/>
            </c:ext>
          </c:extLst>
        </c:ser>
        <c:ser>
          <c:idx val="3"/>
          <c:order val="2"/>
          <c:tx>
            <c:strRef>
              <c:f>'Chart 3_TT5&amp;FC7_ByCustomer-Pro'!$S$69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D0-4F53-AA7D-8033B96698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D0-4F53-AA7D-8033B9669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3_TT5&amp;FC7_ByCustomer-Pro'!$S$70:$S$74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D0-4F53-AA7D-8033B9669872}"/>
            </c:ext>
          </c:extLst>
        </c:ser>
        <c:ser>
          <c:idx val="0"/>
          <c:order val="3"/>
          <c:tx>
            <c:strRef>
              <c:f>'Chart 3_TT5&amp;FC7_ByCustomer-Pro'!$T$69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CD0-4F53-AA7D-8033B9669872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3_TT5&amp;FC7_ByCustomer-Pro'!$T$70:$T$74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D0-4F53-AA7D-8033B96698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Shepley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73-4E43-8E7A-A14DEE16A420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73-4E43-8E7A-A14DEE16A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3_TT5&amp;FC7_ByCustomer-Pro'!$Q$39:$Q$43</c:f>
              <c:numCache>
                <c:formatCode>_(* #,##0_);_(* \(#,##0\);_(* "-"??_);_(@_)</c:formatCode>
                <c:ptCount val="5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  <c:pt idx="3">
                  <c:v>32719.491422657906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73-4E43-8E7A-A14DEE16A420}"/>
            </c:ext>
          </c:extLst>
        </c:ser>
        <c:ser>
          <c:idx val="1"/>
          <c:order val="1"/>
          <c:tx>
            <c:strRef>
              <c:f>'Chart 3_TT5&amp;FC7_ByCustomer-Pro'!$R$38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73-4E43-8E7A-A14DEE16A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3_TT5&amp;FC7_ByCustomer-Pro'!$R$39:$R$43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27154.491422657913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73-4E43-8E7A-A14DEE16A420}"/>
            </c:ext>
          </c:extLst>
        </c:ser>
        <c:ser>
          <c:idx val="2"/>
          <c:order val="2"/>
          <c:tx>
            <c:strRef>
              <c:f>'Chart 3_TT5&amp;FC7_ByCustomer-Pro'!$S$38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73-4E43-8E7A-A14DEE16A4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C73-4E43-8E7A-A14DEE16A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3_TT5&amp;FC7_ByCustomer-Pro'!$S$39:$S$43</c:f>
              <c:numCache>
                <c:formatCode>_(* #,##0_);_(* \(#,##0\);_(* "-"??_);_(@_)</c:formatCode>
                <c:ptCount val="5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C73-4E43-8E7A-A14DEE16A420}"/>
            </c:ext>
          </c:extLst>
        </c:ser>
        <c:ser>
          <c:idx val="3"/>
          <c:order val="3"/>
          <c:tx>
            <c:strRef>
              <c:f>'Chart 3_TT5&amp;FC7_ByCustomer-Pro'!$T$38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FC73-4E43-8E7A-A14DEE16A42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3_TT5&amp;FC7_ByCustomer-Pro'!$T$39:$T$43</c:f>
              <c:numCache>
                <c:formatCode>0%</c:formatCode>
                <c:ptCount val="5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  <c:pt idx="3">
                  <c:v>0.17008210574282606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C73-4E43-8E7A-A14DEE16A4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Suntory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4F-49A9-B013-4E97CAF5834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4F-49A9-B013-4E97CAF58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3_TT5&amp;FC7_ByCustomer-Pro'!$Q$101:$Q$105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4F-49A9-B013-4E97CAF58347}"/>
            </c:ext>
          </c:extLst>
        </c:ser>
        <c:ser>
          <c:idx val="1"/>
          <c:order val="1"/>
          <c:tx>
            <c:strRef>
              <c:f>'Chart 3_TT5&amp;FC7_ByCustomer-Pro'!$R$100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4F-49A9-B013-4E97CAF58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3_TT5&amp;FC7_ByCustomer-Pro'!$R$101:$R$105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4F-49A9-B013-4E97CAF58347}"/>
            </c:ext>
          </c:extLst>
        </c:ser>
        <c:ser>
          <c:idx val="2"/>
          <c:order val="2"/>
          <c:tx>
            <c:strRef>
              <c:f>'Chart 3_TT5&amp;FC7_ByCustomer-Pro'!$S$100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4F-49A9-B013-4E97CAF5834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4F-49A9-B013-4E97CAF58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3_TT5&amp;FC7_ByCustomer-Pro'!$S$101:$S$105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24F-49A9-B013-4E97CAF58347}"/>
            </c:ext>
          </c:extLst>
        </c:ser>
        <c:ser>
          <c:idx val="3"/>
          <c:order val="3"/>
          <c:tx>
            <c:strRef>
              <c:f>'Chart 3_TT5&amp;FC7_ByCustomer-Pro'!$T$100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A24F-49A9-B013-4E97CAF5834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3_TT5&amp;FC7_ByCustomer-Pro'!$T$101:$T$105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24F-49A9-B013-4E97CAF583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3_TT5&amp;FC7_ByCustomer-Pro'!$BT$5:$CA$5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F-4B00-9BD5-DE8DDC10ECF7}"/>
            </c:ext>
          </c:extLst>
        </c:ser>
        <c:ser>
          <c:idx val="1"/>
          <c:order val="1"/>
          <c:tx>
            <c:strRef>
              <c:f>'Chart 3_TT5&amp;FC7_ByCustomer-Pro'!$BS$6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3_TT5&amp;FC7_ByCustomer-Pro'!$BT$6:$CA$6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F-4B00-9BD5-DE8DDC10ECF7}"/>
            </c:ext>
          </c:extLst>
        </c:ser>
        <c:ser>
          <c:idx val="2"/>
          <c:order val="2"/>
          <c:tx>
            <c:strRef>
              <c:f>'Chart 3_TT5&amp;FC7_ByCustomer-Pro'!$BS$7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3_TT5&amp;FC7_ByCustomer-Pro'!$BT$7:$CA$7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F-4B00-9BD5-DE8DDC10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3_TT5&amp;FC7_ByCustomer-Pro'!$BT$5:$BW$5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8-4193-9903-FDA80586FAC3}"/>
            </c:ext>
          </c:extLst>
        </c:ser>
        <c:ser>
          <c:idx val="1"/>
          <c:order val="1"/>
          <c:tx>
            <c:strRef>
              <c:f>'Chart 3_TT5&amp;FC7_ByCustomer-Pro'!$BS$6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3_TT5&amp;FC7_ByCustomer-Pro'!$BT$6:$BW$6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8-4193-9903-FDA80586FAC3}"/>
            </c:ext>
          </c:extLst>
        </c:ser>
        <c:ser>
          <c:idx val="2"/>
          <c:order val="2"/>
          <c:tx>
            <c:strRef>
              <c:f>'Chart 3_TT5&amp;FC7_ByCustomer-Pro'!$BS$7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3_TT5&amp;FC7_ByCustomer-Pro'!$BT$7:$BW$7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8-4193-9903-FDA80586F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Niagara</a:t>
            </a:r>
            <a:r>
              <a:rPr lang="en-US" b="1" baseline="0">
                <a:solidFill>
                  <a:srgbClr val="1041A2"/>
                </a:solidFill>
              </a:rPr>
              <a:t> US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3_TT5&amp;FC7_ByCustomer-Pro'!$D$5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3_TT5&amp;FC7_ByCustomer-Pro'!$D$6:$D$13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82-444B-AA6A-C752FE189989}"/>
            </c:ext>
          </c:extLst>
        </c:ser>
        <c:ser>
          <c:idx val="1"/>
          <c:order val="1"/>
          <c:tx>
            <c:strRef>
              <c:f>'Chart 3_TT5&amp;FC7_ByCustomer-Pro'!$E$5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182-444B-AA6A-C752FE1899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11-4A1B-A14D-EF8E03FEA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3_TT5&amp;FC7_ByCustomer-Pro'!$E$6:$E$13</c:f>
              <c:numCache>
                <c:formatCode>_(* #,##0_);_(* \(#,##0\);_(* "-"??_);_(@_)</c:formatCode>
                <c:ptCount val="8"/>
                <c:pt idx="0">
                  <c:v>1396.9592995301155</c:v>
                </c:pt>
                <c:pt idx="1">
                  <c:v>1345.2792347226514</c:v>
                </c:pt>
                <c:pt idx="2">
                  <c:v>1191.5563229628797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82-444B-AA6A-C752FE189989}"/>
            </c:ext>
          </c:extLst>
        </c:ser>
        <c:ser>
          <c:idx val="2"/>
          <c:order val="2"/>
          <c:tx>
            <c:strRef>
              <c:f>'Chart 3_TT5&amp;FC7_ByCustomer-Pro'!$F$5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182-444B-AA6A-C752FE1899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3_TT5&amp;FC7_ByCustomer-Pro'!$F$6:$F$13</c:f>
              <c:numCache>
                <c:formatCode>_(* #,##0_);_(* \(#,##0\);_(* "-"??_);_(@_)</c:formatCode>
                <c:ptCount val="8"/>
                <c:pt idx="0">
                  <c:v>1097.0470682135215</c:v>
                </c:pt>
                <c:pt idx="1">
                  <c:v>1091.1469880868879</c:v>
                </c:pt>
                <c:pt idx="2">
                  <c:v>1094.2479311948205</c:v>
                </c:pt>
                <c:pt idx="3">
                  <c:v>1044.4978583339707</c:v>
                </c:pt>
                <c:pt idx="4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82-444B-AA6A-C752FE189989}"/>
            </c:ext>
          </c:extLst>
        </c:ser>
        <c:ser>
          <c:idx val="3"/>
          <c:order val="3"/>
          <c:tx>
            <c:strRef>
              <c:f>'Chart 3_TT5&amp;FC7_ByCustomer-Pro'!$G$5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182-444B-AA6A-C752FE1899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11-4A1B-A14D-EF8E03FEA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3_TT5&amp;FC7_ByCustomer-Pro'!$G$6:$G$13</c:f>
              <c:numCache>
                <c:formatCode>_(* #,##0_);_(* \(#,##0\);_(* "-"??_);_(@_)</c:formatCode>
                <c:ptCount val="8"/>
                <c:pt idx="0">
                  <c:v>299.91223131659399</c:v>
                </c:pt>
                <c:pt idx="1">
                  <c:v>254.13224663576352</c:v>
                </c:pt>
                <c:pt idx="2">
                  <c:v>97.308391768059209</c:v>
                </c:pt>
                <c:pt idx="3">
                  <c:v>240</c:v>
                </c:pt>
                <c:pt idx="4">
                  <c:v>437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82-444B-AA6A-C752FE189989}"/>
            </c:ext>
          </c:extLst>
        </c:ser>
        <c:ser>
          <c:idx val="4"/>
          <c:order val="4"/>
          <c:tx>
            <c:strRef>
              <c:f>'Chart 3_TT5&amp;FC7_ByCustomer-Pro'!$H$5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2A11-4A1B-A14D-EF8E03FEA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3_TT5&amp;FC7_ByCustomer-Pro'!$H$6:$H$13</c:f>
              <c:numCache>
                <c:formatCode>0%</c:formatCode>
                <c:ptCount val="8"/>
                <c:pt idx="0">
                  <c:v>0.21468931229240049</c:v>
                </c:pt>
                <c:pt idx="1">
                  <c:v>0.1889066894637354</c:v>
                </c:pt>
                <c:pt idx="2">
                  <c:v>8.166495355091212E-2</c:v>
                </c:pt>
                <c:pt idx="3">
                  <c:v>0.18684344114928042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983-4781-8EB3-282BFB47B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Outerinho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3_TT5&amp;FC7_ByCustomer-Pro'!$D$69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3_TT5&amp;FC7_ByCustomer-Pro'!$D$70:$D$77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4-4CA3-8B5F-37E6CB8FB886}"/>
            </c:ext>
          </c:extLst>
        </c:ser>
        <c:ser>
          <c:idx val="2"/>
          <c:order val="1"/>
          <c:tx>
            <c:strRef>
              <c:f>'Chart 3_TT5&amp;FC7_ByCustomer-Pro'!$E$69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CB4-4CA3-8B5F-37E6CB8FB88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6-4D31-9332-755D2B48DA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3_TT5&amp;FC7_ByCustomer-Pro'!$E$70:$E$77</c:f>
              <c:numCache>
                <c:formatCode>_(* #,##0_);_(* \(#,##0\);_(* "-"??_);_(@_)</c:formatCode>
                <c:ptCount val="8"/>
                <c:pt idx="0">
                  <c:v>1224.2711679958338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B4-4CA3-8B5F-37E6CB8FB886}"/>
            </c:ext>
          </c:extLst>
        </c:ser>
        <c:ser>
          <c:idx val="3"/>
          <c:order val="2"/>
          <c:tx>
            <c:strRef>
              <c:f>'Chart 3_TT5&amp;FC7_ByCustomer-Pro'!$F$69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B4-4CA3-8B5F-37E6CB8FB8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3_TT5&amp;FC7_ByCustomer-Pro'!$F$70:$F$77</c:f>
              <c:numCache>
                <c:formatCode>_(* #,##0_);_(* \(#,##0\);_(* "-"??_);_(@_)</c:formatCode>
                <c:ptCount val="8"/>
                <c:pt idx="0">
                  <c:v>981.49575659452444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B4-4CA3-8B5F-37E6CB8FB886}"/>
            </c:ext>
          </c:extLst>
        </c:ser>
        <c:ser>
          <c:idx val="0"/>
          <c:order val="3"/>
          <c:tx>
            <c:strRef>
              <c:f>'Chart 3_TT5&amp;FC7_ByCustomer-Pro'!$G$69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B4-4CA3-8B5F-37E6CB8FB88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46-4D31-9332-755D2B48DA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3_TT5&amp;FC7_ByCustomer-Pro'!$G$70:$G$77</c:f>
              <c:numCache>
                <c:formatCode>_(* #,##0_);_(* \(#,##0\);_(* "-"??_);_(@_)</c:formatCode>
                <c:ptCount val="8"/>
                <c:pt idx="0">
                  <c:v>242.77541140130938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CB4-4CA3-8B5F-37E6CB8FB886}"/>
            </c:ext>
          </c:extLst>
        </c:ser>
        <c:ser>
          <c:idx val="4"/>
          <c:order val="4"/>
          <c:tx>
            <c:strRef>
              <c:f>'Chart 3_TT5&amp;FC7_ByCustomer-Pro'!$H$69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7A46-4D31-9332-755D2B48DA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3_TT5&amp;FC7_ByCustomer-Pro'!$H$70:$H$77</c:f>
              <c:numCache>
                <c:formatCode>0%</c:formatCode>
                <c:ptCount val="8"/>
                <c:pt idx="0">
                  <c:v>0.19830199203232035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C74-4873-876B-2EC529FB1A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Shepley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3_TT5&amp;FC7_ByCustomer-Pro'!$D$38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3_TT5&amp;FC7_ByCustomer-Pro'!$D$39:$D$46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00-4292-8D74-B79F3B9F122E}"/>
            </c:ext>
          </c:extLst>
        </c:ser>
        <c:ser>
          <c:idx val="1"/>
          <c:order val="1"/>
          <c:tx>
            <c:strRef>
              <c:f>'Chart 3_TT5&amp;FC7_ByCustomer-Pro'!$E$38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E00-4292-8D74-B79F3B9F122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0-40D4-B9F0-E569869A2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3_TT5&amp;FC7_ByCustomer-Pro'!$E$39:$E$46</c:f>
              <c:numCache>
                <c:formatCode>_(* #,##0_);_(* \(#,##0\);_(* "-"??_);_(@_)</c:formatCode>
                <c:ptCount val="8"/>
                <c:pt idx="0">
                  <c:v>1223.1237395867231</c:v>
                </c:pt>
                <c:pt idx="1">
                  <c:v>1238.0335607629145</c:v>
                </c:pt>
                <c:pt idx="2">
                  <c:v>1141.4236356808344</c:v>
                </c:pt>
                <c:pt idx="3">
                  <c:v>1234.6977895342607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00-4292-8D74-B79F3B9F122E}"/>
            </c:ext>
          </c:extLst>
        </c:ser>
        <c:ser>
          <c:idx val="2"/>
          <c:order val="2"/>
          <c:tx>
            <c:strRef>
              <c:f>'Chart 3_TT5&amp;FC7_ByCustomer-Pro'!$F$38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E00-4292-8D74-B79F3B9F1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3_TT5&amp;FC7_ByCustomer-Pro'!$F$39:$F$46</c:f>
              <c:numCache>
                <c:formatCode>_(* #,##0_);_(* \(#,##0\);_(* "-"??_);_(@_)</c:formatCode>
                <c:ptCount val="8"/>
                <c:pt idx="0">
                  <c:v>927.6853844490596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1024.6977895342609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E00-4292-8D74-B79F3B9F122E}"/>
            </c:ext>
          </c:extLst>
        </c:ser>
        <c:ser>
          <c:idx val="3"/>
          <c:order val="3"/>
          <c:tx>
            <c:strRef>
              <c:f>'Chart 3_TT5&amp;FC7_ByCustomer-Pro'!$G$38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00-4292-8D74-B79F3B9F12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80-40D4-B9F0-E569869A2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3_TT5&amp;FC7_ByCustomer-Pro'!$G$39:$G$46</c:f>
              <c:numCache>
                <c:formatCode>_(* #,##0_);_(* \(#,##0\);_(* "-"??_);_(@_)</c:formatCode>
                <c:ptCount val="8"/>
                <c:pt idx="0">
                  <c:v>295.43835513766351</c:v>
                </c:pt>
                <c:pt idx="1">
                  <c:v>238.73325617641774</c:v>
                </c:pt>
                <c:pt idx="2">
                  <c:v>131.233490114186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00-4292-8D74-B79F3B9F122E}"/>
            </c:ext>
          </c:extLst>
        </c:ser>
        <c:ser>
          <c:idx val="4"/>
          <c:order val="4"/>
          <c:tx>
            <c:strRef>
              <c:f>'Chart 3_TT5&amp;FC7_ByCustomer-Pro'!$H$38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6580-40D4-B9F0-E569869A28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3_TT5&amp;FC7_ByCustomer-Pro'!$H$39:$H$46</c:f>
              <c:numCache>
                <c:formatCode>0%</c:formatCode>
                <c:ptCount val="8"/>
                <c:pt idx="0">
                  <c:v>0.24154412638371986</c:v>
                </c:pt>
                <c:pt idx="1">
                  <c:v>0.19283262081304398</c:v>
                </c:pt>
                <c:pt idx="2">
                  <c:v>0.11497351729177052</c:v>
                </c:pt>
                <c:pt idx="3">
                  <c:v>0.17008210574282612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CFD-43B4-947C-20C4707531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Suntory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3_TT5&amp;FC7_ByCustomer-Pro'!$D$100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3_TT5&amp;FC7_ByCustomer-Pro'!$D$101:$D$108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56-4CF3-A489-0F7B471902EF}"/>
            </c:ext>
          </c:extLst>
        </c:ser>
        <c:ser>
          <c:idx val="1"/>
          <c:order val="1"/>
          <c:tx>
            <c:strRef>
              <c:f>'Chart 3_TT5&amp;FC7_ByCustomer-Pro'!$E$100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56-4CF3-A489-0F7B471902E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6-4E91-AF11-EAD1FCA4C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3_TT5&amp;FC7_ByCustomer-Pro'!$E$101:$E$108</c:f>
              <c:numCache>
                <c:formatCode>_(* #,##0_);_(* \(#,##0\);_(* "-"??_);_(@_)</c:formatCode>
                <c:ptCount val="8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56-4CF3-A489-0F7B471902EF}"/>
            </c:ext>
          </c:extLst>
        </c:ser>
        <c:ser>
          <c:idx val="2"/>
          <c:order val="2"/>
          <c:tx>
            <c:strRef>
              <c:f>'Chart 3_TT5&amp;FC7_ByCustomer-Pro'!$F$100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56-4CF3-A489-0F7B471902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3_TT5&amp;FC7_ByCustomer-Pro'!$F$101:$F$108</c:f>
              <c:numCache>
                <c:formatCode>_(* #,##0_);_(* \(#,##0\);_(* "-"??_);_(@_)</c:formatCode>
                <c:ptCount val="8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56-4CF3-A489-0F7B471902EF}"/>
            </c:ext>
          </c:extLst>
        </c:ser>
        <c:ser>
          <c:idx val="3"/>
          <c:order val="3"/>
          <c:tx>
            <c:strRef>
              <c:f>'Chart 3_TT5&amp;FC7_ByCustomer-Pro'!$G$100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E56-4CF3-A489-0F7B471902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46-4E91-AF11-EAD1FCA4C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3_TT5&amp;FC7_ByCustomer-Pro'!$G$101:$G$108</c:f>
              <c:numCache>
                <c:formatCode>_(* #,##0_);_(* \(#,##0\);_(* "-"??_);_(@_)</c:formatCode>
                <c:ptCount val="8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E56-4CF3-A489-0F7B471902EF}"/>
            </c:ext>
          </c:extLst>
        </c:ser>
        <c:ser>
          <c:idx val="4"/>
          <c:order val="4"/>
          <c:tx>
            <c:strRef>
              <c:f>'Chart 3_TT5&amp;FC7_ByCustomer-Pro'!$H$100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846-4E91-AF11-EAD1FCA4C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3_TT5&amp;FC7_ByCustomer-Pro'!$H$101:$H$108</c:f>
              <c:numCache>
                <c:formatCode>0%</c:formatCode>
                <c:ptCount val="8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CD-43A3-9651-629D4BB48F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3_TT5&amp;FC7_ByCustomer-Pro'!$AA$164:$AE$164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6-4933-85C4-D3C62877BB91}"/>
            </c:ext>
          </c:extLst>
        </c:ser>
        <c:ser>
          <c:idx val="1"/>
          <c:order val="1"/>
          <c:tx>
            <c:strRef>
              <c:f>'Chart 3_TT5&amp;FC7_ByCustomer-Pro'!$Z$165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3_TT5&amp;FC7_ByCustomer-Pro'!$AA$164:$AE$164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3_TT5&amp;FC7_ByCustomer-Pro'!$AA$165:$AE$165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6-4933-85C4-D3C62877BB91}"/>
            </c:ext>
          </c:extLst>
        </c:ser>
        <c:ser>
          <c:idx val="2"/>
          <c:order val="2"/>
          <c:tx>
            <c:strRef>
              <c:f>'Chart 3_TT5&amp;FC7_ByCustomer-Pro'!$Z$166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3_TT5&amp;FC7_ByCustomer-Pro'!$AA$164:$AE$164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3_TT5&amp;FC7_ByCustomer-Pro'!$AA$166:$AE$166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6-4933-85C4-D3C62877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Polycore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C3-43D0-8FE9-7FE60C6EFDF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C3-43D0-8FE9-7FE60C6EFD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3_TT5&amp;FC7_ByCustomer-Pro'!$Q$165:$Q$168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C3-43D0-8FE9-7FE60C6EFDFD}"/>
            </c:ext>
          </c:extLst>
        </c:ser>
        <c:ser>
          <c:idx val="1"/>
          <c:order val="1"/>
          <c:tx>
            <c:strRef>
              <c:f>'Chart 3_TT5&amp;FC7_ByCustomer-Pro'!$R$164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C3-43D0-8FE9-7FE60C6EFD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3_TT5&amp;FC7_ByCustomer-Pro'!$R$165:$R$168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C3-43D0-8FE9-7FE60C6EFDFD}"/>
            </c:ext>
          </c:extLst>
        </c:ser>
        <c:ser>
          <c:idx val="2"/>
          <c:order val="2"/>
          <c:tx>
            <c:strRef>
              <c:f>'Chart 3_TT5&amp;FC7_ByCustomer-Pro'!$S$164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9C3-43D0-8FE9-7FE60C6EFDF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9C3-43D0-8FE9-7FE60C6EFD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3_TT5&amp;FC7_ByCustomer-Pro'!$S$165:$S$168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C3-43D0-8FE9-7FE60C6EFDFD}"/>
            </c:ext>
          </c:extLst>
        </c:ser>
        <c:ser>
          <c:idx val="3"/>
          <c:order val="3"/>
          <c:tx>
            <c:strRef>
              <c:f>'Chart 3_TT5&amp;FC7_ByCustomer-Pro'!$T$164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3_TT5&amp;FC7_ByCustomer-Pro'!$T$165:$T$168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C3-43D0-8FE9-7FE60C6EF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Polycore Global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3_TT5&amp;FC7_ByCustomer-Pro'!$D$164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3_TT5&amp;FC7_ByCustomer-Pro'!$D$165:$D$172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81.500374978905498</c:v>
                </c:pt>
                <c:pt idx="2">
                  <c:v>0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67-4F2A-8AE4-DC7C9CE76C8B}"/>
            </c:ext>
          </c:extLst>
        </c:ser>
        <c:ser>
          <c:idx val="1"/>
          <c:order val="1"/>
          <c:tx>
            <c:strRef>
              <c:f>'Chart 3_TT5&amp;FC7_ByCustomer-Pro'!$E$164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67-4F2A-8AE4-DC7C9CE76C8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36-4B72-A59A-C3E4804114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3_TT5&amp;FC7_ByCustomer-Pro'!$E$165:$E$172</c:f>
              <c:numCache>
                <c:formatCode>_(* #,##0_);_(* \(#,##0\);_(* "-"??_);_(@_)</c:formatCode>
                <c:ptCount val="8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67-4F2A-8AE4-DC7C9CE76C8B}"/>
            </c:ext>
          </c:extLst>
        </c:ser>
        <c:ser>
          <c:idx val="2"/>
          <c:order val="2"/>
          <c:tx>
            <c:strRef>
              <c:f>'Chart 3_TT5&amp;FC7_ByCustomer-Pro'!$F$164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167-4F2A-8AE4-DC7C9CE76C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3_TT5&amp;FC7_ByCustomer-Pro'!$F$165:$F$172</c:f>
              <c:numCache>
                <c:formatCode>_(* #,##0_);_(* \(#,##0\);_(* "-"??_);_(@_)</c:formatCode>
                <c:ptCount val="8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167-4F2A-8AE4-DC7C9CE76C8B}"/>
            </c:ext>
          </c:extLst>
        </c:ser>
        <c:ser>
          <c:idx val="3"/>
          <c:order val="3"/>
          <c:tx>
            <c:strRef>
              <c:f>'Chart 3_TT5&amp;FC7_ByCustomer-Pro'!$G$164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36-4B72-A59A-C3E4804114D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36-4B72-A59A-C3E4804114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3_TT5&amp;FC7_ByCustomer-Pro'!$G$165:$G$172</c:f>
              <c:numCache>
                <c:formatCode>_(* #,##0_);_(* \(#,##0\);_(* "-"??_);_(@_)</c:formatCode>
                <c:ptCount val="8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167-4F2A-8AE4-DC7C9CE76C8B}"/>
            </c:ext>
          </c:extLst>
        </c:ser>
        <c:ser>
          <c:idx val="4"/>
          <c:order val="4"/>
          <c:tx>
            <c:strRef>
              <c:f>'Chart 3_TT5&amp;FC7_ByCustomer-Pro'!$H$164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3_TT5&amp;FC7_ByCustomer-Pro'!$H$165:$H$172</c:f>
              <c:numCache>
                <c:formatCode>0%</c:formatCode>
                <c:ptCount val="8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C3-47DC-A85A-18D48F87E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C-4F07-B364-A24AA0223205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C-4F07-B364-A24AA0223205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C-4F07-B364-A24AA022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Uy Kiệt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02-4003-B53C-B613447CE9D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2-4003-B53C-B613447CE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3_TT5&amp;FC7_ByCustomer-Pro'!$Q$132:$Q$136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02-4003-B53C-B613447CE9D7}"/>
            </c:ext>
          </c:extLst>
        </c:ser>
        <c:ser>
          <c:idx val="1"/>
          <c:order val="1"/>
          <c:tx>
            <c:strRef>
              <c:f>'Chart 3_TT5&amp;FC7_ByCustomer-Pro'!$R$131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02-4003-B53C-B613447CE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3_TT5&amp;FC7_ByCustomer-Pro'!$R$132:$R$136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02-4003-B53C-B613447CE9D7}"/>
            </c:ext>
          </c:extLst>
        </c:ser>
        <c:ser>
          <c:idx val="2"/>
          <c:order val="2"/>
          <c:tx>
            <c:strRef>
              <c:f>'Chart 3_TT5&amp;FC7_ByCustomer-Pro'!$S$131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D02-4003-B53C-B613447CE9D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D02-4003-B53C-B613447CE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3_TT5&amp;FC7_ByCustomer-Pro'!$S$132:$S$136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D02-4003-B53C-B613447CE9D7}"/>
            </c:ext>
          </c:extLst>
        </c:ser>
        <c:ser>
          <c:idx val="3"/>
          <c:order val="3"/>
          <c:tx>
            <c:strRef>
              <c:f>'Chart 3_TT5&amp;FC7_ByCustomer-Pro'!$T$131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D02-4003-B53C-B613447CE9D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3_TT5&amp;FC7_ByCustomer-Pro'!$T$132:$T$136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D02-4003-B53C-B613447CE9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Uy Kiệt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3_TT5&amp;FC7_ByCustomer-Pro'!$D$131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3_TT5&amp;FC7_ByCustomer-Pro'!$D$132:$D$139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83-453C-A08D-AFF22EC63BB5}"/>
            </c:ext>
          </c:extLst>
        </c:ser>
        <c:ser>
          <c:idx val="1"/>
          <c:order val="1"/>
          <c:tx>
            <c:strRef>
              <c:f>'Chart 3_TT5&amp;FC7_ByCustomer-Pro'!$E$131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83-453C-A08D-AFF22EC63BB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62-4086-8D3D-3E2FE96FA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3_TT5&amp;FC7_ByCustomer-Pro'!$E$132:$E$139</c:f>
              <c:numCache>
                <c:formatCode>_(* #,##0_);_(* \(#,##0\);_(* "-"??_);_(@_)</c:formatCode>
                <c:ptCount val="8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83-453C-A08D-AFF22EC63BB5}"/>
            </c:ext>
          </c:extLst>
        </c:ser>
        <c:ser>
          <c:idx val="2"/>
          <c:order val="2"/>
          <c:tx>
            <c:strRef>
              <c:f>'Chart 3_TT5&amp;FC7_ByCustomer-Pro'!$F$131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83-453C-A08D-AFF22EC63B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3_TT5&amp;FC7_ByCustomer-Pro'!$F$132:$F$139</c:f>
              <c:numCache>
                <c:formatCode>_(* #,##0_);_(* \(#,##0\);_(* "-"??_);_(@_)</c:formatCode>
                <c:ptCount val="8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D83-453C-A08D-AFF22EC63BB5}"/>
            </c:ext>
          </c:extLst>
        </c:ser>
        <c:ser>
          <c:idx val="3"/>
          <c:order val="3"/>
          <c:tx>
            <c:strRef>
              <c:f>'Chart 3_TT5&amp;FC7_ByCustomer-Pro'!$G$131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D83-453C-A08D-AFF22EC63BB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62-4086-8D3D-3E2FE96FA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3_TT5&amp;FC7_ByCustomer-Pro'!$G$132:$G$139</c:f>
              <c:numCache>
                <c:formatCode>_(* #,##0_);_(* \(#,##0\);_(* "-"??_);_(@_)</c:formatCode>
                <c:ptCount val="8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D83-453C-A08D-AFF22EC63BB5}"/>
            </c:ext>
          </c:extLst>
        </c:ser>
        <c:ser>
          <c:idx val="4"/>
          <c:order val="4"/>
          <c:tx>
            <c:strRef>
              <c:f>'Chart 3_TT5&amp;FC7_ByCustomer-Pro'!$H$131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B362-4086-8D3D-3E2FE96FA0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3_TT5&amp;FC7_ByCustomer-Pro'!$H$132:$H$139</c:f>
              <c:numCache>
                <c:formatCode>0%</c:formatCode>
                <c:ptCount val="8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DF1-429B-BC37-B63977E5E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3" Type="http://schemas.openxmlformats.org/officeDocument/2006/relationships/chart" Target="../charts/chart14.xml"/><Relationship Id="rId21" Type="http://schemas.openxmlformats.org/officeDocument/2006/relationships/chart" Target="../charts/chart32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0" Type="http://schemas.openxmlformats.org/officeDocument/2006/relationships/chart" Target="../charts/chart31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19" Type="http://schemas.openxmlformats.org/officeDocument/2006/relationships/chart" Target="../charts/chart30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Relationship Id="rId22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13" Type="http://schemas.openxmlformats.org/officeDocument/2006/relationships/chart" Target="../charts/chart46.xml"/><Relationship Id="rId18" Type="http://schemas.openxmlformats.org/officeDocument/2006/relationships/chart" Target="../charts/chart51.xml"/><Relationship Id="rId3" Type="http://schemas.openxmlformats.org/officeDocument/2006/relationships/chart" Target="../charts/chart36.xml"/><Relationship Id="rId21" Type="http://schemas.openxmlformats.org/officeDocument/2006/relationships/chart" Target="../charts/chart54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17" Type="http://schemas.openxmlformats.org/officeDocument/2006/relationships/chart" Target="../charts/chart50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20" Type="http://schemas.openxmlformats.org/officeDocument/2006/relationships/chart" Target="../charts/chart53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5" Type="http://schemas.openxmlformats.org/officeDocument/2006/relationships/chart" Target="../charts/chart48.xml"/><Relationship Id="rId10" Type="http://schemas.openxmlformats.org/officeDocument/2006/relationships/chart" Target="../charts/chart43.xml"/><Relationship Id="rId19" Type="http://schemas.openxmlformats.org/officeDocument/2006/relationships/chart" Target="../charts/chart52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4" Type="http://schemas.openxmlformats.org/officeDocument/2006/relationships/chart" Target="../charts/chart47.xml"/><Relationship Id="rId22" Type="http://schemas.openxmlformats.org/officeDocument/2006/relationships/chart" Target="../charts/chart5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13" Type="http://schemas.openxmlformats.org/officeDocument/2006/relationships/chart" Target="../charts/chart68.xml"/><Relationship Id="rId18" Type="http://schemas.openxmlformats.org/officeDocument/2006/relationships/chart" Target="../charts/chart73.xml"/><Relationship Id="rId3" Type="http://schemas.openxmlformats.org/officeDocument/2006/relationships/chart" Target="../charts/chart58.xml"/><Relationship Id="rId21" Type="http://schemas.openxmlformats.org/officeDocument/2006/relationships/chart" Target="../charts/chart76.xml"/><Relationship Id="rId7" Type="http://schemas.openxmlformats.org/officeDocument/2006/relationships/chart" Target="../charts/chart62.xml"/><Relationship Id="rId12" Type="http://schemas.openxmlformats.org/officeDocument/2006/relationships/chart" Target="../charts/chart67.xml"/><Relationship Id="rId17" Type="http://schemas.openxmlformats.org/officeDocument/2006/relationships/chart" Target="../charts/chart72.xml"/><Relationship Id="rId2" Type="http://schemas.openxmlformats.org/officeDocument/2006/relationships/chart" Target="../charts/chart57.xml"/><Relationship Id="rId16" Type="http://schemas.openxmlformats.org/officeDocument/2006/relationships/chart" Target="../charts/chart71.xml"/><Relationship Id="rId20" Type="http://schemas.openxmlformats.org/officeDocument/2006/relationships/chart" Target="../charts/chart75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11" Type="http://schemas.openxmlformats.org/officeDocument/2006/relationships/chart" Target="../charts/chart66.xml"/><Relationship Id="rId5" Type="http://schemas.openxmlformats.org/officeDocument/2006/relationships/chart" Target="../charts/chart60.xml"/><Relationship Id="rId15" Type="http://schemas.openxmlformats.org/officeDocument/2006/relationships/chart" Target="../charts/chart70.xml"/><Relationship Id="rId10" Type="http://schemas.openxmlformats.org/officeDocument/2006/relationships/chart" Target="../charts/chart65.xml"/><Relationship Id="rId19" Type="http://schemas.openxmlformats.org/officeDocument/2006/relationships/chart" Target="../charts/chart74.xml"/><Relationship Id="rId4" Type="http://schemas.openxmlformats.org/officeDocument/2006/relationships/chart" Target="../charts/chart59.xml"/><Relationship Id="rId9" Type="http://schemas.openxmlformats.org/officeDocument/2006/relationships/chart" Target="../charts/chart64.xml"/><Relationship Id="rId14" Type="http://schemas.openxmlformats.org/officeDocument/2006/relationships/chart" Target="../charts/chart69.xml"/><Relationship Id="rId22" Type="http://schemas.openxmlformats.org/officeDocument/2006/relationships/chart" Target="../charts/chart7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5.xml"/><Relationship Id="rId13" Type="http://schemas.openxmlformats.org/officeDocument/2006/relationships/chart" Target="../charts/chart90.xml"/><Relationship Id="rId18" Type="http://schemas.openxmlformats.org/officeDocument/2006/relationships/chart" Target="../charts/chart95.xml"/><Relationship Id="rId26" Type="http://schemas.openxmlformats.org/officeDocument/2006/relationships/chart" Target="../charts/chart103.xml"/><Relationship Id="rId3" Type="http://schemas.openxmlformats.org/officeDocument/2006/relationships/chart" Target="../charts/chart80.xml"/><Relationship Id="rId21" Type="http://schemas.openxmlformats.org/officeDocument/2006/relationships/chart" Target="../charts/chart98.xml"/><Relationship Id="rId7" Type="http://schemas.openxmlformats.org/officeDocument/2006/relationships/chart" Target="../charts/chart84.xml"/><Relationship Id="rId12" Type="http://schemas.openxmlformats.org/officeDocument/2006/relationships/chart" Target="../charts/chart89.xml"/><Relationship Id="rId17" Type="http://schemas.openxmlformats.org/officeDocument/2006/relationships/chart" Target="../charts/chart94.xml"/><Relationship Id="rId25" Type="http://schemas.openxmlformats.org/officeDocument/2006/relationships/chart" Target="../charts/chart102.xml"/><Relationship Id="rId2" Type="http://schemas.openxmlformats.org/officeDocument/2006/relationships/chart" Target="../charts/chart79.xml"/><Relationship Id="rId16" Type="http://schemas.openxmlformats.org/officeDocument/2006/relationships/chart" Target="../charts/chart93.xml"/><Relationship Id="rId20" Type="http://schemas.openxmlformats.org/officeDocument/2006/relationships/chart" Target="../charts/chart97.xml"/><Relationship Id="rId1" Type="http://schemas.openxmlformats.org/officeDocument/2006/relationships/chart" Target="../charts/chart78.xml"/><Relationship Id="rId6" Type="http://schemas.openxmlformats.org/officeDocument/2006/relationships/chart" Target="../charts/chart83.xml"/><Relationship Id="rId11" Type="http://schemas.openxmlformats.org/officeDocument/2006/relationships/chart" Target="../charts/chart88.xml"/><Relationship Id="rId24" Type="http://schemas.openxmlformats.org/officeDocument/2006/relationships/chart" Target="../charts/chart101.xml"/><Relationship Id="rId5" Type="http://schemas.openxmlformats.org/officeDocument/2006/relationships/chart" Target="../charts/chart82.xml"/><Relationship Id="rId15" Type="http://schemas.openxmlformats.org/officeDocument/2006/relationships/chart" Target="../charts/chart92.xml"/><Relationship Id="rId23" Type="http://schemas.openxmlformats.org/officeDocument/2006/relationships/chart" Target="../charts/chart100.xml"/><Relationship Id="rId28" Type="http://schemas.openxmlformats.org/officeDocument/2006/relationships/chart" Target="../charts/chart105.xml"/><Relationship Id="rId10" Type="http://schemas.openxmlformats.org/officeDocument/2006/relationships/chart" Target="../charts/chart87.xml"/><Relationship Id="rId19" Type="http://schemas.openxmlformats.org/officeDocument/2006/relationships/chart" Target="../charts/chart96.xml"/><Relationship Id="rId4" Type="http://schemas.openxmlformats.org/officeDocument/2006/relationships/chart" Target="../charts/chart81.xml"/><Relationship Id="rId9" Type="http://schemas.openxmlformats.org/officeDocument/2006/relationships/chart" Target="../charts/chart86.xml"/><Relationship Id="rId14" Type="http://schemas.openxmlformats.org/officeDocument/2006/relationships/chart" Target="../charts/chart91.xml"/><Relationship Id="rId22" Type="http://schemas.openxmlformats.org/officeDocument/2006/relationships/chart" Target="../charts/chart99.xml"/><Relationship Id="rId27" Type="http://schemas.openxmlformats.org/officeDocument/2006/relationships/chart" Target="../charts/chart10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3.xml"/><Relationship Id="rId13" Type="http://schemas.openxmlformats.org/officeDocument/2006/relationships/chart" Target="../charts/chart118.xml"/><Relationship Id="rId18" Type="http://schemas.openxmlformats.org/officeDocument/2006/relationships/chart" Target="../charts/chart123.xml"/><Relationship Id="rId26" Type="http://schemas.openxmlformats.org/officeDocument/2006/relationships/chart" Target="../charts/chart131.xml"/><Relationship Id="rId3" Type="http://schemas.openxmlformats.org/officeDocument/2006/relationships/chart" Target="../charts/chart108.xml"/><Relationship Id="rId21" Type="http://schemas.openxmlformats.org/officeDocument/2006/relationships/chart" Target="../charts/chart126.xml"/><Relationship Id="rId7" Type="http://schemas.openxmlformats.org/officeDocument/2006/relationships/chart" Target="../charts/chart112.xml"/><Relationship Id="rId12" Type="http://schemas.openxmlformats.org/officeDocument/2006/relationships/chart" Target="../charts/chart117.xml"/><Relationship Id="rId17" Type="http://schemas.openxmlformats.org/officeDocument/2006/relationships/chart" Target="../charts/chart122.xml"/><Relationship Id="rId25" Type="http://schemas.openxmlformats.org/officeDocument/2006/relationships/chart" Target="../charts/chart130.xml"/><Relationship Id="rId2" Type="http://schemas.openxmlformats.org/officeDocument/2006/relationships/chart" Target="../charts/chart107.xml"/><Relationship Id="rId16" Type="http://schemas.openxmlformats.org/officeDocument/2006/relationships/chart" Target="../charts/chart121.xml"/><Relationship Id="rId20" Type="http://schemas.openxmlformats.org/officeDocument/2006/relationships/chart" Target="../charts/chart125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11" Type="http://schemas.openxmlformats.org/officeDocument/2006/relationships/chart" Target="../charts/chart116.xml"/><Relationship Id="rId24" Type="http://schemas.openxmlformats.org/officeDocument/2006/relationships/chart" Target="../charts/chart129.xml"/><Relationship Id="rId5" Type="http://schemas.openxmlformats.org/officeDocument/2006/relationships/chart" Target="../charts/chart110.xml"/><Relationship Id="rId15" Type="http://schemas.openxmlformats.org/officeDocument/2006/relationships/chart" Target="../charts/chart120.xml"/><Relationship Id="rId23" Type="http://schemas.openxmlformats.org/officeDocument/2006/relationships/chart" Target="../charts/chart128.xml"/><Relationship Id="rId28" Type="http://schemas.openxmlformats.org/officeDocument/2006/relationships/chart" Target="../charts/chart133.xml"/><Relationship Id="rId10" Type="http://schemas.openxmlformats.org/officeDocument/2006/relationships/chart" Target="../charts/chart115.xml"/><Relationship Id="rId19" Type="http://schemas.openxmlformats.org/officeDocument/2006/relationships/chart" Target="../charts/chart124.xml"/><Relationship Id="rId4" Type="http://schemas.openxmlformats.org/officeDocument/2006/relationships/chart" Target="../charts/chart109.xml"/><Relationship Id="rId9" Type="http://schemas.openxmlformats.org/officeDocument/2006/relationships/chart" Target="../charts/chart114.xml"/><Relationship Id="rId14" Type="http://schemas.openxmlformats.org/officeDocument/2006/relationships/chart" Target="../charts/chart119.xml"/><Relationship Id="rId22" Type="http://schemas.openxmlformats.org/officeDocument/2006/relationships/chart" Target="../charts/chart127.xml"/><Relationship Id="rId27" Type="http://schemas.openxmlformats.org/officeDocument/2006/relationships/chart" Target="../charts/chart1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1.xml"/><Relationship Id="rId13" Type="http://schemas.openxmlformats.org/officeDocument/2006/relationships/chart" Target="../charts/chart146.xml"/><Relationship Id="rId18" Type="http://schemas.openxmlformats.org/officeDocument/2006/relationships/chart" Target="../charts/chart151.xml"/><Relationship Id="rId26" Type="http://schemas.openxmlformats.org/officeDocument/2006/relationships/chart" Target="../charts/chart159.xml"/><Relationship Id="rId3" Type="http://schemas.openxmlformats.org/officeDocument/2006/relationships/chart" Target="../charts/chart136.xml"/><Relationship Id="rId21" Type="http://schemas.openxmlformats.org/officeDocument/2006/relationships/chart" Target="../charts/chart154.xml"/><Relationship Id="rId7" Type="http://schemas.openxmlformats.org/officeDocument/2006/relationships/chart" Target="../charts/chart140.xml"/><Relationship Id="rId12" Type="http://schemas.openxmlformats.org/officeDocument/2006/relationships/chart" Target="../charts/chart145.xml"/><Relationship Id="rId17" Type="http://schemas.openxmlformats.org/officeDocument/2006/relationships/chart" Target="../charts/chart150.xml"/><Relationship Id="rId25" Type="http://schemas.openxmlformats.org/officeDocument/2006/relationships/chart" Target="../charts/chart158.xml"/><Relationship Id="rId2" Type="http://schemas.openxmlformats.org/officeDocument/2006/relationships/chart" Target="../charts/chart135.xml"/><Relationship Id="rId16" Type="http://schemas.openxmlformats.org/officeDocument/2006/relationships/chart" Target="../charts/chart149.xml"/><Relationship Id="rId20" Type="http://schemas.openxmlformats.org/officeDocument/2006/relationships/chart" Target="../charts/chart153.xml"/><Relationship Id="rId1" Type="http://schemas.openxmlformats.org/officeDocument/2006/relationships/chart" Target="../charts/chart134.xml"/><Relationship Id="rId6" Type="http://schemas.openxmlformats.org/officeDocument/2006/relationships/chart" Target="../charts/chart139.xml"/><Relationship Id="rId11" Type="http://schemas.openxmlformats.org/officeDocument/2006/relationships/chart" Target="../charts/chart144.xml"/><Relationship Id="rId24" Type="http://schemas.openxmlformats.org/officeDocument/2006/relationships/chart" Target="../charts/chart157.xml"/><Relationship Id="rId5" Type="http://schemas.openxmlformats.org/officeDocument/2006/relationships/chart" Target="../charts/chart138.xml"/><Relationship Id="rId15" Type="http://schemas.openxmlformats.org/officeDocument/2006/relationships/chart" Target="../charts/chart148.xml"/><Relationship Id="rId23" Type="http://schemas.openxmlformats.org/officeDocument/2006/relationships/chart" Target="../charts/chart156.xml"/><Relationship Id="rId28" Type="http://schemas.openxmlformats.org/officeDocument/2006/relationships/chart" Target="../charts/chart161.xml"/><Relationship Id="rId10" Type="http://schemas.openxmlformats.org/officeDocument/2006/relationships/chart" Target="../charts/chart143.xml"/><Relationship Id="rId19" Type="http://schemas.openxmlformats.org/officeDocument/2006/relationships/chart" Target="../charts/chart152.xml"/><Relationship Id="rId4" Type="http://schemas.openxmlformats.org/officeDocument/2006/relationships/chart" Target="../charts/chart137.xml"/><Relationship Id="rId9" Type="http://schemas.openxmlformats.org/officeDocument/2006/relationships/chart" Target="../charts/chart142.xml"/><Relationship Id="rId14" Type="http://schemas.openxmlformats.org/officeDocument/2006/relationships/chart" Target="../charts/chart147.xml"/><Relationship Id="rId22" Type="http://schemas.openxmlformats.org/officeDocument/2006/relationships/chart" Target="../charts/chart155.xml"/><Relationship Id="rId27" Type="http://schemas.openxmlformats.org/officeDocument/2006/relationships/chart" Target="../charts/chart16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9.xml"/><Relationship Id="rId13" Type="http://schemas.openxmlformats.org/officeDocument/2006/relationships/chart" Target="../charts/chart174.xml"/><Relationship Id="rId18" Type="http://schemas.openxmlformats.org/officeDocument/2006/relationships/chart" Target="../charts/chart179.xml"/><Relationship Id="rId26" Type="http://schemas.openxmlformats.org/officeDocument/2006/relationships/chart" Target="../charts/chart187.xml"/><Relationship Id="rId3" Type="http://schemas.openxmlformats.org/officeDocument/2006/relationships/chart" Target="../charts/chart164.xml"/><Relationship Id="rId21" Type="http://schemas.openxmlformats.org/officeDocument/2006/relationships/chart" Target="../charts/chart182.xml"/><Relationship Id="rId7" Type="http://schemas.openxmlformats.org/officeDocument/2006/relationships/chart" Target="../charts/chart168.xml"/><Relationship Id="rId12" Type="http://schemas.openxmlformats.org/officeDocument/2006/relationships/chart" Target="../charts/chart173.xml"/><Relationship Id="rId17" Type="http://schemas.openxmlformats.org/officeDocument/2006/relationships/chart" Target="../charts/chart178.xml"/><Relationship Id="rId25" Type="http://schemas.openxmlformats.org/officeDocument/2006/relationships/chart" Target="../charts/chart186.xml"/><Relationship Id="rId2" Type="http://schemas.openxmlformats.org/officeDocument/2006/relationships/chart" Target="../charts/chart163.xml"/><Relationship Id="rId16" Type="http://schemas.openxmlformats.org/officeDocument/2006/relationships/chart" Target="../charts/chart177.xml"/><Relationship Id="rId20" Type="http://schemas.openxmlformats.org/officeDocument/2006/relationships/chart" Target="../charts/chart181.xml"/><Relationship Id="rId1" Type="http://schemas.openxmlformats.org/officeDocument/2006/relationships/chart" Target="../charts/chart162.xml"/><Relationship Id="rId6" Type="http://schemas.openxmlformats.org/officeDocument/2006/relationships/chart" Target="../charts/chart167.xml"/><Relationship Id="rId11" Type="http://schemas.openxmlformats.org/officeDocument/2006/relationships/chart" Target="../charts/chart172.xml"/><Relationship Id="rId24" Type="http://schemas.openxmlformats.org/officeDocument/2006/relationships/chart" Target="../charts/chart185.xml"/><Relationship Id="rId5" Type="http://schemas.openxmlformats.org/officeDocument/2006/relationships/chart" Target="../charts/chart166.xml"/><Relationship Id="rId15" Type="http://schemas.openxmlformats.org/officeDocument/2006/relationships/chart" Target="../charts/chart176.xml"/><Relationship Id="rId23" Type="http://schemas.openxmlformats.org/officeDocument/2006/relationships/chart" Target="../charts/chart184.xml"/><Relationship Id="rId28" Type="http://schemas.openxmlformats.org/officeDocument/2006/relationships/chart" Target="../charts/chart189.xml"/><Relationship Id="rId10" Type="http://schemas.openxmlformats.org/officeDocument/2006/relationships/chart" Target="../charts/chart171.xml"/><Relationship Id="rId19" Type="http://schemas.openxmlformats.org/officeDocument/2006/relationships/chart" Target="../charts/chart180.xml"/><Relationship Id="rId4" Type="http://schemas.openxmlformats.org/officeDocument/2006/relationships/chart" Target="../charts/chart165.xml"/><Relationship Id="rId9" Type="http://schemas.openxmlformats.org/officeDocument/2006/relationships/chart" Target="../charts/chart170.xml"/><Relationship Id="rId14" Type="http://schemas.openxmlformats.org/officeDocument/2006/relationships/chart" Target="../charts/chart175.xml"/><Relationship Id="rId22" Type="http://schemas.openxmlformats.org/officeDocument/2006/relationships/chart" Target="../charts/chart183.xml"/><Relationship Id="rId27" Type="http://schemas.openxmlformats.org/officeDocument/2006/relationships/chart" Target="../charts/chart18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127000</xdr:colOff>
      <xdr:row>24</xdr:row>
      <xdr:rowOff>69850</xdr:rowOff>
    </xdr:from>
    <xdr:to>
      <xdr:col>50</xdr:col>
      <xdr:colOff>368300</xdr:colOff>
      <xdr:row>39</xdr:row>
      <xdr:rowOff>50800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119B54-E6D0-E819-77B5-8EB24BCBF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622300</xdr:colOff>
      <xdr:row>15</xdr:row>
      <xdr:rowOff>180975</xdr:rowOff>
    </xdr:from>
    <xdr:to>
      <xdr:col>43</xdr:col>
      <xdr:colOff>69850</xdr:colOff>
      <xdr:row>30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67D79-59F8-7F3B-F3A7-03A4BE5B6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127000</xdr:colOff>
      <xdr:row>55</xdr:row>
      <xdr:rowOff>69850</xdr:rowOff>
    </xdr:from>
    <xdr:to>
      <xdr:col>50</xdr:col>
      <xdr:colOff>368300</xdr:colOff>
      <xdr:row>70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49688-9322-41F2-B53E-6A6D5321F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127000</xdr:colOff>
      <xdr:row>24</xdr:row>
      <xdr:rowOff>69850</xdr:rowOff>
    </xdr:from>
    <xdr:to>
      <xdr:col>50</xdr:col>
      <xdr:colOff>368300</xdr:colOff>
      <xdr:row>39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C3366-163E-412F-AB8B-0FF5FF466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622300</xdr:colOff>
      <xdr:row>15</xdr:row>
      <xdr:rowOff>180975</xdr:rowOff>
    </xdr:from>
    <xdr:to>
      <xdr:col>43</xdr:col>
      <xdr:colOff>69850</xdr:colOff>
      <xdr:row>30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6A8E43-816D-42C2-A2D0-7F11886CF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127000</xdr:colOff>
      <xdr:row>55</xdr:row>
      <xdr:rowOff>69850</xdr:rowOff>
    </xdr:from>
    <xdr:to>
      <xdr:col>50</xdr:col>
      <xdr:colOff>368300</xdr:colOff>
      <xdr:row>70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0EC4BE-F537-4C24-882C-AF6DF67A1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127000</xdr:colOff>
      <xdr:row>24</xdr:row>
      <xdr:rowOff>69850</xdr:rowOff>
    </xdr:from>
    <xdr:to>
      <xdr:col>50</xdr:col>
      <xdr:colOff>368300</xdr:colOff>
      <xdr:row>39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280B3-C05D-46F4-981E-841F53EF2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622300</xdr:colOff>
      <xdr:row>15</xdr:row>
      <xdr:rowOff>180975</xdr:rowOff>
    </xdr:from>
    <xdr:to>
      <xdr:col>43</xdr:col>
      <xdr:colOff>69850</xdr:colOff>
      <xdr:row>30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13C7E6-FB74-457A-B4A9-5C8534343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10</xdr:row>
      <xdr:rowOff>154266</xdr:rowOff>
    </xdr:from>
    <xdr:to>
      <xdr:col>12</xdr:col>
      <xdr:colOff>446367</xdr:colOff>
      <xdr:row>34</xdr:row>
      <xdr:rowOff>131856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4967A-3FF4-4BA9-AE7F-C4F864DB9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222250</xdr:colOff>
      <xdr:row>45</xdr:row>
      <xdr:rowOff>154266</xdr:rowOff>
    </xdr:from>
    <xdr:to>
      <xdr:col>12</xdr:col>
      <xdr:colOff>446367</xdr:colOff>
      <xdr:row>69</xdr:row>
      <xdr:rowOff>131856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2E393F-C31D-41FF-B278-985ACF1F5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46</xdr:row>
      <xdr:rowOff>0</xdr:rowOff>
    </xdr:from>
    <xdr:to>
      <xdr:col>27</xdr:col>
      <xdr:colOff>363817</xdr:colOff>
      <xdr:row>69</xdr:row>
      <xdr:rowOff>161740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5B22E3-743B-4C2F-9425-4AADD25DE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100853</xdr:colOff>
      <xdr:row>10</xdr:row>
      <xdr:rowOff>6350</xdr:rowOff>
    </xdr:from>
    <xdr:to>
      <xdr:col>30</xdr:col>
      <xdr:colOff>170703</xdr:colOff>
      <xdr:row>28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EC961-7DE3-47FB-98A9-F9F322A04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F6A66-5344-1DD2-E854-C4827A442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F13A2A-5764-4310-B7BD-57E6E1BB9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383FC3-2DF0-020A-76BE-905D078E8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ECA1B8-E29D-4F04-8A08-E1D89F839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178544C-0C83-9E93-FF09-0216CB887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B90D4E-0972-4DC2-83C7-D6EF81A57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74EAB1B-3F01-4108-81A9-C276B3EA7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5A64F2-E908-4771-BE88-47DAF6B3C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230675E-C60E-471F-A53D-2D7C0B989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E239470-A230-4C32-BA79-EB3A85F44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C4F8EE2-31B7-4195-8858-8D70D3B3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254001</xdr:colOff>
      <xdr:row>9</xdr:row>
      <xdr:rowOff>141941</xdr:rowOff>
    </xdr:from>
    <xdr:to>
      <xdr:col>21</xdr:col>
      <xdr:colOff>261471</xdr:colOff>
      <xdr:row>34</xdr:row>
      <xdr:rowOff>52295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11D8FE0-E942-47FE-8380-8E0DECB41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73</xdr:row>
      <xdr:rowOff>104589</xdr:rowOff>
    </xdr:from>
    <xdr:to>
      <xdr:col>21</xdr:col>
      <xdr:colOff>381000</xdr:colOff>
      <xdr:row>96</xdr:row>
      <xdr:rowOff>156882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D629D90-3180-4F9D-A28F-FD798D92B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418353</xdr:colOff>
      <xdr:row>42</xdr:row>
      <xdr:rowOff>156882</xdr:rowOff>
    </xdr:from>
    <xdr:to>
      <xdr:col>21</xdr:col>
      <xdr:colOff>298823</xdr:colOff>
      <xdr:row>64</xdr:row>
      <xdr:rowOff>508000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1B71217-BC71-4607-99CD-4C2DB5444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388471</xdr:colOff>
      <xdr:row>104</xdr:row>
      <xdr:rowOff>149413</xdr:rowOff>
    </xdr:from>
    <xdr:to>
      <xdr:col>21</xdr:col>
      <xdr:colOff>343648</xdr:colOff>
      <xdr:row>127</xdr:row>
      <xdr:rowOff>134472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2D70A4A-FF88-47AA-89C3-66B10A426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ABABEE1-9E9A-457F-BA9E-B1C7571D9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2B642A1-7CF2-458C-B5D6-D1ECD502C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254001</xdr:colOff>
      <xdr:row>8</xdr:row>
      <xdr:rowOff>104588</xdr:rowOff>
    </xdr:from>
    <xdr:to>
      <xdr:col>10</xdr:col>
      <xdr:colOff>261471</xdr:colOff>
      <xdr:row>33</xdr:row>
      <xdr:rowOff>14941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5CEAA9E-B01A-4C35-83DD-7AD8BE4E5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433294</xdr:colOff>
      <xdr:row>73</xdr:row>
      <xdr:rowOff>104589</xdr:rowOff>
    </xdr:from>
    <xdr:to>
      <xdr:col>10</xdr:col>
      <xdr:colOff>381000</xdr:colOff>
      <xdr:row>96</xdr:row>
      <xdr:rowOff>156882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FC5A741-489D-441D-9698-3E2BB0F27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418353</xdr:colOff>
      <xdr:row>42</xdr:row>
      <xdr:rowOff>156882</xdr:rowOff>
    </xdr:from>
    <xdr:to>
      <xdr:col>10</xdr:col>
      <xdr:colOff>298823</xdr:colOff>
      <xdr:row>64</xdr:row>
      <xdr:rowOff>508000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0F27D2F-218F-431B-A26B-4EA42A1B7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104</xdr:row>
      <xdr:rowOff>149413</xdr:rowOff>
    </xdr:from>
    <xdr:to>
      <xdr:col>10</xdr:col>
      <xdr:colOff>343648</xdr:colOff>
      <xdr:row>127</xdr:row>
      <xdr:rowOff>134472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571FAAF-6777-463A-AC29-E2D1B9467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338B8-1735-421D-88DF-CA5699CEA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ACF84-63EA-444F-B0BC-F94D8A9BD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0047BC-7F01-40BB-BED0-715310E16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795DA4-3FC4-4189-B24C-F6108BA15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59457-5E69-45BF-A0CF-B46FDE508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A90ACB-CC39-4702-A9B2-21F9F70D6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135FED-FC6C-4FCD-A969-F530754C2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8A4CB2-4425-4766-ADC9-F145F23BD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FEFE9-9BE9-44E6-91D5-DACF3F6A8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943EFB-F75A-4711-B3B8-3A325C94B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674E885-D95D-412B-AD8B-26EAA0553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F5A41D-3C38-4ABD-9EE7-42F384556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324557</xdr:colOff>
      <xdr:row>9</xdr:row>
      <xdr:rowOff>65391</xdr:rowOff>
    </xdr:from>
    <xdr:to>
      <xdr:col>21</xdr:col>
      <xdr:colOff>332027</xdr:colOff>
      <xdr:row>33</xdr:row>
      <xdr:rowOff>156052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281AC2-7E8E-4E43-AB6F-654B01C96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73</xdr:row>
      <xdr:rowOff>104589</xdr:rowOff>
    </xdr:from>
    <xdr:to>
      <xdr:col>21</xdr:col>
      <xdr:colOff>381000</xdr:colOff>
      <xdr:row>96</xdr:row>
      <xdr:rowOff>156882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63C869-369E-4252-B2BC-04249E167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418353</xdr:colOff>
      <xdr:row>42</xdr:row>
      <xdr:rowOff>156882</xdr:rowOff>
    </xdr:from>
    <xdr:to>
      <xdr:col>21</xdr:col>
      <xdr:colOff>298823</xdr:colOff>
      <xdr:row>64</xdr:row>
      <xdr:rowOff>508000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AD486FA-45D5-4F2C-A0C9-02F3897C6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388471</xdr:colOff>
      <xdr:row>104</xdr:row>
      <xdr:rowOff>149413</xdr:rowOff>
    </xdr:from>
    <xdr:to>
      <xdr:col>21</xdr:col>
      <xdr:colOff>343648</xdr:colOff>
      <xdr:row>127</xdr:row>
      <xdr:rowOff>134472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E2BD32-7F98-4D55-843B-BE85EE687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99AEE87-07E6-4C31-B3F4-FE96A2B65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D55AE2E-BBAC-4EC3-8BEC-0AA92B7D4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0</xdr:rowOff>
    </xdr:from>
    <xdr:to>
      <xdr:col>10</xdr:col>
      <xdr:colOff>478117</xdr:colOff>
      <xdr:row>34</xdr:row>
      <xdr:rowOff>52295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C751D76-96C8-4E19-A895-AB469A733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4D30DA7-4FD7-4EC1-9886-52F9EEBD7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418353</xdr:colOff>
      <xdr:row>42</xdr:row>
      <xdr:rowOff>156882</xdr:rowOff>
    </xdr:from>
    <xdr:to>
      <xdr:col>10</xdr:col>
      <xdr:colOff>298823</xdr:colOff>
      <xdr:row>64</xdr:row>
      <xdr:rowOff>508000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87B4D25-716D-4B59-91D9-8EE6BE636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104</xdr:row>
      <xdr:rowOff>149413</xdr:rowOff>
    </xdr:from>
    <xdr:to>
      <xdr:col>10</xdr:col>
      <xdr:colOff>343648</xdr:colOff>
      <xdr:row>127</xdr:row>
      <xdr:rowOff>134472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CD4EB17-6E75-4A41-A271-DE5779225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7BB18-D16B-4273-89ED-F39DFE5DE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33FF5-080E-40DA-AF76-ADFDFC79C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2406E-694D-4433-BEF4-8737AB3DE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A316CE-2613-4F85-A2F0-1829AB860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C83CED-9765-4C3F-A8CE-45D33F9A2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22EC5-E1B6-44CF-9A2B-1B4C8FCA6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0A6FDD-A1F8-48CD-9BEF-67B1DE4A4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44D5FE-81F5-4AAA-98A7-50AE75EDA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D66768-7711-4EE0-ABD1-A2FBE507E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B1D8AA-E781-4688-A2FC-322F587ED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CBF163-C0D9-4DE6-863B-AFB5D48D8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655299C-8D68-447E-BD6A-14797C53B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291355</xdr:colOff>
      <xdr:row>10</xdr:row>
      <xdr:rowOff>29882</xdr:rowOff>
    </xdr:from>
    <xdr:to>
      <xdr:col>21</xdr:col>
      <xdr:colOff>298825</xdr:colOff>
      <xdr:row>34</xdr:row>
      <xdr:rowOff>127001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6694DE-5490-471B-9734-C2908872E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73</xdr:row>
      <xdr:rowOff>104589</xdr:rowOff>
    </xdr:from>
    <xdr:to>
      <xdr:col>21</xdr:col>
      <xdr:colOff>381000</xdr:colOff>
      <xdr:row>96</xdr:row>
      <xdr:rowOff>156882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AA9958F-6055-4CFB-93A7-C59B5450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418353</xdr:colOff>
      <xdr:row>42</xdr:row>
      <xdr:rowOff>156882</xdr:rowOff>
    </xdr:from>
    <xdr:to>
      <xdr:col>21</xdr:col>
      <xdr:colOff>298823</xdr:colOff>
      <xdr:row>64</xdr:row>
      <xdr:rowOff>508000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13C9E71-3C04-45F6-BF52-9F4E5EBF6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388471</xdr:colOff>
      <xdr:row>104</xdr:row>
      <xdr:rowOff>149413</xdr:rowOff>
    </xdr:from>
    <xdr:to>
      <xdr:col>21</xdr:col>
      <xdr:colOff>343648</xdr:colOff>
      <xdr:row>127</xdr:row>
      <xdr:rowOff>134472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554BDD-78E0-4FE1-B3F0-1A6A148E9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242DEF9-DEBC-47D0-B7BC-4482DB157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70707F3-E48E-42CB-BB0A-C65C035E0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0</xdr:rowOff>
    </xdr:from>
    <xdr:to>
      <xdr:col>10</xdr:col>
      <xdr:colOff>478117</xdr:colOff>
      <xdr:row>34</xdr:row>
      <xdr:rowOff>52295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4DFFE0D-C46F-4D69-8E7D-396F167D8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8F65051-2332-4238-A4CF-8660ED679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418353</xdr:colOff>
      <xdr:row>42</xdr:row>
      <xdr:rowOff>156882</xdr:rowOff>
    </xdr:from>
    <xdr:to>
      <xdr:col>10</xdr:col>
      <xdr:colOff>298823</xdr:colOff>
      <xdr:row>64</xdr:row>
      <xdr:rowOff>508000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25FD60D-BC85-4D8E-BE7F-61062DEE2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104</xdr:row>
      <xdr:rowOff>149413</xdr:rowOff>
    </xdr:from>
    <xdr:to>
      <xdr:col>10</xdr:col>
      <xdr:colOff>343648</xdr:colOff>
      <xdr:row>127</xdr:row>
      <xdr:rowOff>134472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CE0332A-EC27-4BD1-90DB-6009E70E8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AD4A8-1389-44C9-959E-021C4FE8C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6002C-A0E0-4F83-A290-53A88286D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9B5A71-DC41-4CE4-89F0-3ADE0AF8B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9D3B80-32D0-452A-866F-C63D75877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C73990-4B32-4DB7-BA75-3A01B8D0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05994B-E8DE-473F-8B0D-EDC419855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5027D0-3ABA-4000-88E8-A520ADA9F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A0E12B-DB8E-4C48-BE8F-266755CCF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08297D-143E-4EDC-9104-815F09829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1C48A2-BD96-4CE1-82E7-524BDFA5D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A73A1A-385D-447D-9F00-F872ABA39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85CD859-7CC1-4F83-9302-60BEA2D5D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184526</xdr:colOff>
      <xdr:row>11</xdr:row>
      <xdr:rowOff>121770</xdr:rowOff>
    </xdr:from>
    <xdr:to>
      <xdr:col>21</xdr:col>
      <xdr:colOff>132231</xdr:colOff>
      <xdr:row>36</xdr:row>
      <xdr:rowOff>32124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FC95C1-76E8-46FE-9EA2-86719278A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74</xdr:row>
      <xdr:rowOff>59766</xdr:rowOff>
    </xdr:from>
    <xdr:to>
      <xdr:col>21</xdr:col>
      <xdr:colOff>381000</xdr:colOff>
      <xdr:row>97</xdr:row>
      <xdr:rowOff>112058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1C66717-CF97-4816-888F-B74D674E4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201706</xdr:colOff>
      <xdr:row>43</xdr:row>
      <xdr:rowOff>141940</xdr:rowOff>
    </xdr:from>
    <xdr:to>
      <xdr:col>21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D8D1D8C-0ECF-44FE-AAE5-99FDAFF52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433295</xdr:colOff>
      <xdr:row>105</xdr:row>
      <xdr:rowOff>149413</xdr:rowOff>
    </xdr:from>
    <xdr:to>
      <xdr:col>21</xdr:col>
      <xdr:colOff>388472</xdr:colOff>
      <xdr:row>128</xdr:row>
      <xdr:rowOff>134473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816C393-BF74-4029-B187-104907944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4C3FBA7-7F08-4BBB-A52B-ED8279FBB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6696477-A972-4E2D-A534-282105F9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330200</xdr:colOff>
      <xdr:row>11</xdr:row>
      <xdr:rowOff>122516</xdr:rowOff>
    </xdr:from>
    <xdr:to>
      <xdr:col>10</xdr:col>
      <xdr:colOff>554317</xdr:colOff>
      <xdr:row>35</xdr:row>
      <xdr:rowOff>100106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7CC349-7B32-447A-B2AD-56D3BF90A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43862CE-1DA7-49E2-9203-573B67CB9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433294</xdr:colOff>
      <xdr:row>43</xdr:row>
      <xdr:rowOff>89647</xdr:rowOff>
    </xdr:from>
    <xdr:to>
      <xdr:col>10</xdr:col>
      <xdr:colOff>313764</xdr:colOff>
      <xdr:row>65</xdr:row>
      <xdr:rowOff>74706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A285909-83FC-4F5A-B27E-84A884B85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105</xdr:row>
      <xdr:rowOff>74707</xdr:rowOff>
    </xdr:from>
    <xdr:to>
      <xdr:col>10</xdr:col>
      <xdr:colOff>343648</xdr:colOff>
      <xdr:row>128</xdr:row>
      <xdr:rowOff>59766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F3F7D36-861B-46C4-9DBF-46ECE0BA4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215900</xdr:colOff>
      <xdr:row>170</xdr:row>
      <xdr:rowOff>0</xdr:rowOff>
    </xdr:from>
    <xdr:to>
      <xdr:col>30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87B32C4-5494-4EEA-B4D2-4A3691024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395942</xdr:colOff>
      <xdr:row>169</xdr:row>
      <xdr:rowOff>37355</xdr:rowOff>
    </xdr:from>
    <xdr:to>
      <xdr:col>21</xdr:col>
      <xdr:colOff>351119</xdr:colOff>
      <xdr:row>192</xdr:row>
      <xdr:rowOff>22413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C7C1E3A-383E-44BC-B990-0F19C72B3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375771</xdr:colOff>
      <xdr:row>168</xdr:row>
      <xdr:rowOff>55657</xdr:rowOff>
    </xdr:from>
    <xdr:to>
      <xdr:col>10</xdr:col>
      <xdr:colOff>330948</xdr:colOff>
      <xdr:row>191</xdr:row>
      <xdr:rowOff>40716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7EA689A-BF9C-4693-8880-6DCDE9B55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22</xdr:col>
      <xdr:colOff>317500</xdr:colOff>
      <xdr:row>138</xdr:row>
      <xdr:rowOff>6350</xdr:rowOff>
    </xdr:from>
    <xdr:to>
      <xdr:col>30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79A7579-9ED5-4F0B-8FC2-D31C18D53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433295</xdr:colOff>
      <xdr:row>136</xdr:row>
      <xdr:rowOff>149413</xdr:rowOff>
    </xdr:from>
    <xdr:to>
      <xdr:col>21</xdr:col>
      <xdr:colOff>388472</xdr:colOff>
      <xdr:row>159</xdr:row>
      <xdr:rowOff>134473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92F78CC-BA87-4218-9D31-8762B51B7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388471</xdr:colOff>
      <xdr:row>136</xdr:row>
      <xdr:rowOff>74707</xdr:rowOff>
    </xdr:from>
    <xdr:to>
      <xdr:col>10</xdr:col>
      <xdr:colOff>343648</xdr:colOff>
      <xdr:row>159</xdr:row>
      <xdr:rowOff>59766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DDAED48-E1B0-4153-8EB5-5CF2DAE68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C48FB-D532-49A3-B178-743E0D53C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5705D-FE32-4BE5-B6CE-4B50B356D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3F13B-73C9-4840-94EB-0FB3701F9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812F1-947D-40C0-9805-D4E38D262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FC8DA2-D4E4-4507-AD5C-9531C33EA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83AA3F-941C-4C9A-B50E-9CB53295D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565B48-94BD-48F3-8DBD-FC8C85299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090E6E-A3EC-4D97-A0B7-9A05B3A2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9E7BA2-42D9-4314-BD3B-3AE3D337D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41A386-9C4D-4018-AC70-1126407F1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3ABD1E-14ED-495C-A6E7-E4ED9C559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D3D18A-A8EC-4C4E-A35C-EC77BBC67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184526</xdr:colOff>
      <xdr:row>11</xdr:row>
      <xdr:rowOff>121770</xdr:rowOff>
    </xdr:from>
    <xdr:to>
      <xdr:col>21</xdr:col>
      <xdr:colOff>132231</xdr:colOff>
      <xdr:row>36</xdr:row>
      <xdr:rowOff>32124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8B58F2-39E0-4340-8FE6-38238B73F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74</xdr:row>
      <xdr:rowOff>59766</xdr:rowOff>
    </xdr:from>
    <xdr:to>
      <xdr:col>21</xdr:col>
      <xdr:colOff>381000</xdr:colOff>
      <xdr:row>97</xdr:row>
      <xdr:rowOff>112058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591057-AF83-4034-8CF0-E4153753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201706</xdr:colOff>
      <xdr:row>43</xdr:row>
      <xdr:rowOff>141940</xdr:rowOff>
    </xdr:from>
    <xdr:to>
      <xdr:col>21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2CE6549-8FA5-47F5-BE24-8738A1D47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433295</xdr:colOff>
      <xdr:row>105</xdr:row>
      <xdr:rowOff>149413</xdr:rowOff>
    </xdr:from>
    <xdr:to>
      <xdr:col>21</xdr:col>
      <xdr:colOff>388472</xdr:colOff>
      <xdr:row>128</xdr:row>
      <xdr:rowOff>134473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E85C150-95E5-4B5B-9C93-F4844BD38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FD71EF9-9A81-4D7D-BB9B-9247CCD90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07FB6A8-E3F7-4132-A0F9-C950D5A22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330200</xdr:colOff>
      <xdr:row>11</xdr:row>
      <xdr:rowOff>122516</xdr:rowOff>
    </xdr:from>
    <xdr:to>
      <xdr:col>10</xdr:col>
      <xdr:colOff>554317</xdr:colOff>
      <xdr:row>35</xdr:row>
      <xdr:rowOff>100106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11753F4-F33B-42AC-99AB-0EC8CFEE0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57C1133-3E2D-4F4F-92DC-11EA2308B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433294</xdr:colOff>
      <xdr:row>43</xdr:row>
      <xdr:rowOff>89647</xdr:rowOff>
    </xdr:from>
    <xdr:to>
      <xdr:col>10</xdr:col>
      <xdr:colOff>313764</xdr:colOff>
      <xdr:row>65</xdr:row>
      <xdr:rowOff>74706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152D0E2-6321-41B3-ABCB-3FE95BC11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105</xdr:row>
      <xdr:rowOff>74707</xdr:rowOff>
    </xdr:from>
    <xdr:to>
      <xdr:col>10</xdr:col>
      <xdr:colOff>343648</xdr:colOff>
      <xdr:row>128</xdr:row>
      <xdr:rowOff>59766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90962C7-C83E-4AD9-A360-F61C71DED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215900</xdr:colOff>
      <xdr:row>170</xdr:row>
      <xdr:rowOff>0</xdr:rowOff>
    </xdr:from>
    <xdr:to>
      <xdr:col>30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FAB9D72-B646-4F2C-8C85-667D6E008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395942</xdr:colOff>
      <xdr:row>169</xdr:row>
      <xdr:rowOff>37355</xdr:rowOff>
    </xdr:from>
    <xdr:to>
      <xdr:col>21</xdr:col>
      <xdr:colOff>351119</xdr:colOff>
      <xdr:row>192</xdr:row>
      <xdr:rowOff>22413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E01C78D-8A11-4F7A-8700-603670EAC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375771</xdr:colOff>
      <xdr:row>168</xdr:row>
      <xdr:rowOff>55657</xdr:rowOff>
    </xdr:from>
    <xdr:to>
      <xdr:col>10</xdr:col>
      <xdr:colOff>330948</xdr:colOff>
      <xdr:row>191</xdr:row>
      <xdr:rowOff>40716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C16CC8D-BF23-4EBF-A2CA-8AE3FF128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22</xdr:col>
      <xdr:colOff>317500</xdr:colOff>
      <xdr:row>138</xdr:row>
      <xdr:rowOff>6350</xdr:rowOff>
    </xdr:from>
    <xdr:to>
      <xdr:col>30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CC7069B-FF73-499E-9338-F848ACB0F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433295</xdr:colOff>
      <xdr:row>136</xdr:row>
      <xdr:rowOff>149413</xdr:rowOff>
    </xdr:from>
    <xdr:to>
      <xdr:col>21</xdr:col>
      <xdr:colOff>388472</xdr:colOff>
      <xdr:row>159</xdr:row>
      <xdr:rowOff>134473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CCE5936-506D-4BE7-B0F0-1C425DD9D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388471</xdr:colOff>
      <xdr:row>136</xdr:row>
      <xdr:rowOff>74707</xdr:rowOff>
    </xdr:from>
    <xdr:to>
      <xdr:col>10</xdr:col>
      <xdr:colOff>343648</xdr:colOff>
      <xdr:row>159</xdr:row>
      <xdr:rowOff>59766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4D52E2D-7E3F-426F-8D05-C552FD403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317500</xdr:colOff>
      <xdr:row>12</xdr:row>
      <xdr:rowOff>6350</xdr:rowOff>
    </xdr:from>
    <xdr:to>
      <xdr:col>32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3E4C0-5B53-48EF-9A51-E93289A48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603250</xdr:colOff>
      <xdr:row>7</xdr:row>
      <xdr:rowOff>171450</xdr:rowOff>
    </xdr:from>
    <xdr:to>
      <xdr:col>51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09E51-32DD-4446-9DA0-FC0072CC6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127000</xdr:colOff>
      <xdr:row>8</xdr:row>
      <xdr:rowOff>19050</xdr:rowOff>
    </xdr:from>
    <xdr:to>
      <xdr:col>43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CEDFE-0946-4965-9C30-64206277C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134471</xdr:colOff>
      <xdr:row>70</xdr:row>
      <xdr:rowOff>55283</xdr:rowOff>
    </xdr:from>
    <xdr:to>
      <xdr:col>51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31D4EF-3756-4CC7-AC44-7025CB4D0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70</xdr:row>
      <xdr:rowOff>0</xdr:rowOff>
    </xdr:from>
    <xdr:to>
      <xdr:col>43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501F91-137F-4BF2-8758-6DFA73827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7471</xdr:colOff>
      <xdr:row>38</xdr:row>
      <xdr:rowOff>115047</xdr:rowOff>
    </xdr:from>
    <xdr:to>
      <xdr:col>43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5DEE1F-AE8F-443D-B574-D2BE588EA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530411</xdr:colOff>
      <xdr:row>38</xdr:row>
      <xdr:rowOff>119529</xdr:rowOff>
    </xdr:from>
    <xdr:to>
      <xdr:col>52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BE4D31-2960-4981-99D7-0C7F95BDF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317500</xdr:colOff>
      <xdr:row>45</xdr:row>
      <xdr:rowOff>6350</xdr:rowOff>
    </xdr:from>
    <xdr:to>
      <xdr:col>32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9C1197-ACFC-46DB-A065-7CA4D34BE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317500</xdr:colOff>
      <xdr:row>76</xdr:row>
      <xdr:rowOff>6350</xdr:rowOff>
    </xdr:from>
    <xdr:to>
      <xdr:col>32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6044EA-DD63-44C0-9967-1F324F270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317500</xdr:colOff>
      <xdr:row>107</xdr:row>
      <xdr:rowOff>6350</xdr:rowOff>
    </xdr:from>
    <xdr:to>
      <xdr:col>32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35843F-424A-498F-8D67-172F5E725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603250</xdr:colOff>
      <xdr:row>7</xdr:row>
      <xdr:rowOff>171450</xdr:rowOff>
    </xdr:from>
    <xdr:to>
      <xdr:col>68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27657C9-B1AC-4E11-A829-855C796A8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127000</xdr:colOff>
      <xdr:row>8</xdr:row>
      <xdr:rowOff>19050</xdr:rowOff>
    </xdr:from>
    <xdr:to>
      <xdr:col>60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F9C325-C374-4B62-BF60-106278161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171826</xdr:colOff>
      <xdr:row>10</xdr:row>
      <xdr:rowOff>134470</xdr:rowOff>
    </xdr:from>
    <xdr:to>
      <xdr:col>23</xdr:col>
      <xdr:colOff>119531</xdr:colOff>
      <xdr:row>35</xdr:row>
      <xdr:rowOff>44824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B3F6D7-75C3-40C1-A165-ED8ABE190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433294</xdr:colOff>
      <xdr:row>74</xdr:row>
      <xdr:rowOff>59766</xdr:rowOff>
    </xdr:from>
    <xdr:to>
      <xdr:col>23</xdr:col>
      <xdr:colOff>381000</xdr:colOff>
      <xdr:row>97</xdr:row>
      <xdr:rowOff>112058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18D5D2-13C9-443D-80E0-C12370FED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201706</xdr:colOff>
      <xdr:row>43</xdr:row>
      <xdr:rowOff>141940</xdr:rowOff>
    </xdr:from>
    <xdr:to>
      <xdr:col>23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E25A5C9-05D5-4E84-A919-E228F9648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433295</xdr:colOff>
      <xdr:row>105</xdr:row>
      <xdr:rowOff>149413</xdr:rowOff>
    </xdr:from>
    <xdr:to>
      <xdr:col>23</xdr:col>
      <xdr:colOff>388472</xdr:colOff>
      <xdr:row>128</xdr:row>
      <xdr:rowOff>134473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6EF89A-B695-4F1D-9C79-BB42A6201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76</xdr:col>
      <xdr:colOff>603250</xdr:colOff>
      <xdr:row>7</xdr:row>
      <xdr:rowOff>171450</xdr:rowOff>
    </xdr:from>
    <xdr:to>
      <xdr:col>84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2C28DF1-FFC5-46FB-A4F1-F31D0A58E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69</xdr:col>
      <xdr:colOff>127000</xdr:colOff>
      <xdr:row>8</xdr:row>
      <xdr:rowOff>19050</xdr:rowOff>
    </xdr:from>
    <xdr:to>
      <xdr:col>76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B208DC4-E743-4AA4-AFF7-07E5C2AF6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97116</xdr:rowOff>
    </xdr:from>
    <xdr:to>
      <xdr:col>11</xdr:col>
      <xdr:colOff>478117</xdr:colOff>
      <xdr:row>34</xdr:row>
      <xdr:rowOff>74706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B0D3A3-6D07-4E2F-B989-55C9AA46F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11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C10C875-8EAB-436D-B938-B8112FCF8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433294</xdr:colOff>
      <xdr:row>43</xdr:row>
      <xdr:rowOff>89647</xdr:rowOff>
    </xdr:from>
    <xdr:to>
      <xdr:col>11</xdr:col>
      <xdr:colOff>313764</xdr:colOff>
      <xdr:row>65</xdr:row>
      <xdr:rowOff>74706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A6AF637-A952-40F5-9447-C0F1500A9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105</xdr:row>
      <xdr:rowOff>74707</xdr:rowOff>
    </xdr:from>
    <xdr:to>
      <xdr:col>11</xdr:col>
      <xdr:colOff>343648</xdr:colOff>
      <xdr:row>128</xdr:row>
      <xdr:rowOff>59766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52E6C6B-9C85-43BB-B060-8E7F7010B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215900</xdr:colOff>
      <xdr:row>170</xdr:row>
      <xdr:rowOff>0</xdr:rowOff>
    </xdr:from>
    <xdr:to>
      <xdr:col>32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52BA22E-479A-441F-8474-28B834494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395942</xdr:colOff>
      <xdr:row>169</xdr:row>
      <xdr:rowOff>37355</xdr:rowOff>
    </xdr:from>
    <xdr:to>
      <xdr:col>23</xdr:col>
      <xdr:colOff>351119</xdr:colOff>
      <xdr:row>192</xdr:row>
      <xdr:rowOff>22413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9E2799-7743-44E7-9D48-0F12C04BA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375771</xdr:colOff>
      <xdr:row>168</xdr:row>
      <xdr:rowOff>55657</xdr:rowOff>
    </xdr:from>
    <xdr:to>
      <xdr:col>11</xdr:col>
      <xdr:colOff>330948</xdr:colOff>
      <xdr:row>191</xdr:row>
      <xdr:rowOff>40716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6A63E7B-129F-4583-BE71-20FF74977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317500</xdr:colOff>
      <xdr:row>138</xdr:row>
      <xdr:rowOff>6350</xdr:rowOff>
    </xdr:from>
    <xdr:to>
      <xdr:col>32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7B4B740-E344-4E35-AA83-05B67D41C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433295</xdr:colOff>
      <xdr:row>136</xdr:row>
      <xdr:rowOff>149413</xdr:rowOff>
    </xdr:from>
    <xdr:to>
      <xdr:col>23</xdr:col>
      <xdr:colOff>388472</xdr:colOff>
      <xdr:row>159</xdr:row>
      <xdr:rowOff>134473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A30C2B6-F32C-47D2-9728-1A78BD27E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388471</xdr:colOff>
      <xdr:row>136</xdr:row>
      <xdr:rowOff>74707</xdr:rowOff>
    </xdr:from>
    <xdr:to>
      <xdr:col>11</xdr:col>
      <xdr:colOff>343648</xdr:colOff>
      <xdr:row>159</xdr:row>
      <xdr:rowOff>59766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836A37F-9B8F-4D7B-839B-1E10214CF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317500</xdr:colOff>
      <xdr:row>12</xdr:row>
      <xdr:rowOff>6350</xdr:rowOff>
    </xdr:from>
    <xdr:to>
      <xdr:col>32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40514-1E91-4FBA-B5A8-C585B19EE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603250</xdr:colOff>
      <xdr:row>7</xdr:row>
      <xdr:rowOff>171450</xdr:rowOff>
    </xdr:from>
    <xdr:to>
      <xdr:col>51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7E576D-FE31-4452-81DB-27DBA9375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127000</xdr:colOff>
      <xdr:row>8</xdr:row>
      <xdr:rowOff>19050</xdr:rowOff>
    </xdr:from>
    <xdr:to>
      <xdr:col>43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273CC-78DE-44CB-AEC4-01E4F44B5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134471</xdr:colOff>
      <xdr:row>70</xdr:row>
      <xdr:rowOff>55283</xdr:rowOff>
    </xdr:from>
    <xdr:to>
      <xdr:col>51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D750FB-CC2D-46F2-8D6C-FCE62C3F1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70</xdr:row>
      <xdr:rowOff>0</xdr:rowOff>
    </xdr:from>
    <xdr:to>
      <xdr:col>43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09AB6F-90F7-48F0-B6F0-C28349A18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7471</xdr:colOff>
      <xdr:row>38</xdr:row>
      <xdr:rowOff>115047</xdr:rowOff>
    </xdr:from>
    <xdr:to>
      <xdr:col>43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5B3E2F-02C7-4C60-BB1A-A2E653C1E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530411</xdr:colOff>
      <xdr:row>38</xdr:row>
      <xdr:rowOff>119529</xdr:rowOff>
    </xdr:from>
    <xdr:to>
      <xdr:col>52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BD17B-7D56-48D2-AA9A-862DDB7FF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317500</xdr:colOff>
      <xdr:row>45</xdr:row>
      <xdr:rowOff>6350</xdr:rowOff>
    </xdr:from>
    <xdr:to>
      <xdr:col>32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0A292D-905A-495E-A103-C75AA1933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317500</xdr:colOff>
      <xdr:row>76</xdr:row>
      <xdr:rowOff>6350</xdr:rowOff>
    </xdr:from>
    <xdr:to>
      <xdr:col>32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677DB5-4353-407C-82B8-2A1BB4CFE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317500</xdr:colOff>
      <xdr:row>107</xdr:row>
      <xdr:rowOff>6350</xdr:rowOff>
    </xdr:from>
    <xdr:to>
      <xdr:col>32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736765-4888-44CF-867A-7F07C92A9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603250</xdr:colOff>
      <xdr:row>7</xdr:row>
      <xdr:rowOff>171450</xdr:rowOff>
    </xdr:from>
    <xdr:to>
      <xdr:col>68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9003E2-2DBD-40FE-BE06-DEEB738C8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127000</xdr:colOff>
      <xdr:row>8</xdr:row>
      <xdr:rowOff>19050</xdr:rowOff>
    </xdr:from>
    <xdr:to>
      <xdr:col>60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89E2BB-10BE-4E77-97AF-D7140F92A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361950</xdr:colOff>
      <xdr:row>13</xdr:row>
      <xdr:rowOff>134470</xdr:rowOff>
    </xdr:from>
    <xdr:to>
      <xdr:col>23</xdr:col>
      <xdr:colOff>233831</xdr:colOff>
      <xdr:row>34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531206-1DE4-4648-86E7-3D6A94A5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431800</xdr:colOff>
      <xdr:row>77</xdr:row>
      <xdr:rowOff>171450</xdr:rowOff>
    </xdr:from>
    <xdr:to>
      <xdr:col>23</xdr:col>
      <xdr:colOff>285750</xdr:colOff>
      <xdr:row>96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1C1872-F7DD-4844-8CBA-2886796EE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201706</xdr:colOff>
      <xdr:row>43</xdr:row>
      <xdr:rowOff>141940</xdr:rowOff>
    </xdr:from>
    <xdr:to>
      <xdr:col>23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34C5C18-911C-42B6-8B6A-BA890D41E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146050</xdr:colOff>
      <xdr:row>109</xdr:row>
      <xdr:rowOff>6349</xdr:rowOff>
    </xdr:from>
    <xdr:to>
      <xdr:col>23</xdr:col>
      <xdr:colOff>324972</xdr:colOff>
      <xdr:row>128</xdr:row>
      <xdr:rowOff>82550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9D53AF5-3FAF-4EF2-85AE-0C8331679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76</xdr:col>
      <xdr:colOff>603250</xdr:colOff>
      <xdr:row>7</xdr:row>
      <xdr:rowOff>171450</xdr:rowOff>
    </xdr:from>
    <xdr:to>
      <xdr:col>84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B0C032F-2BD6-42B0-AB38-32A22114A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69</xdr:col>
      <xdr:colOff>127000</xdr:colOff>
      <xdr:row>8</xdr:row>
      <xdr:rowOff>19050</xdr:rowOff>
    </xdr:from>
    <xdr:to>
      <xdr:col>76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3434CA4-F122-45D1-9665-062754E1B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273050</xdr:colOff>
      <xdr:row>13</xdr:row>
      <xdr:rowOff>65366</xdr:rowOff>
    </xdr:from>
    <xdr:to>
      <xdr:col>11</xdr:col>
      <xdr:colOff>209549</xdr:colOff>
      <xdr:row>34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262E6CA-99A9-40D6-A976-19E4FCF1A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463177</xdr:colOff>
      <xdr:row>78</xdr:row>
      <xdr:rowOff>89646</xdr:rowOff>
    </xdr:from>
    <xdr:to>
      <xdr:col>11</xdr:col>
      <xdr:colOff>224118</xdr:colOff>
      <xdr:row>97</xdr:row>
      <xdr:rowOff>74706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4648D9E-1670-4817-B011-925EC997E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537881</xdr:colOff>
      <xdr:row>46</xdr:row>
      <xdr:rowOff>97118</xdr:rowOff>
    </xdr:from>
    <xdr:to>
      <xdr:col>11</xdr:col>
      <xdr:colOff>358586</xdr:colOff>
      <xdr:row>65</xdr:row>
      <xdr:rowOff>119529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68FB5F-CFAB-4995-969C-D4894A937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590178</xdr:colOff>
      <xdr:row>109</xdr:row>
      <xdr:rowOff>127002</xdr:rowOff>
    </xdr:from>
    <xdr:to>
      <xdr:col>11</xdr:col>
      <xdr:colOff>321236</xdr:colOff>
      <xdr:row>128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F504055-E2C3-4775-A563-1F173CE47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215900</xdr:colOff>
      <xdr:row>170</xdr:row>
      <xdr:rowOff>0</xdr:rowOff>
    </xdr:from>
    <xdr:to>
      <xdr:col>32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C00322A-ADB4-4459-97B6-BCC6D8B61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430307</xdr:colOff>
      <xdr:row>174</xdr:row>
      <xdr:rowOff>56031</xdr:rowOff>
    </xdr:from>
    <xdr:to>
      <xdr:col>23</xdr:col>
      <xdr:colOff>385484</xdr:colOff>
      <xdr:row>197</xdr:row>
      <xdr:rowOff>41090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A1912-9309-4652-BD5C-FF806CE29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428065</xdr:colOff>
      <xdr:row>174</xdr:row>
      <xdr:rowOff>48187</xdr:rowOff>
    </xdr:from>
    <xdr:to>
      <xdr:col>11</xdr:col>
      <xdr:colOff>383242</xdr:colOff>
      <xdr:row>197</xdr:row>
      <xdr:rowOff>33246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2B71323-98FB-43FC-AAE5-E0FAEBE38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317500</xdr:colOff>
      <xdr:row>138</xdr:row>
      <xdr:rowOff>6350</xdr:rowOff>
    </xdr:from>
    <xdr:to>
      <xdr:col>32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48EF0C8-6B12-4EA6-B2A5-E56C7518E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</xdr:col>
      <xdr:colOff>156881</xdr:colOff>
      <xdr:row>139</xdr:row>
      <xdr:rowOff>112060</xdr:rowOff>
    </xdr:from>
    <xdr:to>
      <xdr:col>23</xdr:col>
      <xdr:colOff>463177</xdr:colOff>
      <xdr:row>160</xdr:row>
      <xdr:rowOff>156882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3E07F68-1C88-4D68-B953-FBD3D21EC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500530</xdr:colOff>
      <xdr:row>139</xdr:row>
      <xdr:rowOff>97118</xdr:rowOff>
    </xdr:from>
    <xdr:to>
      <xdr:col>11</xdr:col>
      <xdr:colOff>209176</xdr:colOff>
      <xdr:row>160</xdr:row>
      <xdr:rowOff>156882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4A28F44-976B-4C3C-B85C-F2FF2A160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331291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F7C3-10DC-962C-FC87-0AEFF11F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565150"/>
          <a:ext cx="5614491" cy="1365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628988</xdr:colOff>
      <xdr:row>20</xdr:row>
      <xdr:rowOff>95331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A1B94-6530-6B57-084E-D0D4C9436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2527300"/>
          <a:ext cx="6572588" cy="1568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57424</xdr:colOff>
      <xdr:row>33</xdr:row>
      <xdr:rowOff>101681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6973CF-F1DC-0B44-893B-73CC5DEFE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4921250"/>
          <a:ext cx="5340624" cy="15748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9</xdr:col>
      <xdr:colOff>44724</xdr:colOff>
      <xdr:row>43</xdr:row>
      <xdr:rowOff>57229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4D21E6-91D8-821A-A3C1-8D4CF1EC3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6883400"/>
          <a:ext cx="5327924" cy="153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9</xdr:col>
      <xdr:colOff>228883</xdr:colOff>
      <xdr:row>61</xdr:row>
      <xdr:rowOff>6492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B9EC65-C822-3131-68FA-068ABE02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9029700"/>
          <a:ext cx="5512083" cy="2768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9</xdr:col>
      <xdr:colOff>635304</xdr:colOff>
      <xdr:row>73</xdr:row>
      <xdr:rowOff>165184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32BDBE-F530-D5A7-279F-389B0F17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12649200"/>
          <a:ext cx="5918504" cy="1638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8</xdr:col>
      <xdr:colOff>44690</xdr:colOff>
      <xdr:row>99</xdr:row>
      <xdr:rowOff>146247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264EB8-B45E-9A79-15B1-ABCB810C2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0" y="15347950"/>
          <a:ext cx="4667490" cy="38292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%20Z%20Flow.xlsx" TargetMode="External"/><Relationship Id="rId2" Type="http://schemas.openxmlformats.org/officeDocument/2006/relationships/externalLinkPath" Target="file:///C:\Data\G&#272;%20T&#224;i%20ch&#237;nh\Cost%20Controlling\Costing%20Flow%20Chart\01.%20Z%20Flow.xlsx" TargetMode="External"/><Relationship Id="rId1" Type="http://schemas.openxmlformats.org/officeDocument/2006/relationships/externalLinkPath" Target="/Data/G&#272;%20T&#224;i%20ch&#237;nh/Cost%20Controlling/Costing%20Flow%20Chart/01.%20Z%20Flo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TQT/Gi&#225;%20b&#225;n/Gi&#225;%20b&#225;n%20Th&#225;ng_N&#259;m/2026/T05.2026/Gia%20ban%20thang%2005%20theo%20ma%20-%20KTQT.xlsx" TargetMode="External"/><Relationship Id="rId2" Type="http://schemas.openxmlformats.org/officeDocument/2006/relationships/externalLinkPath" Target="file:///C:\Data\KTQT\Gi&#225;%20b&#225;n\Gi&#225;%20b&#225;n%20Th&#225;ng_N&#259;m\2026\T05.2026\Gia%20ban%20thang%2005%20theo%20ma%20-%20KTQT.xlsx" TargetMode="External"/><Relationship Id="rId1" Type="http://schemas.openxmlformats.org/officeDocument/2006/relationships/externalLinkPath" Target="/Data/KTQT/Gi&#225;%20b&#225;n/Gi&#225;%20b&#225;n%20Th&#225;ng_N&#259;m/2026/T05.2026/Gia%20ban%20thang%2005%20theo%20ma%20-%20KTQ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C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QH&#272;KD/03.%20KQHDKD_Danh%20g&#7917;i%20C&#432;/T05.2026/Model_DT_LG%20(updated%20260406).xlsx" TargetMode="External"/><Relationship Id="rId2" Type="http://schemas.openxmlformats.org/officeDocument/2006/relationships/externalLinkPath" Target="file:///C:\Data\G&#272;%20T&#224;i%20ch&#237;nh\KQH&#272;KD\03.%20KQHDKD_Danh%20g&#7917;i%20C&#432;\T05.2026\Model_DT_LG%20(updated%20260406).xlsx" TargetMode="External"/><Relationship Id="rId1" Type="http://schemas.openxmlformats.org/officeDocument/2006/relationships/externalLinkPath" Target="/Data/G&#272;%20T&#224;i%20ch&#237;nh/KQH&#272;KD/03.%20KQHDKD_Danh%20g&#7917;i%20C&#432;/T05.2026/Model_DT_LG%20(updated%20260406)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%20Z%20Flow%20-%2011.800.xlsx" TargetMode="External"/><Relationship Id="rId2" Type="http://schemas.openxmlformats.org/officeDocument/2006/relationships/externalLinkPath" Target="file:///C:\Data\G&#272;%20T&#224;i%20ch&#237;nh\Cost%20Controlling\Costing%20Flow%20Chart\01.%20Z%20Flow%20-%2011.800.xlsx" TargetMode="External"/><Relationship Id="rId1" Type="http://schemas.openxmlformats.org/officeDocument/2006/relationships/externalLinkPath" Target="/Data/G&#272;%20T&#224;i%20ch&#237;nh/Cost%20Controlling/Costing%20Flow%20Chart/01.%20Z%20Flow%20-%2011.8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ảnh báo giá mua từ trạm"/>
      <sheetName val="BOM chuẩn DLOC"/>
      <sheetName val="BOM chuẩn KN"/>
      <sheetName val="BOM chuẩn DLA"/>
      <sheetName val="BOM&amp;NRV"/>
      <sheetName val="GAP"/>
      <sheetName val="GAP (KN)"/>
      <sheetName val="GAP (DLA)"/>
      <sheetName val="GAP (DLO)"/>
      <sheetName val="So sánh thiệt hại"/>
      <sheetName val="Giá mua Chai-Vảy (KN)"/>
      <sheetName val="Giá mua Chai-Vảy (DLA)"/>
      <sheetName val="Giá mua Chai-Vảy (DLO)"/>
      <sheetName val="Giá mua Chai-Vảy"/>
      <sheetName val="Giá mua Chai-Vảy (Giá giảm)"/>
      <sheetName val="Hiệu suất"/>
      <sheetName val="H_Tỷ lệ HH&amp;PS"/>
      <sheetName val="H_Tỷ lệ HH&amp;PS (-PS)"/>
      <sheetName val="Chart"/>
      <sheetName val="Hảo_R&amp;D"/>
      <sheetName val="Hảo_R&amp;D (Vảy sạch)"/>
      <sheetName val="Hảo_R&amp;D (Vảy sạch) (-PS)"/>
      <sheetName val="Hảo_R&amp;D (Vảy sạch) (-PS) (2)"/>
      <sheetName val="Hảo_R&amp;D (Vảy sạch) (giảm giá)"/>
      <sheetName val="Hảo_R&amp;D (Hạt)"/>
      <sheetName val="Hảo_R&amp;D (Hạt) (full stage)-Chai"/>
      <sheetName val="Hảo_R&amp;D (Hạt) (full stage)-MN"/>
      <sheetName val="Hảo_R&amp;D (Hạt-Full stage-Mix)"/>
      <sheetName val="Phượng_QC"/>
      <sheetName val="01. ĐỊNH NGHĨ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BF7">
            <v>571.87902955310426</v>
          </cell>
          <cell r="BR7">
            <v>571.87902955310426</v>
          </cell>
        </row>
        <row r="8">
          <cell r="BF8">
            <v>444.0479132012178</v>
          </cell>
          <cell r="BR8">
            <v>444.0479132012178</v>
          </cell>
        </row>
        <row r="9">
          <cell r="BF9">
            <v>28.570915579648755</v>
          </cell>
          <cell r="BR9">
            <v>28.570915579648755</v>
          </cell>
        </row>
        <row r="14">
          <cell r="BF14">
            <v>1284.4978583339707</v>
          </cell>
          <cell r="BR14">
            <v>1470</v>
          </cell>
        </row>
        <row r="46">
          <cell r="BF46">
            <v>559.20093493535364</v>
          </cell>
          <cell r="BR46">
            <v>559.20093493535364</v>
          </cell>
        </row>
        <row r="47">
          <cell r="BF47">
            <v>437.82855178067598</v>
          </cell>
          <cell r="BR47">
            <v>437.82855178067598</v>
          </cell>
        </row>
        <row r="48">
          <cell r="BF48">
            <v>27.668302818231169</v>
          </cell>
          <cell r="BR48">
            <v>27.668302818231169</v>
          </cell>
        </row>
        <row r="53">
          <cell r="BF53">
            <v>1234.6977895342607</v>
          </cell>
          <cell r="BR53">
            <v>1410</v>
          </cell>
        </row>
        <row r="82">
          <cell r="BF82">
            <v>545.10343237395819</v>
          </cell>
          <cell r="BR82">
            <v>545.10343237395819</v>
          </cell>
        </row>
        <row r="83">
          <cell r="BF83">
            <v>394.8397669584615</v>
          </cell>
          <cell r="BR83">
            <v>394.8397669584615</v>
          </cell>
        </row>
        <row r="84">
          <cell r="BF84">
            <v>26.664635776796022</v>
          </cell>
          <cell r="BR84">
            <v>26.664635776796022</v>
          </cell>
        </row>
        <row r="89">
          <cell r="BF89">
            <v>1156.6078351092156</v>
          </cell>
          <cell r="BR89">
            <v>1380</v>
          </cell>
        </row>
        <row r="127">
          <cell r="BF127">
            <v>531.00592981256273</v>
          </cell>
          <cell r="BR127">
            <v>531.00592981256273</v>
          </cell>
        </row>
        <row r="128">
          <cell r="BF128">
            <v>387.92410130050246</v>
          </cell>
          <cell r="BR128">
            <v>387.92410130050246</v>
          </cell>
        </row>
        <row r="129">
          <cell r="BF129">
            <v>25.660968735360875</v>
          </cell>
          <cell r="BR129">
            <v>25.660968735360875</v>
          </cell>
        </row>
        <row r="134">
          <cell r="BF134">
            <v>1134.590999848426</v>
          </cell>
          <cell r="BR134">
            <v>1310</v>
          </cell>
        </row>
        <row r="219">
          <cell r="BF219">
            <v>528.37011790407792</v>
          </cell>
        </row>
        <row r="220">
          <cell r="BF220">
            <v>269.58540497075546</v>
          </cell>
        </row>
        <row r="221">
          <cell r="BF221">
            <v>30.174784943357949</v>
          </cell>
        </row>
        <row r="226">
          <cell r="BF226">
            <v>1018.1303078181913</v>
          </cell>
        </row>
        <row r="262">
          <cell r="BF262">
            <v>562.40612979970433</v>
          </cell>
        </row>
        <row r="263">
          <cell r="BF263">
            <v>373.76047087498836</v>
          </cell>
        </row>
        <row r="264">
          <cell r="BF264">
            <v>11.424357068921099</v>
          </cell>
        </row>
        <row r="269">
          <cell r="BF269">
            <v>1137.5909577436139</v>
          </cell>
          <cell r="BR269">
            <v>1250</v>
          </cell>
        </row>
      </sheetData>
      <sheetData sheetId="20"/>
      <sheetData sheetId="21"/>
      <sheetData sheetId="22">
        <row r="2">
          <cell r="BP2">
            <v>3666.6666666666665</v>
          </cell>
        </row>
        <row r="3">
          <cell r="BP3">
            <v>7333.333333333333</v>
          </cell>
        </row>
        <row r="4">
          <cell r="BP4">
            <v>14666.666666666666</v>
          </cell>
        </row>
        <row r="5">
          <cell r="BP5">
            <v>3666.6666666666665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ình bày"/>
      <sheetName val="tồn TP 17.04"/>
      <sheetName val="data"/>
    </sheetNames>
    <sheetDataSet>
      <sheetData sheetId="0">
        <row r="17">
          <cell r="H17">
            <v>1060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R"/>
      <sheetName val="&gt;PVM Act_Group"/>
      <sheetName val="PVM_Dthu_Group"/>
      <sheetName val="PVM_LG_Group"/>
      <sheetName val="vs Comparing"/>
      <sheetName val="&gt;PVM Bud_Group"/>
      <sheetName val="PVM_Dthu_Bud_Group"/>
      <sheetName val="PVM_LG_Bud_Group"/>
      <sheetName val="vs Budget"/>
      <sheetName val="vs Budget-2"/>
      <sheetName val="Bud"/>
      <sheetName val="&gt;View"/>
      <sheetName val="Nhóm SP-Mth"/>
      <sheetName val="Suntory"/>
      <sheetName val="GVHB"/>
      <sheetName val="Nội bộ"/>
      <sheetName val="&gt;PVM Actual"/>
      <sheetName val="PVM_Dthu"/>
      <sheetName val="XK-NĐ"/>
      <sheetName val="PVM_LG"/>
      <sheetName val="&gt;PVM Bud"/>
      <sheetName val="PV_Dthu_Bud"/>
      <sheetName val="PVM_LG_Bud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ảnh báo giá mua từ trạm"/>
      <sheetName val="BOM chuẩn DLOC"/>
      <sheetName val="BOM chuẩn KN"/>
      <sheetName val="BOM chuẩn DLA"/>
      <sheetName val="BOM&amp;NRV"/>
      <sheetName val="GAP"/>
      <sheetName val="GAP (KN)"/>
      <sheetName val="GAP (DLA)"/>
      <sheetName val="GAP (DLO)"/>
      <sheetName val="So sánh thiệt hại"/>
      <sheetName val="Giá mua Chai-Vảy (KN)"/>
      <sheetName val="Giá mua Chai-Vảy (DLA)"/>
      <sheetName val="Giá mua Chai-Vảy (DLO)"/>
      <sheetName val="Giá mua Chai-Vảy"/>
      <sheetName val="Giá mua Chai-Vảy (Giá giảm)"/>
      <sheetName val="Hiệu suất"/>
      <sheetName val="H_Tỷ lệ HH&amp;PS"/>
      <sheetName val="H_Tỷ lệ HH&amp;PS (-PS)"/>
      <sheetName val="Chart"/>
      <sheetName val="Hảo_R&amp;D"/>
      <sheetName val="Hảo_R&amp;D (Vảy sạch)"/>
      <sheetName val="Hảo_R&amp;D (Vảy sạch) (-PS)"/>
      <sheetName val="Hảo_R&amp;D (Vảy sạch) (-PS) (2)"/>
      <sheetName val="Hảo_R&amp;D (Vảy sạch) (giảm giá)"/>
      <sheetName val="Hảo_R&amp;D (Hạt)"/>
      <sheetName val="Hảo_R&amp;D (Hạt) (full stage)-Chai"/>
      <sheetName val="Hảo_R&amp;D (Hạt) (full stage)-MN"/>
      <sheetName val="Hảo_R&amp;D (Hạt-Full stage-Mix)"/>
      <sheetName val="Phượng_QC"/>
      <sheetName val="01. ĐỊNH NGHĨ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BF7">
            <v>597.18341139173708</v>
          </cell>
        </row>
        <row r="8">
          <cell r="BF8">
            <v>444.04791320121774</v>
          </cell>
        </row>
        <row r="9">
          <cell r="BF9">
            <v>31.382513561719055</v>
          </cell>
        </row>
        <row r="14">
          <cell r="BF14">
            <v>1312.6138381546739</v>
          </cell>
        </row>
        <row r="46">
          <cell r="BF46">
            <v>584.25002356238429</v>
          </cell>
        </row>
        <row r="47">
          <cell r="BF47">
            <v>437.97215413372527</v>
          </cell>
        </row>
        <row r="48">
          <cell r="BF48">
            <v>30.439850080353754</v>
          </cell>
        </row>
        <row r="53">
          <cell r="BF53">
            <v>1262.6620277764632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ư, Lê Hoành" id="{FD19939A-67AC-4E40-906F-E224F5B260D1}" userId="S::CuLH@duytanrecycling.com::8040f1d9-fc08-4340-919f-e31835b096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6-05-26T01:44:58.18" personId="{FD19939A-67AC-4E40-906F-E224F5B260D1}" id="{CF9AE2D0-9ED7-4731-ACD8-60F3875C2F70}">
    <text>Tham chiếu Slide 8: Trình giá bán T5.2026</text>
  </threadedComment>
  <threadedComment ref="E74" dT="2026-05-26T06:16:06.75" personId="{FD19939A-67AC-4E40-906F-E224F5B260D1}" id="{2D87CD4A-A7BF-4FF4-B4A2-0A5079D2A0AC}">
    <text>Tham chiếu trình giá T5.2026: Slide 7</text>
  </threadedComment>
  <threadedComment ref="E136" dT="2026-05-26T03:16:09.39" personId="{FD19939A-67AC-4E40-906F-E224F5B260D1}" id="{0B00523E-6BAD-442E-866C-C601BCBD0064}">
    <text>Tham chiếu silde 10: Trình giá T5.2026</text>
  </threadedComment>
  <threadedComment ref="E168" dT="2026-05-26T03:15:58.68" personId="{FD19939A-67AC-4E40-906F-E224F5B260D1}" id="{549FCE2B-648B-4806-A6C7-A721764283DC}">
    <text>Tham chiếu silde 9: Trình giá T5.2026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6-05-26T01:44:58.18" personId="{FD19939A-67AC-4E40-906F-E224F5B260D1}" id="{5677C6E6-AED3-4E5B-AE82-013A0A0AA9B0}">
    <text>Tham chiếu Slide 8: Trình giá bán T5.2026</text>
  </threadedComment>
  <threadedComment ref="E74" dT="2026-05-26T06:16:06.75" personId="{FD19939A-67AC-4E40-906F-E224F5B260D1}" id="{F9546B64-5BFC-49DF-AFBB-3E2DF626DF48}">
    <text>Tham chiếu trình giá T5.2026: Slide 7</text>
  </threadedComment>
  <threadedComment ref="E136" dT="2026-05-26T03:16:09.39" personId="{FD19939A-67AC-4E40-906F-E224F5B260D1}" id="{5950F3D1-E864-49F7-A801-90045AE57CBC}">
    <text>Tham chiếu silde 10: Trình giá T5.2026</text>
  </threadedComment>
  <threadedComment ref="E168" dT="2026-05-26T03:15:58.68" personId="{FD19939A-67AC-4E40-906F-E224F5B260D1}" id="{A6AB835C-0767-4FDF-942A-BD5643ED0E07}">
    <text>Tham chiếu silde 9: Trình giá T5.2026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0" dT="2026-05-26T01:44:58.18" personId="{FD19939A-67AC-4E40-906F-E224F5B260D1}" id="{52F41D0F-4926-4948-97CD-10621D54D13B}">
    <text>Tham chiếu Slide 8: Trình giá bán T5.2026</text>
  </threadedComment>
  <threadedComment ref="F74" dT="2026-05-26T06:16:06.75" personId="{FD19939A-67AC-4E40-906F-E224F5B260D1}" id="{DB20FE98-2227-4864-BE10-4ECA5DA75795}">
    <text>Tham chiếu trình giá T5.2026: Slide 7</text>
  </threadedComment>
  <threadedComment ref="F136" dT="2026-05-26T03:16:09.39" personId="{FD19939A-67AC-4E40-906F-E224F5B260D1}" id="{380C3C68-2A2A-4B92-92C9-D4C39ABBEE61}">
    <text>Tham chiếu silde 10: Trình giá T5.2026</text>
  </threadedComment>
  <threadedComment ref="F168" dT="2026-05-26T03:15:58.68" personId="{FD19939A-67AC-4E40-906F-E224F5B260D1}" id="{AD26C12A-8846-41F3-A007-5E60BF306B54}">
    <text>Tham chiếu silde 9: Trình giá T5.2026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" dT="2026-05-26T01:44:58.18" personId="{FD19939A-67AC-4E40-906F-E224F5B260D1}" id="{FC1BC7A7-02DC-4426-AB14-3B7FDF58B976}">
    <text>Tham chiếu Slide 8: Trình giá bán T5.2026</text>
  </threadedComment>
  <threadedComment ref="F74" dT="2026-05-26T06:16:06.75" personId="{FD19939A-67AC-4E40-906F-E224F5B260D1}" id="{D602D3E2-8629-4C8F-B4C7-F5FDBAF0DDA0}">
    <text>Tham chiếu trình giá T5.2026: Slide 7</text>
  </threadedComment>
  <threadedComment ref="F136" dT="2026-05-26T03:16:09.39" personId="{FD19939A-67AC-4E40-906F-E224F5B260D1}" id="{371E45F5-B555-440E-B00A-163E0CD1115B}">
    <text>Tham chiếu silde 10: Trình giá T5.2026</text>
  </threadedComment>
  <threadedComment ref="F168" dT="2026-05-26T03:15:58.68" personId="{FD19939A-67AC-4E40-906F-E224F5B260D1}" id="{CF9B597A-884B-4842-A60B-60329127C11C}">
    <text>Tham chiếu silde 9: Trình giá T5.2026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40BE-79AE-4516-BD8D-AB9F079A5243}">
  <sheetPr filterMode="1"/>
  <dimension ref="A1:DP449"/>
  <sheetViews>
    <sheetView showGridLines="0" zoomScale="85" zoomScaleNormal="85" workbookViewId="0">
      <pane xSplit="3" ySplit="4" topLeftCell="BO362" activePane="bottomRight" state="frozen"/>
      <selection pane="topRight" activeCell="C1" sqref="C1"/>
      <selection pane="bottomLeft" activeCell="A5" sqref="A5"/>
      <selection pane="bottomRight" activeCell="A383" sqref="A383"/>
    </sheetView>
  </sheetViews>
  <sheetFormatPr defaultRowHeight="14.5" zeroHeight="1" outlineLevelRow="1" outlineLevelCol="1" x14ac:dyDescent="0.35"/>
  <cols>
    <col min="1" max="1" width="16.08203125" bestFit="1" customWidth="1"/>
    <col min="2" max="2" width="38.08203125" bestFit="1" customWidth="1"/>
    <col min="3" max="3" width="32.33203125" bestFit="1" customWidth="1"/>
    <col min="4" max="7" width="8.08203125" customWidth="1" outlineLevel="1"/>
    <col min="8" max="8" width="9.25" customWidth="1" outlineLevel="1"/>
    <col min="9" max="14" width="8.08203125" customWidth="1" outlineLevel="1"/>
    <col min="15" max="15" width="8.58203125" customWidth="1" outlineLevel="1"/>
    <col min="16" max="16" width="9.83203125" customWidth="1"/>
    <col min="17" max="28" width="8.08203125" bestFit="1" customWidth="1" outlineLevel="1"/>
    <col min="29" max="29" width="9.58203125" bestFit="1" customWidth="1"/>
    <col min="30" max="33" width="8.08203125" bestFit="1" customWidth="1" outlineLevel="1"/>
    <col min="34" max="41" width="8.08203125" customWidth="1" outlineLevel="1"/>
    <col min="43" max="43" width="17.33203125" bestFit="1" customWidth="1" outlineLevel="1"/>
    <col min="44" max="54" width="7.75" bestFit="1" customWidth="1" outlineLevel="1"/>
    <col min="55" max="55" width="8.58203125" bestFit="1" customWidth="1"/>
    <col min="56" max="67" width="7.75" bestFit="1" customWidth="1" outlineLevel="1"/>
    <col min="68" max="68" width="8.58203125" bestFit="1" customWidth="1"/>
    <col min="69" max="72" width="7.75" bestFit="1" customWidth="1" outlineLevel="1"/>
    <col min="73" max="80" width="7.75" customWidth="1" outlineLevel="1"/>
    <col min="81" max="81" width="8.58203125" bestFit="1" customWidth="1"/>
  </cols>
  <sheetData>
    <row r="1" spans="1:120" x14ac:dyDescent="0.35">
      <c r="B1" s="35" t="s">
        <v>361</v>
      </c>
    </row>
    <row r="2" spans="1:120" s="9" customFormat="1" ht="17" x14ac:dyDescent="0.4">
      <c r="B2" s="161" t="s">
        <v>1</v>
      </c>
      <c r="C2" s="164" t="s">
        <v>2</v>
      </c>
      <c r="D2" s="7" t="s">
        <v>351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26" t="s">
        <v>0</v>
      </c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61"/>
      <c r="BV2" s="61"/>
      <c r="BW2" s="61"/>
      <c r="BX2" s="61"/>
      <c r="BY2" s="61"/>
      <c r="BZ2" s="61"/>
      <c r="CA2" s="61"/>
      <c r="CB2" s="61"/>
      <c r="CC2" s="27"/>
      <c r="CD2" s="86" t="s">
        <v>383</v>
      </c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7"/>
      <c r="DI2" s="87"/>
      <c r="DJ2" s="87"/>
      <c r="DK2" s="87"/>
      <c r="DL2" s="87"/>
      <c r="DM2" s="87"/>
      <c r="DN2" s="87"/>
      <c r="DO2" s="87"/>
      <c r="DP2" s="88"/>
    </row>
    <row r="3" spans="1:120" ht="15" thickBot="1" x14ac:dyDescent="0.4">
      <c r="B3" s="162"/>
      <c r="C3" s="165"/>
      <c r="D3" s="5">
        <v>2024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0"/>
      <c r="Q3" s="5">
        <v>2025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>
        <v>2026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4"/>
      <c r="AQ3" s="11">
        <v>2024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1">
        <v>2025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>
        <v>2026</v>
      </c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3"/>
      <c r="CD3" s="89">
        <v>2024</v>
      </c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90"/>
      <c r="CQ3" s="89">
        <v>2025</v>
      </c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90"/>
      <c r="DD3" s="89">
        <v>2026</v>
      </c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101"/>
    </row>
    <row r="4" spans="1:120" s="32" customFormat="1" ht="33" customHeight="1" thickTop="1" thickBot="1" x14ac:dyDescent="0.4">
      <c r="A4" s="32" t="s">
        <v>385</v>
      </c>
      <c r="B4" s="163"/>
      <c r="C4" s="166"/>
      <c r="D4" s="33" t="s">
        <v>352</v>
      </c>
      <c r="E4" s="33" t="s">
        <v>353</v>
      </c>
      <c r="F4" s="33" t="s">
        <v>354</v>
      </c>
      <c r="G4" s="33" t="s">
        <v>355</v>
      </c>
      <c r="H4" s="33" t="s">
        <v>356</v>
      </c>
      <c r="I4" s="33" t="s">
        <v>357</v>
      </c>
      <c r="J4" s="33" t="s">
        <v>358</v>
      </c>
      <c r="K4" s="33" t="s">
        <v>359</v>
      </c>
      <c r="L4" s="33" t="s">
        <v>360</v>
      </c>
      <c r="M4" s="28">
        <v>10</v>
      </c>
      <c r="N4" s="28">
        <v>11</v>
      </c>
      <c r="O4" s="28">
        <v>12</v>
      </c>
      <c r="P4" s="29" t="s">
        <v>350</v>
      </c>
      <c r="Q4" s="33" t="s">
        <v>352</v>
      </c>
      <c r="R4" s="33" t="s">
        <v>353</v>
      </c>
      <c r="S4" s="33" t="s">
        <v>354</v>
      </c>
      <c r="T4" s="33" t="s">
        <v>355</v>
      </c>
      <c r="U4" s="33" t="s">
        <v>356</v>
      </c>
      <c r="V4" s="33" t="s">
        <v>357</v>
      </c>
      <c r="W4" s="33" t="s">
        <v>358</v>
      </c>
      <c r="X4" s="33" t="s">
        <v>359</v>
      </c>
      <c r="Y4" s="33" t="s">
        <v>360</v>
      </c>
      <c r="Z4" s="28">
        <v>10</v>
      </c>
      <c r="AA4" s="28">
        <v>11</v>
      </c>
      <c r="AB4" s="28">
        <v>12</v>
      </c>
      <c r="AC4" s="29" t="s">
        <v>350</v>
      </c>
      <c r="AD4" s="33" t="s">
        <v>352</v>
      </c>
      <c r="AE4" s="33" t="s">
        <v>353</v>
      </c>
      <c r="AF4" s="33" t="s">
        <v>354</v>
      </c>
      <c r="AG4" s="33" t="s">
        <v>355</v>
      </c>
      <c r="AH4" s="60" t="s">
        <v>356</v>
      </c>
      <c r="AI4" s="60" t="s">
        <v>357</v>
      </c>
      <c r="AJ4" s="60" t="s">
        <v>358</v>
      </c>
      <c r="AK4" s="60" t="s">
        <v>359</v>
      </c>
      <c r="AL4" s="60" t="s">
        <v>360</v>
      </c>
      <c r="AM4" s="60">
        <v>10</v>
      </c>
      <c r="AN4" s="60">
        <v>11</v>
      </c>
      <c r="AO4" s="60">
        <v>12</v>
      </c>
      <c r="AP4" s="29" t="s">
        <v>350</v>
      </c>
      <c r="AQ4" s="34" t="s">
        <v>352</v>
      </c>
      <c r="AR4" s="34" t="s">
        <v>353</v>
      </c>
      <c r="AS4" s="34" t="s">
        <v>354</v>
      </c>
      <c r="AT4" s="34" t="s">
        <v>355</v>
      </c>
      <c r="AU4" s="34" t="s">
        <v>356</v>
      </c>
      <c r="AV4" s="34" t="s">
        <v>357</v>
      </c>
      <c r="AW4" s="34" t="s">
        <v>358</v>
      </c>
      <c r="AX4" s="34" t="s">
        <v>359</v>
      </c>
      <c r="AY4" s="34" t="s">
        <v>360</v>
      </c>
      <c r="AZ4" s="30">
        <v>10</v>
      </c>
      <c r="BA4" s="30">
        <v>11</v>
      </c>
      <c r="BB4" s="30">
        <v>12</v>
      </c>
      <c r="BC4" s="31" t="s">
        <v>350</v>
      </c>
      <c r="BD4" s="34" t="s">
        <v>352</v>
      </c>
      <c r="BE4" s="34" t="s">
        <v>353</v>
      </c>
      <c r="BF4" s="34" t="s">
        <v>354</v>
      </c>
      <c r="BG4" s="34" t="s">
        <v>355</v>
      </c>
      <c r="BH4" s="34" t="s">
        <v>356</v>
      </c>
      <c r="BI4" s="34" t="s">
        <v>357</v>
      </c>
      <c r="BJ4" s="34" t="s">
        <v>358</v>
      </c>
      <c r="BK4" s="34" t="s">
        <v>359</v>
      </c>
      <c r="BL4" s="34" t="s">
        <v>360</v>
      </c>
      <c r="BM4" s="30">
        <v>10</v>
      </c>
      <c r="BN4" s="30">
        <v>11</v>
      </c>
      <c r="BO4" s="30">
        <v>12</v>
      </c>
      <c r="BP4" s="31" t="s">
        <v>350</v>
      </c>
      <c r="BQ4" s="34" t="s">
        <v>352</v>
      </c>
      <c r="BR4" s="34" t="s">
        <v>353</v>
      </c>
      <c r="BS4" s="34" t="s">
        <v>354</v>
      </c>
      <c r="BT4" s="34" t="s">
        <v>355</v>
      </c>
      <c r="BU4" s="62" t="s">
        <v>356</v>
      </c>
      <c r="BV4" s="62" t="s">
        <v>357</v>
      </c>
      <c r="BW4" s="62" t="s">
        <v>358</v>
      </c>
      <c r="BX4" s="62" t="s">
        <v>359</v>
      </c>
      <c r="BY4" s="62" t="s">
        <v>360</v>
      </c>
      <c r="BZ4" s="62">
        <v>10</v>
      </c>
      <c r="CA4" s="62">
        <v>11</v>
      </c>
      <c r="CB4" s="62">
        <v>12</v>
      </c>
      <c r="CC4" s="31" t="s">
        <v>350</v>
      </c>
      <c r="CD4" s="91" t="s">
        <v>352</v>
      </c>
      <c r="CE4" s="91" t="s">
        <v>353</v>
      </c>
      <c r="CF4" s="91" t="s">
        <v>354</v>
      </c>
      <c r="CG4" s="91" t="s">
        <v>355</v>
      </c>
      <c r="CH4" s="91" t="s">
        <v>356</v>
      </c>
      <c r="CI4" s="91" t="s">
        <v>357</v>
      </c>
      <c r="CJ4" s="91" t="s">
        <v>358</v>
      </c>
      <c r="CK4" s="91" t="s">
        <v>359</v>
      </c>
      <c r="CL4" s="91" t="s">
        <v>360</v>
      </c>
      <c r="CM4" s="92">
        <v>10</v>
      </c>
      <c r="CN4" s="92">
        <v>11</v>
      </c>
      <c r="CO4" s="92">
        <v>12</v>
      </c>
      <c r="CP4" s="95" t="s">
        <v>350</v>
      </c>
      <c r="CQ4" s="91" t="s">
        <v>352</v>
      </c>
      <c r="CR4" s="91" t="s">
        <v>353</v>
      </c>
      <c r="CS4" s="91" t="s">
        <v>354</v>
      </c>
      <c r="CT4" s="91" t="s">
        <v>355</v>
      </c>
      <c r="CU4" s="91" t="s">
        <v>356</v>
      </c>
      <c r="CV4" s="91" t="s">
        <v>357</v>
      </c>
      <c r="CW4" s="91" t="s">
        <v>358</v>
      </c>
      <c r="CX4" s="91" t="s">
        <v>359</v>
      </c>
      <c r="CY4" s="91" t="s">
        <v>360</v>
      </c>
      <c r="CZ4" s="92">
        <v>10</v>
      </c>
      <c r="DA4" s="92">
        <v>11</v>
      </c>
      <c r="DB4" s="92">
        <v>12</v>
      </c>
      <c r="DC4" s="95" t="s">
        <v>350</v>
      </c>
      <c r="DD4" s="91" t="s">
        <v>352</v>
      </c>
      <c r="DE4" s="91" t="s">
        <v>353</v>
      </c>
      <c r="DF4" s="91" t="s">
        <v>354</v>
      </c>
      <c r="DG4" s="91" t="s">
        <v>355</v>
      </c>
      <c r="DH4" s="93" t="s">
        <v>356</v>
      </c>
      <c r="DI4" s="93" t="s">
        <v>357</v>
      </c>
      <c r="DJ4" s="93" t="s">
        <v>358</v>
      </c>
      <c r="DK4" s="93" t="s">
        <v>359</v>
      </c>
      <c r="DL4" s="93" t="s">
        <v>360</v>
      </c>
      <c r="DM4" s="93">
        <v>10</v>
      </c>
      <c r="DN4" s="93">
        <v>11</v>
      </c>
      <c r="DO4" s="93">
        <v>12</v>
      </c>
      <c r="DP4" s="95" t="s">
        <v>350</v>
      </c>
    </row>
    <row r="5" spans="1:120" s="22" customFormat="1" hidden="1" outlineLevel="1" x14ac:dyDescent="0.35">
      <c r="B5" s="24" t="s">
        <v>3</v>
      </c>
      <c r="C5" s="75" t="s">
        <v>4</v>
      </c>
      <c r="D5" s="77">
        <v>88000</v>
      </c>
      <c r="E5" s="77">
        <v>176000</v>
      </c>
      <c r="F5" s="77">
        <v>286000</v>
      </c>
      <c r="G5" s="77">
        <v>0</v>
      </c>
      <c r="H5" s="77">
        <v>1400000</v>
      </c>
      <c r="I5" s="77">
        <v>600000</v>
      </c>
      <c r="J5" s="77">
        <v>88000</v>
      </c>
      <c r="K5" s="77">
        <v>154000</v>
      </c>
      <c r="L5" s="77">
        <v>242000</v>
      </c>
      <c r="M5" s="77">
        <v>187000</v>
      </c>
      <c r="N5" s="77">
        <v>79200</v>
      </c>
      <c r="O5" s="77">
        <v>239800</v>
      </c>
      <c r="P5" s="80">
        <v>3540000</v>
      </c>
      <c r="Q5" s="77"/>
      <c r="R5" s="77"/>
      <c r="S5" s="77"/>
      <c r="T5" s="77"/>
      <c r="U5" s="77"/>
      <c r="V5" s="77"/>
      <c r="W5" s="77">
        <v>0</v>
      </c>
      <c r="X5" s="77">
        <v>0</v>
      </c>
      <c r="Y5" s="77"/>
      <c r="Z5" s="77">
        <v>60500</v>
      </c>
      <c r="AA5" s="77">
        <v>96800</v>
      </c>
      <c r="AB5" s="77">
        <v>110000</v>
      </c>
      <c r="AC5" s="80">
        <v>267300</v>
      </c>
      <c r="AD5" s="77"/>
      <c r="AE5" s="77">
        <v>33000</v>
      </c>
      <c r="AF5" s="77">
        <v>77000</v>
      </c>
      <c r="AG5" s="77">
        <v>22000</v>
      </c>
      <c r="AH5" s="77"/>
      <c r="AI5" s="77"/>
      <c r="AJ5" s="77"/>
      <c r="AK5" s="77"/>
      <c r="AL5" s="77"/>
      <c r="AM5" s="77"/>
      <c r="AN5" s="77"/>
      <c r="AO5" s="77"/>
      <c r="AP5" s="80">
        <v>132000</v>
      </c>
      <c r="AQ5" s="77">
        <v>1238.9972909538349</v>
      </c>
      <c r="AR5" s="77">
        <v>1236.0481831151494</v>
      </c>
      <c r="AS5" s="77">
        <v>1229.9736436194148</v>
      </c>
      <c r="AT5" s="77"/>
      <c r="AU5" s="77">
        <v>1227.2228496962591</v>
      </c>
      <c r="AV5" s="77">
        <v>1226.6015779535371</v>
      </c>
      <c r="AW5" s="77">
        <v>1321.8483727802397</v>
      </c>
      <c r="AX5" s="77">
        <v>1336.771817131078</v>
      </c>
      <c r="AY5" s="77">
        <v>1360.9667765981239</v>
      </c>
      <c r="AZ5" s="77">
        <v>1338.7940908354437</v>
      </c>
      <c r="BA5" s="77">
        <v>1317.0060577250692</v>
      </c>
      <c r="BB5" s="77">
        <v>1321.6747651726109</v>
      </c>
      <c r="BC5" s="83">
        <v>1258.632796689345</v>
      </c>
      <c r="BD5" s="77"/>
      <c r="BE5" s="77"/>
      <c r="BF5" s="77"/>
      <c r="BG5" s="77"/>
      <c r="BH5" s="77"/>
      <c r="BI5" s="77"/>
      <c r="BJ5" s="77"/>
      <c r="BK5" s="77"/>
      <c r="BL5" s="77"/>
      <c r="BM5" s="77">
        <v>1310.2241253966884</v>
      </c>
      <c r="BN5" s="77">
        <v>1292.5488464852292</v>
      </c>
      <c r="BO5" s="77">
        <v>1311.5730962372852</v>
      </c>
      <c r="BP5" s="83">
        <v>1296.4747349144186</v>
      </c>
      <c r="BQ5" s="77"/>
      <c r="BR5" s="77">
        <v>1298.421049839531</v>
      </c>
      <c r="BS5" s="77">
        <v>1286.9449039300803</v>
      </c>
      <c r="BT5" s="77">
        <v>1288.8697142857145</v>
      </c>
      <c r="BU5" s="77"/>
      <c r="BV5" s="77"/>
      <c r="BW5" s="77"/>
      <c r="BX5" s="77"/>
      <c r="BY5" s="77"/>
      <c r="BZ5" s="77"/>
      <c r="CA5" s="77"/>
      <c r="CB5" s="77"/>
      <c r="CC5" s="83">
        <v>1290.1347421333819</v>
      </c>
      <c r="CD5" s="77">
        <v>22652.271272727274</v>
      </c>
      <c r="CE5" s="77">
        <v>23698.605181818191</v>
      </c>
      <c r="CF5" s="77">
        <v>23937.018688311695</v>
      </c>
      <c r="CG5" s="77"/>
      <c r="CH5" s="77">
        <v>24901.605676004874</v>
      </c>
      <c r="CI5" s="77">
        <v>24637.228862595421</v>
      </c>
      <c r="CJ5" s="77">
        <v>26923.659352272727</v>
      </c>
      <c r="CK5" s="77">
        <v>21709.969207792212</v>
      </c>
      <c r="CL5" s="77">
        <v>22756.025177685951</v>
      </c>
      <c r="CM5" s="77">
        <v>26091.047804487178</v>
      </c>
      <c r="CN5" s="77">
        <v>26825.150519480514</v>
      </c>
      <c r="CO5" s="77">
        <v>27914.628313253015</v>
      </c>
      <c r="CP5" s="96">
        <v>24737.855394610535</v>
      </c>
      <c r="CQ5" s="77"/>
      <c r="CR5" s="77"/>
      <c r="CS5" s="77"/>
      <c r="CT5" s="77"/>
      <c r="CU5" s="77"/>
      <c r="CV5" s="77"/>
      <c r="CW5" s="77"/>
      <c r="CX5" s="77"/>
      <c r="CY5" s="77"/>
      <c r="CZ5" s="77">
        <v>30205.005206611571</v>
      </c>
      <c r="DA5" s="77">
        <v>31105.554080578517</v>
      </c>
      <c r="DB5" s="77">
        <v>31949.205027272732</v>
      </c>
      <c r="DC5" s="96">
        <v>31248.907605686505</v>
      </c>
      <c r="DD5" s="77"/>
      <c r="DE5" s="77">
        <v>32814.241787878789</v>
      </c>
      <c r="DF5" s="77">
        <v>33259.409181818177</v>
      </c>
      <c r="DG5" s="77">
        <v>33259.409175565539</v>
      </c>
      <c r="DH5" s="77"/>
      <c r="DI5" s="77"/>
      <c r="DJ5" s="77"/>
      <c r="DK5" s="77"/>
      <c r="DL5" s="77"/>
      <c r="DM5" s="77"/>
      <c r="DN5" s="77"/>
      <c r="DO5" s="77"/>
      <c r="DP5" s="96">
        <v>33148.117332291229</v>
      </c>
    </row>
    <row r="6" spans="1:120" s="22" customFormat="1" hidden="1" outlineLevel="1" x14ac:dyDescent="0.35">
      <c r="B6" s="24" t="s">
        <v>3</v>
      </c>
      <c r="C6" s="75" t="s">
        <v>5</v>
      </c>
      <c r="D6" s="77"/>
      <c r="E6" s="77">
        <v>33000</v>
      </c>
      <c r="F6" s="77">
        <v>99000</v>
      </c>
      <c r="G6" s="77">
        <v>88000</v>
      </c>
      <c r="H6" s="77">
        <v>-4400</v>
      </c>
      <c r="I6" s="77"/>
      <c r="J6" s="77"/>
      <c r="K6" s="77"/>
      <c r="L6" s="77"/>
      <c r="M6" s="77"/>
      <c r="N6" s="77"/>
      <c r="O6" s="77"/>
      <c r="P6" s="80">
        <v>215600</v>
      </c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80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80"/>
      <c r="AQ6" s="77"/>
      <c r="AR6" s="77">
        <v>1294.3457208524267</v>
      </c>
      <c r="AS6" s="77">
        <v>1254.6300548148954</v>
      </c>
      <c r="AT6" s="77">
        <v>1230.0786128232307</v>
      </c>
      <c r="AU6" s="77">
        <v>1228.2129447746747</v>
      </c>
      <c r="AV6" s="77"/>
      <c r="AW6" s="77"/>
      <c r="AX6" s="77"/>
      <c r="AY6" s="77"/>
      <c r="AZ6" s="77"/>
      <c r="BA6" s="77"/>
      <c r="BB6" s="77"/>
      <c r="BC6" s="83">
        <v>1251.2271112534338</v>
      </c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83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83"/>
      <c r="CD6" s="77"/>
      <c r="CE6" s="77">
        <v>23698.605181818177</v>
      </c>
      <c r="CF6" s="77">
        <v>23937.018688311691</v>
      </c>
      <c r="CG6" s="77">
        <v>23937.014784090909</v>
      </c>
      <c r="CH6" s="77">
        <v>24901.605676004874</v>
      </c>
      <c r="CI6" s="77"/>
      <c r="CJ6" s="77"/>
      <c r="CK6" s="77"/>
      <c r="CL6" s="77"/>
      <c r="CM6" s="77"/>
      <c r="CN6" s="77"/>
      <c r="CO6" s="77"/>
      <c r="CP6" s="96">
        <v>23880.839782784955</v>
      </c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96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96"/>
    </row>
    <row r="7" spans="1:120" s="22" customFormat="1" hidden="1" outlineLevel="1" x14ac:dyDescent="0.35">
      <c r="B7" s="24" t="s">
        <v>3</v>
      </c>
      <c r="C7" s="75" t="s">
        <v>6</v>
      </c>
      <c r="D7" s="77"/>
      <c r="E7" s="77"/>
      <c r="F7" s="77"/>
      <c r="G7" s="77"/>
      <c r="H7" s="77">
        <v>100</v>
      </c>
      <c r="I7" s="77"/>
      <c r="J7" s="77"/>
      <c r="K7" s="77"/>
      <c r="L7" s="77"/>
      <c r="M7" s="77"/>
      <c r="N7" s="77"/>
      <c r="O7" s="77"/>
      <c r="P7" s="80">
        <v>100</v>
      </c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80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80"/>
      <c r="AQ7" s="77"/>
      <c r="AR7" s="77"/>
      <c r="AS7" s="77"/>
      <c r="AT7" s="77"/>
      <c r="AU7" s="77">
        <v>1310.965091428659</v>
      </c>
      <c r="AV7" s="77"/>
      <c r="AW7" s="77"/>
      <c r="AX7" s="77"/>
      <c r="AY7" s="77"/>
      <c r="AZ7" s="77"/>
      <c r="BA7" s="77"/>
      <c r="BB7" s="77"/>
      <c r="BC7" s="83">
        <v>1310.965091428659</v>
      </c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83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83"/>
      <c r="CD7" s="77"/>
      <c r="CE7" s="77"/>
      <c r="CF7" s="77"/>
      <c r="CG7" s="77"/>
      <c r="CH7" s="77">
        <v>24901.605676004874</v>
      </c>
      <c r="CI7" s="77"/>
      <c r="CJ7" s="77"/>
      <c r="CK7" s="77"/>
      <c r="CL7" s="77"/>
      <c r="CM7" s="77"/>
      <c r="CN7" s="77"/>
      <c r="CO7" s="77"/>
      <c r="CP7" s="96">
        <v>24901.605676004874</v>
      </c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96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96"/>
    </row>
    <row r="8" spans="1:120" s="22" customFormat="1" hidden="1" outlineLevel="1" x14ac:dyDescent="0.35">
      <c r="B8" s="24" t="s">
        <v>3</v>
      </c>
      <c r="C8" s="75" t="s">
        <v>7</v>
      </c>
      <c r="D8" s="77"/>
      <c r="E8" s="77"/>
      <c r="F8" s="77"/>
      <c r="G8" s="77"/>
      <c r="H8" s="77"/>
      <c r="I8" s="77"/>
      <c r="J8" s="77"/>
      <c r="K8" s="77"/>
      <c r="L8" s="77"/>
      <c r="M8" s="77">
        <v>200</v>
      </c>
      <c r="N8" s="77"/>
      <c r="O8" s="77">
        <v>44000</v>
      </c>
      <c r="P8" s="80">
        <v>44200</v>
      </c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80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80"/>
      <c r="AQ8" s="77"/>
      <c r="AR8" s="77"/>
      <c r="AS8" s="77"/>
      <c r="AT8" s="77"/>
      <c r="AU8" s="77"/>
      <c r="AV8" s="77"/>
      <c r="AW8" s="77"/>
      <c r="AX8" s="77"/>
      <c r="AY8" s="77"/>
      <c r="AZ8" s="77">
        <v>1306.6096062513275</v>
      </c>
      <c r="BA8" s="77"/>
      <c r="BB8" s="77">
        <v>1314.8793639939545</v>
      </c>
      <c r="BC8" s="83">
        <v>1314.8419442756619</v>
      </c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83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83"/>
      <c r="CD8" s="77"/>
      <c r="CE8" s="77"/>
      <c r="CF8" s="77"/>
      <c r="CG8" s="77"/>
      <c r="CH8" s="77"/>
      <c r="CI8" s="77"/>
      <c r="CJ8" s="77"/>
      <c r="CK8" s="77"/>
      <c r="CL8" s="77"/>
      <c r="CM8" s="77">
        <v>26091.047804487182</v>
      </c>
      <c r="CN8" s="77"/>
      <c r="CO8" s="77">
        <v>27914.628313253012</v>
      </c>
      <c r="CP8" s="96">
        <v>27906.376817738234</v>
      </c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96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96"/>
    </row>
    <row r="9" spans="1:120" s="22" customFormat="1" hidden="1" outlineLevel="1" x14ac:dyDescent="0.35">
      <c r="B9" s="24" t="s">
        <v>3</v>
      </c>
      <c r="C9" s="75" t="s">
        <v>8</v>
      </c>
      <c r="D9" s="77"/>
      <c r="E9" s="77"/>
      <c r="F9" s="77"/>
      <c r="G9" s="77"/>
      <c r="H9" s="77"/>
      <c r="I9" s="77">
        <v>55000</v>
      </c>
      <c r="J9" s="77"/>
      <c r="K9" s="77"/>
      <c r="L9" s="77"/>
      <c r="M9" s="77"/>
      <c r="N9" s="77"/>
      <c r="O9" s="77"/>
      <c r="P9" s="80">
        <v>55000</v>
      </c>
      <c r="Q9" s="77">
        <v>22000</v>
      </c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80">
        <v>22000</v>
      </c>
      <c r="AD9" s="77"/>
      <c r="AE9" s="77"/>
      <c r="AF9" s="77"/>
      <c r="AG9" s="77">
        <v>38500</v>
      </c>
      <c r="AH9" s="77"/>
      <c r="AI9" s="77"/>
      <c r="AJ9" s="77"/>
      <c r="AK9" s="77"/>
      <c r="AL9" s="77"/>
      <c r="AM9" s="77"/>
      <c r="AN9" s="77"/>
      <c r="AO9" s="77"/>
      <c r="AP9" s="80">
        <v>38500</v>
      </c>
      <c r="AQ9" s="77"/>
      <c r="AR9" s="77"/>
      <c r="AS9" s="77"/>
      <c r="AT9" s="77"/>
      <c r="AU9" s="77"/>
      <c r="AV9" s="77">
        <v>1252.7959344253757</v>
      </c>
      <c r="AW9" s="77"/>
      <c r="AX9" s="77"/>
      <c r="AY9" s="77"/>
      <c r="AZ9" s="77"/>
      <c r="BA9" s="77"/>
      <c r="BB9" s="77"/>
      <c r="BC9" s="83">
        <v>1252.7959344253757</v>
      </c>
      <c r="BD9" s="77">
        <v>1289.1609341995484</v>
      </c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83">
        <v>1289.1609341995484</v>
      </c>
      <c r="BQ9" s="77"/>
      <c r="BR9" s="77"/>
      <c r="BS9" s="77"/>
      <c r="BT9" s="77">
        <v>1215.1238095238098</v>
      </c>
      <c r="BU9" s="77"/>
      <c r="BV9" s="77"/>
      <c r="BW9" s="77"/>
      <c r="BX9" s="77"/>
      <c r="BY9" s="77"/>
      <c r="BZ9" s="77"/>
      <c r="CA9" s="77"/>
      <c r="CB9" s="77"/>
      <c r="CC9" s="83">
        <v>1215.1238095238098</v>
      </c>
      <c r="CD9" s="77"/>
      <c r="CE9" s="77"/>
      <c r="CF9" s="77"/>
      <c r="CG9" s="77"/>
      <c r="CH9" s="77"/>
      <c r="CI9" s="77">
        <v>24637.228862595421</v>
      </c>
      <c r="CJ9" s="77"/>
      <c r="CK9" s="77"/>
      <c r="CL9" s="77"/>
      <c r="CM9" s="77"/>
      <c r="CN9" s="77"/>
      <c r="CO9" s="77"/>
      <c r="CP9" s="96">
        <v>24637.228862595421</v>
      </c>
      <c r="CQ9" s="77">
        <v>28427.722318181819</v>
      </c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96">
        <v>28427.722318181819</v>
      </c>
      <c r="DD9" s="77"/>
      <c r="DE9" s="77"/>
      <c r="DF9" s="77"/>
      <c r="DG9" s="77">
        <v>33259.409175565539</v>
      </c>
      <c r="DH9" s="77"/>
      <c r="DI9" s="77"/>
      <c r="DJ9" s="77"/>
      <c r="DK9" s="77"/>
      <c r="DL9" s="77"/>
      <c r="DM9" s="77"/>
      <c r="DN9" s="77"/>
      <c r="DO9" s="77"/>
      <c r="DP9" s="96">
        <v>33259.409175565539</v>
      </c>
    </row>
    <row r="10" spans="1:120" s="22" customFormat="1" hidden="1" outlineLevel="1" x14ac:dyDescent="0.35">
      <c r="B10" s="25" t="s">
        <v>3</v>
      </c>
      <c r="C10" s="75" t="s">
        <v>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>
        <v>13200</v>
      </c>
      <c r="O10" s="77">
        <v>-9900</v>
      </c>
      <c r="P10" s="80">
        <v>3300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80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80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>
        <v>1280.0029491393032</v>
      </c>
      <c r="BB10" s="77">
        <v>1284.1304469127926</v>
      </c>
      <c r="BC10" s="83">
        <v>1267.6204558188351</v>
      </c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83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83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>
        <v>26825.150519480514</v>
      </c>
      <c r="CO10" s="77">
        <v>27914.628313253012</v>
      </c>
      <c r="CP10" s="96">
        <v>23556.717138163032</v>
      </c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96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96"/>
    </row>
    <row r="11" spans="1:120" hidden="1" collapsed="1" x14ac:dyDescent="0.35">
      <c r="A11" t="s">
        <v>364</v>
      </c>
      <c r="B11" s="106" t="s">
        <v>10</v>
      </c>
      <c r="C11" s="76"/>
      <c r="D11" s="78">
        <v>88000</v>
      </c>
      <c r="E11" s="78">
        <v>209000</v>
      </c>
      <c r="F11" s="78">
        <v>385000</v>
      </c>
      <c r="G11" s="78">
        <v>88000</v>
      </c>
      <c r="H11" s="78">
        <v>1395700</v>
      </c>
      <c r="I11" s="78">
        <v>655000</v>
      </c>
      <c r="J11" s="78">
        <v>88000</v>
      </c>
      <c r="K11" s="78">
        <v>154000</v>
      </c>
      <c r="L11" s="78">
        <v>242000</v>
      </c>
      <c r="M11" s="78">
        <v>187200</v>
      </c>
      <c r="N11" s="78">
        <v>92400</v>
      </c>
      <c r="O11" s="78">
        <v>273900</v>
      </c>
      <c r="P11" s="81">
        <v>3858200</v>
      </c>
      <c r="Q11" s="78">
        <v>22000</v>
      </c>
      <c r="R11" s="78"/>
      <c r="S11" s="78"/>
      <c r="T11" s="78"/>
      <c r="U11" s="78"/>
      <c r="V11" s="78"/>
      <c r="W11" s="78">
        <v>0</v>
      </c>
      <c r="X11" s="78">
        <v>0</v>
      </c>
      <c r="Y11" s="78"/>
      <c r="Z11" s="78">
        <v>60500</v>
      </c>
      <c r="AA11" s="78">
        <v>96800</v>
      </c>
      <c r="AB11" s="78">
        <v>110000</v>
      </c>
      <c r="AC11" s="81">
        <v>289300</v>
      </c>
      <c r="AD11" s="78"/>
      <c r="AE11" s="78">
        <v>33000</v>
      </c>
      <c r="AF11" s="78">
        <v>77000</v>
      </c>
      <c r="AG11" s="78">
        <v>60500</v>
      </c>
      <c r="AH11" s="78"/>
      <c r="AI11" s="78"/>
      <c r="AJ11" s="78"/>
      <c r="AK11" s="78"/>
      <c r="AL11" s="78"/>
      <c r="AM11" s="78"/>
      <c r="AN11" s="78"/>
      <c r="AO11" s="78"/>
      <c r="AP11" s="81">
        <v>170500</v>
      </c>
      <c r="AQ11" s="78">
        <v>1238.9972909538349</v>
      </c>
      <c r="AR11" s="78">
        <v>1245.2530574947198</v>
      </c>
      <c r="AS11" s="78">
        <v>1236.3138636411097</v>
      </c>
      <c r="AT11" s="78">
        <v>1230.0786128232307</v>
      </c>
      <c r="AU11" s="78">
        <v>1227.2257283992956</v>
      </c>
      <c r="AV11" s="78">
        <v>1228.801104069493</v>
      </c>
      <c r="AW11" s="78">
        <v>1321.8483727802397</v>
      </c>
      <c r="AX11" s="78">
        <v>1336.771817131078</v>
      </c>
      <c r="AY11" s="78">
        <v>1360.9667765981239</v>
      </c>
      <c r="AZ11" s="78">
        <v>1338.7597057023411</v>
      </c>
      <c r="BA11" s="78">
        <v>1311.7198993556742</v>
      </c>
      <c r="BB11" s="78">
        <v>1321.9401580127396</v>
      </c>
      <c r="BC11" s="84">
        <v>1258.788735630669</v>
      </c>
      <c r="BD11" s="78">
        <v>1289.1609341995484</v>
      </c>
      <c r="BE11" s="78"/>
      <c r="BF11" s="78"/>
      <c r="BG11" s="78"/>
      <c r="BH11" s="78"/>
      <c r="BI11" s="78"/>
      <c r="BJ11" s="78"/>
      <c r="BK11" s="78"/>
      <c r="BL11" s="78"/>
      <c r="BM11" s="78">
        <v>1310.2241253966884</v>
      </c>
      <c r="BN11" s="78">
        <v>1292.5488464852292</v>
      </c>
      <c r="BO11" s="78">
        <v>1311.5730962372852</v>
      </c>
      <c r="BP11" s="84">
        <v>1295.91855235055</v>
      </c>
      <c r="BQ11" s="78"/>
      <c r="BR11" s="78">
        <v>1298.421049839531</v>
      </c>
      <c r="BS11" s="78">
        <v>1286.9449039300803</v>
      </c>
      <c r="BT11" s="78">
        <v>1241.9405021645023</v>
      </c>
      <c r="BU11" s="78"/>
      <c r="BV11" s="78"/>
      <c r="BW11" s="78"/>
      <c r="BX11" s="78"/>
      <c r="BY11" s="78"/>
      <c r="BZ11" s="78"/>
      <c r="CA11" s="78"/>
      <c r="CB11" s="78"/>
      <c r="CC11" s="84">
        <v>1273.1967896086398</v>
      </c>
      <c r="CD11" s="78">
        <v>22652.271272727274</v>
      </c>
      <c r="CE11" s="78">
        <v>23698.605181818191</v>
      </c>
      <c r="CF11" s="78">
        <v>23937.018688311688</v>
      </c>
      <c r="CG11" s="78">
        <v>23937.014784090909</v>
      </c>
      <c r="CH11" s="78">
        <v>24901.60567600487</v>
      </c>
      <c r="CI11" s="78">
        <v>24637.228862595421</v>
      </c>
      <c r="CJ11" s="78">
        <v>26923.659352272727</v>
      </c>
      <c r="CK11" s="78">
        <v>21709.969207792212</v>
      </c>
      <c r="CL11" s="78">
        <v>22756.025177685951</v>
      </c>
      <c r="CM11" s="78">
        <v>26091.047804487178</v>
      </c>
      <c r="CN11" s="78">
        <v>26825.150519480518</v>
      </c>
      <c r="CO11" s="78">
        <v>27914.628313253012</v>
      </c>
      <c r="CP11" s="97">
        <v>24723.823006583396</v>
      </c>
      <c r="CQ11" s="78">
        <v>28427.722318181819</v>
      </c>
      <c r="CR11" s="78"/>
      <c r="CS11" s="78"/>
      <c r="CT11" s="78"/>
      <c r="CU11" s="78"/>
      <c r="CV11" s="78"/>
      <c r="CW11" s="78"/>
      <c r="CX11" s="78"/>
      <c r="CY11" s="78"/>
      <c r="CZ11" s="78">
        <v>30205.005206611571</v>
      </c>
      <c r="DA11" s="78">
        <v>31105.554080578517</v>
      </c>
      <c r="DB11" s="78">
        <v>31949.205027272732</v>
      </c>
      <c r="DC11" s="97">
        <v>31034.368800553071</v>
      </c>
      <c r="DD11" s="78"/>
      <c r="DE11" s="78">
        <v>32814.241787878789</v>
      </c>
      <c r="DF11" s="78">
        <v>33259.409181818177</v>
      </c>
      <c r="DG11" s="78">
        <v>33259.409175565539</v>
      </c>
      <c r="DH11" s="78"/>
      <c r="DI11" s="78"/>
      <c r="DJ11" s="78"/>
      <c r="DK11" s="78"/>
      <c r="DL11" s="78"/>
      <c r="DM11" s="78"/>
      <c r="DN11" s="78"/>
      <c r="DO11" s="78"/>
      <c r="DP11" s="97">
        <v>33173.247748514463</v>
      </c>
    </row>
    <row r="12" spans="1:120" s="22" customFormat="1" hidden="1" outlineLevel="1" x14ac:dyDescent="0.35">
      <c r="B12" s="25" t="s">
        <v>11</v>
      </c>
      <c r="C12" s="75" t="s">
        <v>12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80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>
        <v>44000</v>
      </c>
      <c r="AB12" s="77">
        <v>88000</v>
      </c>
      <c r="AC12" s="80">
        <v>132000</v>
      </c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80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83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>
        <v>1288.1975606581275</v>
      </c>
      <c r="BO12" s="77">
        <v>1289.2791645050297</v>
      </c>
      <c r="BP12" s="83">
        <v>1288.9186298893956</v>
      </c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83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96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>
        <v>30369.749926115925</v>
      </c>
      <c r="DB12" s="77">
        <v>27529.345255813951</v>
      </c>
      <c r="DC12" s="96">
        <v>28476.146812581272</v>
      </c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96"/>
    </row>
    <row r="13" spans="1:120" s="22" customFormat="1" hidden="1" outlineLevel="1" x14ac:dyDescent="0.35">
      <c r="B13" s="25" t="s">
        <v>11</v>
      </c>
      <c r="C13" s="75" t="s">
        <v>13</v>
      </c>
      <c r="D13" s="77">
        <v>44000</v>
      </c>
      <c r="E13" s="77">
        <v>90200</v>
      </c>
      <c r="F13" s="77"/>
      <c r="G13" s="77"/>
      <c r="H13" s="77">
        <v>44000</v>
      </c>
      <c r="I13" s="77"/>
      <c r="J13" s="77"/>
      <c r="K13" s="77">
        <v>57200</v>
      </c>
      <c r="L13" s="77">
        <v>66000</v>
      </c>
      <c r="M13" s="77">
        <v>44000</v>
      </c>
      <c r="N13" s="77">
        <v>44000</v>
      </c>
      <c r="O13" s="77">
        <v>0</v>
      </c>
      <c r="P13" s="80">
        <v>389400</v>
      </c>
      <c r="Q13" s="77">
        <v>88000</v>
      </c>
      <c r="R13" s="77">
        <v>88000</v>
      </c>
      <c r="S13" s="77">
        <v>66000</v>
      </c>
      <c r="T13" s="77"/>
      <c r="U13" s="77"/>
      <c r="V13" s="77"/>
      <c r="W13" s="77"/>
      <c r="X13" s="77"/>
      <c r="Y13" s="77"/>
      <c r="Z13" s="77"/>
      <c r="AA13" s="77"/>
      <c r="AB13" s="77">
        <v>0</v>
      </c>
      <c r="AC13" s="80">
        <v>242000</v>
      </c>
      <c r="AD13" s="77"/>
      <c r="AE13" s="77"/>
      <c r="AF13" s="77">
        <v>44000</v>
      </c>
      <c r="AG13" s="77">
        <v>44000</v>
      </c>
      <c r="AH13" s="77"/>
      <c r="AI13" s="77"/>
      <c r="AJ13" s="77"/>
      <c r="AK13" s="77"/>
      <c r="AL13" s="77"/>
      <c r="AM13" s="77"/>
      <c r="AN13" s="77"/>
      <c r="AO13" s="77"/>
      <c r="AP13" s="80">
        <v>88000</v>
      </c>
      <c r="AQ13" s="77">
        <v>1333.3149725084886</v>
      </c>
      <c r="AR13" s="77">
        <v>1337.4926983941939</v>
      </c>
      <c r="AS13" s="77"/>
      <c r="AT13" s="77"/>
      <c r="AU13" s="77">
        <v>1337.2728663532664</v>
      </c>
      <c r="AV13" s="77"/>
      <c r="AW13" s="77"/>
      <c r="AX13" s="77">
        <v>1347.7288305068505</v>
      </c>
      <c r="AY13" s="77">
        <v>1317.1049186090199</v>
      </c>
      <c r="AZ13" s="77">
        <v>1323.3574389690857</v>
      </c>
      <c r="BA13" s="77">
        <v>1333.9825713773459</v>
      </c>
      <c r="BB13" s="77"/>
      <c r="BC13" s="83">
        <v>1333.0500269478773</v>
      </c>
      <c r="BD13" s="77">
        <v>1336.7138906884131</v>
      </c>
      <c r="BE13" s="77">
        <v>1411.0778313901553</v>
      </c>
      <c r="BF13" s="77">
        <v>1416.5304122895218</v>
      </c>
      <c r="BG13" s="77"/>
      <c r="BH13" s="77"/>
      <c r="BI13" s="77"/>
      <c r="BJ13" s="77"/>
      <c r="BK13" s="77"/>
      <c r="BL13" s="77"/>
      <c r="BM13" s="77"/>
      <c r="BN13" s="77"/>
      <c r="BO13" s="77"/>
      <c r="BP13" s="83">
        <v>1411.6910855051065</v>
      </c>
      <c r="BQ13" s="77"/>
      <c r="BR13" s="77"/>
      <c r="BS13" s="77">
        <v>1267.5166375773731</v>
      </c>
      <c r="BT13" s="77">
        <v>1274.4285714285716</v>
      </c>
      <c r="BU13" s="77"/>
      <c r="BV13" s="77"/>
      <c r="BW13" s="77"/>
      <c r="BX13" s="77"/>
      <c r="BY13" s="77"/>
      <c r="BZ13" s="77"/>
      <c r="CA13" s="77"/>
      <c r="CB13" s="77"/>
      <c r="CC13" s="83">
        <v>1270.9726045029724</v>
      </c>
      <c r="CD13" s="77">
        <v>21238.243532735531</v>
      </c>
      <c r="CE13" s="77">
        <v>22878.931928229667</v>
      </c>
      <c r="CF13" s="77"/>
      <c r="CG13" s="77"/>
      <c r="CH13" s="77">
        <v>24249.993818181818</v>
      </c>
      <c r="CI13" s="77"/>
      <c r="CJ13" s="77"/>
      <c r="CK13" s="77">
        <v>31248.214809649042</v>
      </c>
      <c r="CL13" s="77">
        <v>29615.281548542393</v>
      </c>
      <c r="CM13" s="77">
        <v>28196.916496368642</v>
      </c>
      <c r="CN13" s="77">
        <v>27347.502998826298</v>
      </c>
      <c r="CO13" s="77"/>
      <c r="CP13" s="96">
        <v>26325.431511224906</v>
      </c>
      <c r="CQ13" s="77">
        <v>26518.028670747251</v>
      </c>
      <c r="CR13" s="77">
        <v>26406.714239393932</v>
      </c>
      <c r="CS13" s="77">
        <v>26379.930672870432</v>
      </c>
      <c r="CT13" s="77"/>
      <c r="CU13" s="77"/>
      <c r="CV13" s="77"/>
      <c r="CW13" s="77"/>
      <c r="CX13" s="77"/>
      <c r="CY13" s="77"/>
      <c r="CZ13" s="77"/>
      <c r="DA13" s="77"/>
      <c r="DB13" s="77"/>
      <c r="DC13" s="96">
        <v>26439.887605379638</v>
      </c>
      <c r="DD13" s="77"/>
      <c r="DE13" s="77"/>
      <c r="DF13" s="77">
        <v>28764.360365190372</v>
      </c>
      <c r="DG13" s="77">
        <v>28764.360362823605</v>
      </c>
      <c r="DH13" s="77"/>
      <c r="DI13" s="77"/>
      <c r="DJ13" s="77"/>
      <c r="DK13" s="77"/>
      <c r="DL13" s="77"/>
      <c r="DM13" s="77"/>
      <c r="DN13" s="77"/>
      <c r="DO13" s="77"/>
      <c r="DP13" s="96">
        <v>28764.360364006992</v>
      </c>
    </row>
    <row r="14" spans="1:120" s="22" customFormat="1" hidden="1" outlineLevel="1" x14ac:dyDescent="0.35">
      <c r="B14" s="25" t="s">
        <v>11</v>
      </c>
      <c r="C14" s="75" t="s">
        <v>14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80"/>
      <c r="Q14" s="77"/>
      <c r="R14" s="77"/>
      <c r="S14" s="77"/>
      <c r="T14" s="77"/>
      <c r="U14" s="77"/>
      <c r="V14" s="77"/>
      <c r="W14" s="77"/>
      <c r="X14" s="77">
        <v>88000</v>
      </c>
      <c r="Y14" s="77"/>
      <c r="Z14" s="77"/>
      <c r="AA14" s="77"/>
      <c r="AB14" s="77"/>
      <c r="AC14" s="80">
        <v>88000</v>
      </c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80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83"/>
      <c r="BD14" s="77"/>
      <c r="BE14" s="77"/>
      <c r="BF14" s="77"/>
      <c r="BG14" s="77"/>
      <c r="BH14" s="77"/>
      <c r="BI14" s="77"/>
      <c r="BJ14" s="77"/>
      <c r="BK14" s="77">
        <v>1408.8838147093943</v>
      </c>
      <c r="BL14" s="77"/>
      <c r="BM14" s="77"/>
      <c r="BN14" s="77"/>
      <c r="BO14" s="77"/>
      <c r="BP14" s="83">
        <v>1408.8838147093943</v>
      </c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83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96"/>
      <c r="CQ14" s="77"/>
      <c r="CR14" s="77"/>
      <c r="CS14" s="77"/>
      <c r="CT14" s="77"/>
      <c r="CU14" s="77"/>
      <c r="CV14" s="77"/>
      <c r="CW14" s="77"/>
      <c r="CX14" s="77">
        <v>29299.876073425738</v>
      </c>
      <c r="CY14" s="77"/>
      <c r="CZ14" s="77"/>
      <c r="DA14" s="77"/>
      <c r="DB14" s="77"/>
      <c r="DC14" s="96">
        <v>29299.876073425738</v>
      </c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96"/>
    </row>
    <row r="15" spans="1:120" s="22" customFormat="1" hidden="1" outlineLevel="1" x14ac:dyDescent="0.35">
      <c r="B15" s="25" t="s">
        <v>11</v>
      </c>
      <c r="C15" s="75" t="s">
        <v>15</v>
      </c>
      <c r="D15" s="77">
        <v>145200</v>
      </c>
      <c r="E15" s="77">
        <v>74800</v>
      </c>
      <c r="F15" s="77"/>
      <c r="G15" s="77">
        <v>72600</v>
      </c>
      <c r="H15" s="77"/>
      <c r="I15" s="77">
        <v>116600</v>
      </c>
      <c r="J15" s="77">
        <v>0</v>
      </c>
      <c r="K15" s="77"/>
      <c r="L15" s="77"/>
      <c r="M15" s="77"/>
      <c r="N15" s="77">
        <v>110000</v>
      </c>
      <c r="O15" s="77"/>
      <c r="P15" s="80">
        <v>519200</v>
      </c>
      <c r="Q15" s="77">
        <v>72600</v>
      </c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80">
        <v>72600</v>
      </c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80"/>
      <c r="AQ15" s="77">
        <v>1318.0780055049768</v>
      </c>
      <c r="AR15" s="77">
        <v>1323.2308541182758</v>
      </c>
      <c r="AS15" s="77"/>
      <c r="AT15" s="77">
        <v>1304.5038880553025</v>
      </c>
      <c r="AU15" s="77"/>
      <c r="AV15" s="77">
        <v>1322.0066346173808</v>
      </c>
      <c r="AW15" s="77"/>
      <c r="AX15" s="77"/>
      <c r="AY15" s="77"/>
      <c r="AZ15" s="77"/>
      <c r="BA15" s="77">
        <v>1321.5696919464513</v>
      </c>
      <c r="BB15" s="77"/>
      <c r="BC15" s="83">
        <v>1318.5443302594006</v>
      </c>
      <c r="BD15" s="77">
        <v>1326.7662597896317</v>
      </c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83">
        <v>1326.7662597896317</v>
      </c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83"/>
      <c r="CD15" s="77">
        <v>21238.243532735534</v>
      </c>
      <c r="CE15" s="77">
        <v>22878.931928229667</v>
      </c>
      <c r="CF15" s="77"/>
      <c r="CG15" s="77">
        <v>24292.539047322549</v>
      </c>
      <c r="CH15" s="77"/>
      <c r="CI15" s="77">
        <v>25375.877165800659</v>
      </c>
      <c r="CJ15" s="77"/>
      <c r="CK15" s="77"/>
      <c r="CL15" s="77"/>
      <c r="CM15" s="77"/>
      <c r="CN15" s="77">
        <v>27347.502998826294</v>
      </c>
      <c r="CO15" s="77"/>
      <c r="CP15" s="96">
        <v>24125.246555130288</v>
      </c>
      <c r="CQ15" s="77">
        <v>26518.028670747251</v>
      </c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96">
        <v>26518.028670747251</v>
      </c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96"/>
    </row>
    <row r="16" spans="1:120" s="22" customFormat="1" hidden="1" outlineLevel="1" x14ac:dyDescent="0.35">
      <c r="B16" s="25" t="s">
        <v>11</v>
      </c>
      <c r="C16" s="75" t="s">
        <v>16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80"/>
      <c r="Q16" s="77"/>
      <c r="R16" s="77"/>
      <c r="S16" s="77">
        <v>88000</v>
      </c>
      <c r="T16" s="77">
        <v>66000</v>
      </c>
      <c r="U16" s="77"/>
      <c r="V16" s="77">
        <v>88000</v>
      </c>
      <c r="W16" s="77"/>
      <c r="X16" s="77">
        <v>44000</v>
      </c>
      <c r="Y16" s="77"/>
      <c r="Z16" s="77"/>
      <c r="AA16" s="77"/>
      <c r="AB16" s="77">
        <v>0</v>
      </c>
      <c r="AC16" s="80">
        <v>286000</v>
      </c>
      <c r="AD16" s="77"/>
      <c r="AE16" s="77">
        <v>44000</v>
      </c>
      <c r="AF16" s="77">
        <v>132000</v>
      </c>
      <c r="AG16" s="77">
        <v>66000</v>
      </c>
      <c r="AH16" s="77"/>
      <c r="AI16" s="77"/>
      <c r="AJ16" s="77"/>
      <c r="AK16" s="77"/>
      <c r="AL16" s="77"/>
      <c r="AM16" s="77"/>
      <c r="AN16" s="77"/>
      <c r="AO16" s="77"/>
      <c r="AP16" s="80">
        <v>242000</v>
      </c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83"/>
      <c r="BD16" s="77"/>
      <c r="BE16" s="77"/>
      <c r="BF16" s="77">
        <v>1415.5997469167985</v>
      </c>
      <c r="BG16" s="77">
        <v>1398.3739813666514</v>
      </c>
      <c r="BH16" s="77"/>
      <c r="BI16" s="77">
        <v>1325.0309152759232</v>
      </c>
      <c r="BJ16" s="77"/>
      <c r="BK16" s="77">
        <v>1398.4288903443107</v>
      </c>
      <c r="BL16" s="77"/>
      <c r="BM16" s="77"/>
      <c r="BN16" s="77"/>
      <c r="BO16" s="77"/>
      <c r="BP16" s="83">
        <v>1435.74271626614</v>
      </c>
      <c r="BQ16" s="77"/>
      <c r="BR16" s="77">
        <v>1289.0506562270639</v>
      </c>
      <c r="BS16" s="77">
        <v>1265.8862548333632</v>
      </c>
      <c r="BT16" s="77">
        <v>1277.8476190476192</v>
      </c>
      <c r="BU16" s="77"/>
      <c r="BV16" s="77"/>
      <c r="BW16" s="77"/>
      <c r="BX16" s="77"/>
      <c r="BY16" s="77"/>
      <c r="BZ16" s="77"/>
      <c r="CA16" s="77"/>
      <c r="CB16" s="77"/>
      <c r="CC16" s="83">
        <v>1273.3601544179239</v>
      </c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96"/>
      <c r="CQ16" s="77"/>
      <c r="CR16" s="77"/>
      <c r="CS16" s="77">
        <v>26379.930672870436</v>
      </c>
      <c r="CT16" s="77">
        <v>26574.885243741781</v>
      </c>
      <c r="CU16" s="77"/>
      <c r="CV16" s="77">
        <v>27988.793617972206</v>
      </c>
      <c r="CW16" s="77"/>
      <c r="CX16" s="77">
        <v>29299.876073425741</v>
      </c>
      <c r="CY16" s="77"/>
      <c r="CZ16" s="77"/>
      <c r="DA16" s="77"/>
      <c r="DB16" s="77"/>
      <c r="DC16" s="96">
        <v>27369.177310880565</v>
      </c>
      <c r="DD16" s="77"/>
      <c r="DE16" s="77">
        <v>28728.818794575589</v>
      </c>
      <c r="DF16" s="77">
        <v>28764.360365190372</v>
      </c>
      <c r="DG16" s="77">
        <v>28764.360362823605</v>
      </c>
      <c r="DH16" s="77"/>
      <c r="DI16" s="77"/>
      <c r="DJ16" s="77"/>
      <c r="DK16" s="77"/>
      <c r="DL16" s="77"/>
      <c r="DM16" s="77"/>
      <c r="DN16" s="77"/>
      <c r="DO16" s="77"/>
      <c r="DP16" s="96">
        <v>28757.898260796748</v>
      </c>
    </row>
    <row r="17" spans="2:120" s="22" customFormat="1" hidden="1" outlineLevel="1" x14ac:dyDescent="0.35">
      <c r="B17" s="25" t="s">
        <v>11</v>
      </c>
      <c r="C17" s="75" t="s">
        <v>17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80"/>
      <c r="Q17" s="77"/>
      <c r="R17" s="77"/>
      <c r="S17" s="77"/>
      <c r="T17" s="77"/>
      <c r="U17" s="77"/>
      <c r="V17" s="77">
        <v>2789.2</v>
      </c>
      <c r="W17" s="77"/>
      <c r="X17" s="77"/>
      <c r="Y17" s="77"/>
      <c r="Z17" s="77"/>
      <c r="AA17" s="77"/>
      <c r="AB17" s="77"/>
      <c r="AC17" s="80">
        <v>2789.2</v>
      </c>
      <c r="AD17" s="77"/>
      <c r="AE17" s="77"/>
      <c r="AF17" s="77">
        <v>2200</v>
      </c>
      <c r="AG17" s="77">
        <v>22000</v>
      </c>
      <c r="AH17" s="77"/>
      <c r="AI17" s="77"/>
      <c r="AJ17" s="77"/>
      <c r="AK17" s="77"/>
      <c r="AL17" s="77"/>
      <c r="AM17" s="77"/>
      <c r="AN17" s="77"/>
      <c r="AO17" s="77"/>
      <c r="AP17" s="80">
        <v>24200</v>
      </c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83"/>
      <c r="BD17" s="77"/>
      <c r="BE17" s="77"/>
      <c r="BF17" s="77"/>
      <c r="BG17" s="77"/>
      <c r="BH17" s="77"/>
      <c r="BI17" s="77">
        <v>1324.3544685587676</v>
      </c>
      <c r="BJ17" s="77"/>
      <c r="BK17" s="77"/>
      <c r="BL17" s="77"/>
      <c r="BM17" s="77"/>
      <c r="BN17" s="77"/>
      <c r="BO17" s="77"/>
      <c r="BP17" s="83">
        <v>1324.3544685587676</v>
      </c>
      <c r="BQ17" s="77"/>
      <c r="BR17" s="77"/>
      <c r="BS17" s="77">
        <v>1181.5536074623553</v>
      </c>
      <c r="BT17" s="77">
        <v>1203.1428571428573</v>
      </c>
      <c r="BU17" s="77"/>
      <c r="BV17" s="77"/>
      <c r="BW17" s="77"/>
      <c r="BX17" s="77"/>
      <c r="BY17" s="77"/>
      <c r="BZ17" s="77"/>
      <c r="CA17" s="77"/>
      <c r="CB17" s="77"/>
      <c r="CC17" s="83">
        <v>1201.1801980809935</v>
      </c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96"/>
      <c r="CQ17" s="77"/>
      <c r="CR17" s="77"/>
      <c r="CS17" s="77"/>
      <c r="CT17" s="77"/>
      <c r="CU17" s="77"/>
      <c r="CV17" s="77">
        <v>27988.793617972216</v>
      </c>
      <c r="CW17" s="77"/>
      <c r="CX17" s="77"/>
      <c r="CY17" s="77"/>
      <c r="CZ17" s="77"/>
      <c r="DA17" s="77"/>
      <c r="DB17" s="77"/>
      <c r="DC17" s="96">
        <v>27988.793617972216</v>
      </c>
      <c r="DD17" s="77"/>
      <c r="DE17" s="77"/>
      <c r="DF17" s="77">
        <v>28764.360365190365</v>
      </c>
      <c r="DG17" s="77">
        <v>28764.360362823605</v>
      </c>
      <c r="DH17" s="77"/>
      <c r="DI17" s="77"/>
      <c r="DJ17" s="77"/>
      <c r="DK17" s="77"/>
      <c r="DL17" s="77"/>
      <c r="DM17" s="77"/>
      <c r="DN17" s="77"/>
      <c r="DO17" s="77"/>
      <c r="DP17" s="96">
        <v>28764.360363038762</v>
      </c>
    </row>
    <row r="18" spans="2:120" s="22" customFormat="1" hidden="1" outlineLevel="1" x14ac:dyDescent="0.35">
      <c r="B18" s="25" t="s">
        <v>11</v>
      </c>
      <c r="C18" s="75" t="s">
        <v>18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80"/>
      <c r="Q18" s="77"/>
      <c r="R18" s="77"/>
      <c r="S18" s="77">
        <v>1100</v>
      </c>
      <c r="T18" s="77"/>
      <c r="U18" s="77"/>
      <c r="V18" s="77"/>
      <c r="W18" s="77"/>
      <c r="X18" s="77"/>
      <c r="Y18" s="77"/>
      <c r="Z18" s="77"/>
      <c r="AA18" s="77"/>
      <c r="AB18" s="77"/>
      <c r="AC18" s="80">
        <v>1100</v>
      </c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80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83"/>
      <c r="BD18" s="77"/>
      <c r="BE18" s="77"/>
      <c r="BF18" s="77">
        <v>1306.8510819110188</v>
      </c>
      <c r="BG18" s="77"/>
      <c r="BH18" s="77"/>
      <c r="BI18" s="77"/>
      <c r="BJ18" s="77"/>
      <c r="BK18" s="77"/>
      <c r="BL18" s="77"/>
      <c r="BM18" s="77"/>
      <c r="BN18" s="77"/>
      <c r="BO18" s="77"/>
      <c r="BP18" s="83">
        <v>1306.8510819110188</v>
      </c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83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96"/>
      <c r="CQ18" s="77"/>
      <c r="CR18" s="77"/>
      <c r="CS18" s="77">
        <v>26379.930672870436</v>
      </c>
      <c r="CT18" s="77"/>
      <c r="CU18" s="77"/>
      <c r="CV18" s="77"/>
      <c r="CW18" s="77"/>
      <c r="CX18" s="77"/>
      <c r="CY18" s="77"/>
      <c r="CZ18" s="77"/>
      <c r="DA18" s="77"/>
      <c r="DB18" s="77"/>
      <c r="DC18" s="96">
        <v>26379.930672870436</v>
      </c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96"/>
    </row>
    <row r="19" spans="2:120" s="22" customFormat="1" hidden="1" outlineLevel="1" x14ac:dyDescent="0.35">
      <c r="B19" s="25" t="s">
        <v>11</v>
      </c>
      <c r="C19" s="75" t="s">
        <v>19</v>
      </c>
      <c r="D19" s="77"/>
      <c r="E19" s="77"/>
      <c r="F19" s="77">
        <v>16500</v>
      </c>
      <c r="G19" s="77"/>
      <c r="H19" s="77"/>
      <c r="I19" s="77"/>
      <c r="J19" s="77"/>
      <c r="K19" s="77">
        <v>22000</v>
      </c>
      <c r="L19" s="77">
        <v>0</v>
      </c>
      <c r="M19" s="77">
        <v>44000</v>
      </c>
      <c r="N19" s="77">
        <v>0</v>
      </c>
      <c r="O19" s="77"/>
      <c r="P19" s="80">
        <v>82500</v>
      </c>
      <c r="Q19" s="77"/>
      <c r="R19" s="77"/>
      <c r="S19" s="77"/>
      <c r="T19" s="77"/>
      <c r="U19" s="77">
        <v>2200</v>
      </c>
      <c r="V19" s="77"/>
      <c r="W19" s="77"/>
      <c r="X19" s="77"/>
      <c r="Y19" s="77"/>
      <c r="Z19" s="77"/>
      <c r="AA19" s="77"/>
      <c r="AB19" s="77"/>
      <c r="AC19" s="80">
        <v>2200</v>
      </c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80"/>
      <c r="AQ19" s="77"/>
      <c r="AR19" s="77"/>
      <c r="AS19" s="77">
        <v>1413.7831246690691</v>
      </c>
      <c r="AT19" s="77"/>
      <c r="AU19" s="77"/>
      <c r="AV19" s="77"/>
      <c r="AW19" s="77"/>
      <c r="AX19" s="77">
        <v>1432.9870140817941</v>
      </c>
      <c r="AY19" s="77"/>
      <c r="AZ19" s="77">
        <v>1447.2004467835045</v>
      </c>
      <c r="BA19" s="77"/>
      <c r="BB19" s="77"/>
      <c r="BC19" s="83">
        <v>1436.7267336401612</v>
      </c>
      <c r="BD19" s="77"/>
      <c r="BE19" s="77"/>
      <c r="BF19" s="77"/>
      <c r="BG19" s="77"/>
      <c r="BH19" s="77">
        <v>1345.1656487369992</v>
      </c>
      <c r="BI19" s="77"/>
      <c r="BJ19" s="77"/>
      <c r="BK19" s="77"/>
      <c r="BL19" s="77"/>
      <c r="BM19" s="77"/>
      <c r="BN19" s="77"/>
      <c r="BO19" s="77"/>
      <c r="BP19" s="83">
        <v>1345.1656487369992</v>
      </c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83"/>
      <c r="CD19" s="77"/>
      <c r="CE19" s="77"/>
      <c r="CF19" s="77">
        <v>23530.17634297521</v>
      </c>
      <c r="CG19" s="77"/>
      <c r="CH19" s="77"/>
      <c r="CI19" s="77"/>
      <c r="CJ19" s="77"/>
      <c r="CK19" s="77">
        <v>31248.214809649038</v>
      </c>
      <c r="CL19" s="77"/>
      <c r="CM19" s="77">
        <v>28196.916496368634</v>
      </c>
      <c r="CN19" s="77"/>
      <c r="CO19" s="77"/>
      <c r="CP19" s="96">
        <v>28077.248015898062</v>
      </c>
      <c r="CQ19" s="77"/>
      <c r="CR19" s="77"/>
      <c r="CS19" s="77"/>
      <c r="CT19" s="77"/>
      <c r="CU19" s="77">
        <v>27745.545505495447</v>
      </c>
      <c r="CV19" s="77"/>
      <c r="CW19" s="77"/>
      <c r="CX19" s="77"/>
      <c r="CY19" s="77"/>
      <c r="CZ19" s="77"/>
      <c r="DA19" s="77"/>
      <c r="DB19" s="77"/>
      <c r="DC19" s="96">
        <v>27745.545505495447</v>
      </c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96"/>
    </row>
    <row r="20" spans="2:120" s="22" customFormat="1" hidden="1" outlineLevel="1" x14ac:dyDescent="0.35">
      <c r="B20" s="25" t="s">
        <v>11</v>
      </c>
      <c r="C20" s="75" t="s">
        <v>6</v>
      </c>
      <c r="D20" s="77">
        <v>25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80">
        <v>25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80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80"/>
      <c r="AQ20" s="77">
        <v>1410.0472879658291</v>
      </c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83">
        <v>1410.0472879658291</v>
      </c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83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83"/>
      <c r="CD20" s="77">
        <v>21238.243532735534</v>
      </c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96">
        <v>21238.243532735534</v>
      </c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96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96"/>
    </row>
    <row r="21" spans="2:120" s="22" customFormat="1" hidden="1" outlineLevel="1" x14ac:dyDescent="0.35">
      <c r="B21" s="25" t="s">
        <v>11</v>
      </c>
      <c r="C21" s="75" t="s">
        <v>20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80"/>
      <c r="Q21" s="77"/>
      <c r="R21" s="77"/>
      <c r="S21" s="77"/>
      <c r="T21" s="77"/>
      <c r="U21" s="77"/>
      <c r="V21" s="77">
        <v>22000</v>
      </c>
      <c r="W21" s="77"/>
      <c r="X21" s="77"/>
      <c r="Y21" s="77"/>
      <c r="Z21" s="77"/>
      <c r="AA21" s="77"/>
      <c r="AB21" s="77"/>
      <c r="AC21" s="80">
        <v>22000</v>
      </c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80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83"/>
      <c r="BD21" s="77"/>
      <c r="BE21" s="77"/>
      <c r="BF21" s="77"/>
      <c r="BG21" s="77"/>
      <c r="BH21" s="77"/>
      <c r="BI21" s="77">
        <v>1321.4930962990361</v>
      </c>
      <c r="BJ21" s="77"/>
      <c r="BK21" s="77"/>
      <c r="BL21" s="77"/>
      <c r="BM21" s="77"/>
      <c r="BN21" s="77"/>
      <c r="BO21" s="77"/>
      <c r="BP21" s="83">
        <v>1321.4930962990361</v>
      </c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83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96"/>
      <c r="CQ21" s="77"/>
      <c r="CR21" s="77"/>
      <c r="CS21" s="77"/>
      <c r="CT21" s="77"/>
      <c r="CU21" s="77"/>
      <c r="CV21" s="77">
        <v>27988.793617972206</v>
      </c>
      <c r="CW21" s="77"/>
      <c r="CX21" s="77"/>
      <c r="CY21" s="77"/>
      <c r="CZ21" s="77"/>
      <c r="DA21" s="77"/>
      <c r="DB21" s="77"/>
      <c r="DC21" s="96">
        <v>27988.793617972206</v>
      </c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96"/>
    </row>
    <row r="22" spans="2:120" s="22" customFormat="1" hidden="1" outlineLevel="1" x14ac:dyDescent="0.35">
      <c r="B22" s="25" t="s">
        <v>11</v>
      </c>
      <c r="C22" s="75" t="s">
        <v>21</v>
      </c>
      <c r="D22" s="77"/>
      <c r="E22" s="77"/>
      <c r="F22" s="77"/>
      <c r="G22" s="77"/>
      <c r="H22" s="77"/>
      <c r="I22" s="77">
        <v>22000</v>
      </c>
      <c r="J22" s="77"/>
      <c r="K22" s="77"/>
      <c r="L22" s="77">
        <v>88000</v>
      </c>
      <c r="M22" s="77"/>
      <c r="N22" s="77"/>
      <c r="O22" s="77"/>
      <c r="P22" s="80">
        <v>110000</v>
      </c>
      <c r="Q22" s="77"/>
      <c r="R22" s="77"/>
      <c r="S22" s="77"/>
      <c r="T22" s="77"/>
      <c r="U22" s="77">
        <v>220000</v>
      </c>
      <c r="V22" s="77"/>
      <c r="W22" s="77"/>
      <c r="X22" s="77"/>
      <c r="Y22" s="77"/>
      <c r="Z22" s="77"/>
      <c r="AA22" s="77"/>
      <c r="AB22" s="77"/>
      <c r="AC22" s="80">
        <v>220000</v>
      </c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80"/>
      <c r="AQ22" s="77"/>
      <c r="AR22" s="77"/>
      <c r="AS22" s="77"/>
      <c r="AT22" s="77"/>
      <c r="AU22" s="77"/>
      <c r="AV22" s="77">
        <v>1298.6539227581789</v>
      </c>
      <c r="AW22" s="77"/>
      <c r="AX22" s="77"/>
      <c r="AY22" s="77">
        <v>1296.4685589572407</v>
      </c>
      <c r="AZ22" s="77"/>
      <c r="BA22" s="77"/>
      <c r="BB22" s="77"/>
      <c r="BC22" s="83">
        <v>1296.9056317174284</v>
      </c>
      <c r="BD22" s="77"/>
      <c r="BE22" s="77"/>
      <c r="BF22" s="77"/>
      <c r="BG22" s="77"/>
      <c r="BH22" s="77">
        <v>1341.2158885299639</v>
      </c>
      <c r="BI22" s="77"/>
      <c r="BJ22" s="77"/>
      <c r="BK22" s="77"/>
      <c r="BL22" s="77"/>
      <c r="BM22" s="77"/>
      <c r="BN22" s="77"/>
      <c r="BO22" s="77"/>
      <c r="BP22" s="83">
        <v>1341.2158885299639</v>
      </c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83"/>
      <c r="CD22" s="77"/>
      <c r="CE22" s="77"/>
      <c r="CF22" s="77"/>
      <c r="CG22" s="77"/>
      <c r="CH22" s="77"/>
      <c r="CI22" s="77">
        <v>25375.877165800659</v>
      </c>
      <c r="CJ22" s="77"/>
      <c r="CK22" s="77"/>
      <c r="CL22" s="77">
        <v>29615.281548542393</v>
      </c>
      <c r="CM22" s="77"/>
      <c r="CN22" s="77"/>
      <c r="CO22" s="77"/>
      <c r="CP22" s="96">
        <v>28767.400671994044</v>
      </c>
      <c r="CQ22" s="77"/>
      <c r="CR22" s="77"/>
      <c r="CS22" s="77"/>
      <c r="CT22" s="77"/>
      <c r="CU22" s="77">
        <v>27745.545505495447</v>
      </c>
      <c r="CV22" s="77"/>
      <c r="CW22" s="77"/>
      <c r="CX22" s="77"/>
      <c r="CY22" s="77"/>
      <c r="CZ22" s="77"/>
      <c r="DA22" s="77"/>
      <c r="DB22" s="77"/>
      <c r="DC22" s="96">
        <v>27745.545505495447</v>
      </c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96"/>
    </row>
    <row r="23" spans="2:120" s="22" customFormat="1" hidden="1" outlineLevel="1" x14ac:dyDescent="0.35">
      <c r="B23" s="25" t="s">
        <v>11</v>
      </c>
      <c r="C23" s="75" t="s">
        <v>22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80"/>
      <c r="Q23" s="77"/>
      <c r="R23" s="77"/>
      <c r="S23" s="77"/>
      <c r="T23" s="77">
        <v>22000</v>
      </c>
      <c r="U23" s="77"/>
      <c r="V23" s="77"/>
      <c r="W23" s="77"/>
      <c r="X23" s="77"/>
      <c r="Y23" s="77"/>
      <c r="Z23" s="77"/>
      <c r="AA23" s="77"/>
      <c r="AB23" s="77"/>
      <c r="AC23" s="80">
        <v>22000</v>
      </c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80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83"/>
      <c r="BD23" s="77"/>
      <c r="BE23" s="77"/>
      <c r="BF23" s="77"/>
      <c r="BG23" s="77">
        <v>1345.2899738733299</v>
      </c>
      <c r="BH23" s="77"/>
      <c r="BI23" s="77"/>
      <c r="BJ23" s="77"/>
      <c r="BK23" s="77"/>
      <c r="BL23" s="77"/>
      <c r="BM23" s="77"/>
      <c r="BN23" s="77"/>
      <c r="BO23" s="77"/>
      <c r="BP23" s="83">
        <v>1345.2899738733299</v>
      </c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83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96"/>
      <c r="CQ23" s="77"/>
      <c r="CR23" s="77"/>
      <c r="CS23" s="77"/>
      <c r="CT23" s="77">
        <v>26574.885243741777</v>
      </c>
      <c r="CU23" s="77"/>
      <c r="CV23" s="77"/>
      <c r="CW23" s="77"/>
      <c r="CX23" s="77"/>
      <c r="CY23" s="77"/>
      <c r="CZ23" s="77"/>
      <c r="DA23" s="77"/>
      <c r="DB23" s="77"/>
      <c r="DC23" s="96">
        <v>26574.885243741777</v>
      </c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96"/>
    </row>
    <row r="24" spans="2:120" s="22" customFormat="1" hidden="1" outlineLevel="1" x14ac:dyDescent="0.35">
      <c r="B24" s="25" t="s">
        <v>11</v>
      </c>
      <c r="C24" s="75" t="s">
        <v>23</v>
      </c>
      <c r="D24" s="77"/>
      <c r="E24" s="77"/>
      <c r="F24" s="77"/>
      <c r="G24" s="77"/>
      <c r="H24" s="77"/>
      <c r="I24" s="77"/>
      <c r="J24" s="77"/>
      <c r="K24" s="77">
        <v>22000</v>
      </c>
      <c r="L24" s="77"/>
      <c r="M24" s="77"/>
      <c r="N24" s="77"/>
      <c r="O24" s="77"/>
      <c r="P24" s="80">
        <v>22000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80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80"/>
      <c r="AQ24" s="77"/>
      <c r="AR24" s="77"/>
      <c r="AS24" s="77"/>
      <c r="AT24" s="77"/>
      <c r="AU24" s="77"/>
      <c r="AV24" s="77"/>
      <c r="AW24" s="77"/>
      <c r="AX24" s="77">
        <v>1267.3786830062388</v>
      </c>
      <c r="AY24" s="77"/>
      <c r="AZ24" s="77"/>
      <c r="BA24" s="77"/>
      <c r="BB24" s="77"/>
      <c r="BC24" s="83">
        <v>1267.3786830062388</v>
      </c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83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83"/>
      <c r="CD24" s="77"/>
      <c r="CE24" s="77"/>
      <c r="CF24" s="77"/>
      <c r="CG24" s="77"/>
      <c r="CH24" s="77"/>
      <c r="CI24" s="77"/>
      <c r="CJ24" s="77"/>
      <c r="CK24" s="77">
        <v>31248.214809649038</v>
      </c>
      <c r="CL24" s="77"/>
      <c r="CM24" s="77"/>
      <c r="CN24" s="77"/>
      <c r="CO24" s="77"/>
      <c r="CP24" s="96">
        <v>31248.214809649038</v>
      </c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96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96"/>
    </row>
    <row r="25" spans="2:120" s="22" customFormat="1" hidden="1" outlineLevel="1" x14ac:dyDescent="0.35">
      <c r="B25" s="25" t="s">
        <v>11</v>
      </c>
      <c r="C25" s="75" t="s">
        <v>24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80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80"/>
      <c r="AD25" s="77"/>
      <c r="AE25" s="77">
        <v>2200</v>
      </c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80">
        <v>2200</v>
      </c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83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83"/>
      <c r="BQ25" s="77"/>
      <c r="BR25" s="77">
        <v>1181.8199594693435</v>
      </c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83">
        <v>1181.8199594693435</v>
      </c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96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96"/>
      <c r="DD25" s="77"/>
      <c r="DE25" s="77">
        <v>28728.818794575593</v>
      </c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96">
        <v>28728.818794575593</v>
      </c>
    </row>
    <row r="26" spans="2:120" s="22" customFormat="1" hidden="1" outlineLevel="1" x14ac:dyDescent="0.35">
      <c r="B26" s="25" t="s">
        <v>11</v>
      </c>
      <c r="C26" s="75" t="s">
        <v>25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>
        <v>1100</v>
      </c>
      <c r="P26" s="80">
        <v>1100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80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80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>
        <v>1297.7678260924822</v>
      </c>
      <c r="BC26" s="83">
        <v>1297.7678260924822</v>
      </c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83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83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>
        <v>26134.394106303676</v>
      </c>
      <c r="CP26" s="96">
        <v>26134.394106303676</v>
      </c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96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96"/>
    </row>
    <row r="27" spans="2:120" s="22" customFormat="1" hidden="1" outlineLevel="1" x14ac:dyDescent="0.35">
      <c r="B27" s="25" t="s">
        <v>11</v>
      </c>
      <c r="C27" s="75" t="s">
        <v>26</v>
      </c>
      <c r="D27" s="77"/>
      <c r="E27" s="77"/>
      <c r="F27" s="77"/>
      <c r="G27" s="77"/>
      <c r="H27" s="77"/>
      <c r="I27" s="77">
        <v>500</v>
      </c>
      <c r="J27" s="77"/>
      <c r="K27" s="77"/>
      <c r="L27" s="77"/>
      <c r="M27" s="77"/>
      <c r="N27" s="77">
        <v>-400</v>
      </c>
      <c r="O27" s="77"/>
      <c r="P27" s="80">
        <v>100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80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80"/>
      <c r="AQ27" s="77"/>
      <c r="AR27" s="77"/>
      <c r="AS27" s="77"/>
      <c r="AT27" s="77"/>
      <c r="AU27" s="77"/>
      <c r="AV27" s="77">
        <v>1293.6303037733151</v>
      </c>
      <c r="AW27" s="77"/>
      <c r="AX27" s="77"/>
      <c r="AY27" s="77"/>
      <c r="AZ27" s="77"/>
      <c r="BA27" s="77">
        <v>1314.3419150490215</v>
      </c>
      <c r="BB27" s="77"/>
      <c r="BC27" s="83">
        <v>1210.7838586704895</v>
      </c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83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83"/>
      <c r="CD27" s="77"/>
      <c r="CE27" s="77"/>
      <c r="CF27" s="77"/>
      <c r="CG27" s="77"/>
      <c r="CH27" s="77"/>
      <c r="CI27" s="77">
        <v>25375.877165800666</v>
      </c>
      <c r="CJ27" s="77"/>
      <c r="CK27" s="77"/>
      <c r="CL27" s="77"/>
      <c r="CM27" s="77"/>
      <c r="CN27" s="77">
        <v>27347.502998826298</v>
      </c>
      <c r="CO27" s="77"/>
      <c r="CP27" s="96">
        <v>17489.373833698126</v>
      </c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96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96"/>
    </row>
    <row r="28" spans="2:120" s="22" customFormat="1" hidden="1" outlineLevel="1" x14ac:dyDescent="0.35">
      <c r="B28" s="25" t="s">
        <v>11</v>
      </c>
      <c r="C28" s="75" t="s">
        <v>27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80"/>
      <c r="Q28" s="77"/>
      <c r="R28" s="77">
        <v>66000</v>
      </c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80">
        <v>66000</v>
      </c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80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83"/>
      <c r="BD28" s="77"/>
      <c r="BE28" s="77">
        <v>1286.2298283931716</v>
      </c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83">
        <v>1286.2298283931716</v>
      </c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83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96"/>
      <c r="CQ28" s="77"/>
      <c r="CR28" s="77">
        <v>26406.714239393936</v>
      </c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96">
        <v>26406.714239393936</v>
      </c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96"/>
    </row>
    <row r="29" spans="2:120" s="22" customFormat="1" hidden="1" outlineLevel="1" x14ac:dyDescent="0.35">
      <c r="B29" s="25" t="s">
        <v>11</v>
      </c>
      <c r="C29" s="75" t="s">
        <v>28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80"/>
      <c r="Q29" s="77">
        <v>44000</v>
      </c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80">
        <v>44000</v>
      </c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80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83"/>
      <c r="BD29" s="77">
        <v>1350.4401833202576</v>
      </c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83">
        <v>1350.4401833202576</v>
      </c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83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96"/>
      <c r="CQ29" s="77">
        <v>26518.028670747251</v>
      </c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96">
        <v>26518.028670747251</v>
      </c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96"/>
    </row>
    <row r="30" spans="2:120" s="22" customFormat="1" hidden="1" outlineLevel="1" x14ac:dyDescent="0.35">
      <c r="B30" s="25" t="s">
        <v>11</v>
      </c>
      <c r="C30" s="75" t="s">
        <v>29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80"/>
      <c r="Q30" s="77"/>
      <c r="R30" s="77"/>
      <c r="S30" s="77"/>
      <c r="T30" s="77">
        <v>3300</v>
      </c>
      <c r="U30" s="77"/>
      <c r="V30" s="77"/>
      <c r="W30" s="77"/>
      <c r="X30" s="77"/>
      <c r="Y30" s="77"/>
      <c r="Z30" s="77"/>
      <c r="AA30" s="77"/>
      <c r="AB30" s="77"/>
      <c r="AC30" s="80">
        <v>3300</v>
      </c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80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83"/>
      <c r="BD30" s="77"/>
      <c r="BE30" s="77"/>
      <c r="BF30" s="77"/>
      <c r="BG30" s="77">
        <v>1581.2955455708886</v>
      </c>
      <c r="BH30" s="77"/>
      <c r="BI30" s="77"/>
      <c r="BJ30" s="77"/>
      <c r="BK30" s="77"/>
      <c r="BL30" s="77"/>
      <c r="BM30" s="77"/>
      <c r="BN30" s="77"/>
      <c r="BO30" s="77"/>
      <c r="BP30" s="83">
        <v>1581.2955455708886</v>
      </c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83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96"/>
      <c r="CQ30" s="77"/>
      <c r="CR30" s="77"/>
      <c r="CS30" s="77"/>
      <c r="CT30" s="77">
        <v>26574.885243741766</v>
      </c>
      <c r="CU30" s="77"/>
      <c r="CV30" s="77"/>
      <c r="CW30" s="77"/>
      <c r="CX30" s="77"/>
      <c r="CY30" s="77"/>
      <c r="CZ30" s="77"/>
      <c r="DA30" s="77"/>
      <c r="DB30" s="77"/>
      <c r="DC30" s="96">
        <v>26574.885243741766</v>
      </c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96"/>
    </row>
    <row r="31" spans="2:120" s="22" customFormat="1" hidden="1" outlineLevel="1" x14ac:dyDescent="0.35">
      <c r="B31" s="25" t="s">
        <v>11</v>
      </c>
      <c r="C31" s="75" t="s">
        <v>30</v>
      </c>
      <c r="D31" s="77"/>
      <c r="E31" s="77"/>
      <c r="F31" s="77"/>
      <c r="G31" s="77">
        <v>44000</v>
      </c>
      <c r="H31" s="77">
        <v>44000</v>
      </c>
      <c r="I31" s="77">
        <v>22000</v>
      </c>
      <c r="J31" s="77">
        <v>22000</v>
      </c>
      <c r="K31" s="77"/>
      <c r="L31" s="77"/>
      <c r="M31" s="77"/>
      <c r="N31" s="77">
        <v>22000</v>
      </c>
      <c r="O31" s="77">
        <v>22000</v>
      </c>
      <c r="P31" s="80">
        <v>176000</v>
      </c>
      <c r="Q31" s="77">
        <v>44000</v>
      </c>
      <c r="R31" s="77"/>
      <c r="S31" s="77">
        <v>22000</v>
      </c>
      <c r="T31" s="77">
        <v>22000</v>
      </c>
      <c r="U31" s="77">
        <v>44000</v>
      </c>
      <c r="V31" s="77">
        <v>22000</v>
      </c>
      <c r="W31" s="77">
        <v>66000</v>
      </c>
      <c r="X31" s="77">
        <v>44000</v>
      </c>
      <c r="Y31" s="77">
        <v>110000</v>
      </c>
      <c r="Z31" s="77"/>
      <c r="AA31" s="77">
        <v>110000</v>
      </c>
      <c r="AB31" s="77"/>
      <c r="AC31" s="80">
        <v>484000</v>
      </c>
      <c r="AD31" s="77">
        <v>44000</v>
      </c>
      <c r="AE31" s="77">
        <v>22000</v>
      </c>
      <c r="AF31" s="77">
        <v>88000</v>
      </c>
      <c r="AG31" s="77">
        <v>132000</v>
      </c>
      <c r="AH31" s="77"/>
      <c r="AI31" s="77"/>
      <c r="AJ31" s="77"/>
      <c r="AK31" s="77"/>
      <c r="AL31" s="77"/>
      <c r="AM31" s="77"/>
      <c r="AN31" s="77"/>
      <c r="AO31" s="77"/>
      <c r="AP31" s="80">
        <v>286000</v>
      </c>
      <c r="AQ31" s="77"/>
      <c r="AR31" s="77"/>
      <c r="AS31" s="77"/>
      <c r="AT31" s="77">
        <v>1397.3664863030838</v>
      </c>
      <c r="AU31" s="77">
        <v>1370.9873411201575</v>
      </c>
      <c r="AV31" s="77">
        <v>1394.0279979357513</v>
      </c>
      <c r="AW31" s="77">
        <v>1409.6445125009004</v>
      </c>
      <c r="AX31" s="77"/>
      <c r="AY31" s="77"/>
      <c r="AZ31" s="77"/>
      <c r="BA31" s="77">
        <v>1427.499283996998</v>
      </c>
      <c r="BB31" s="77">
        <v>1444.4628993397519</v>
      </c>
      <c r="BC31" s="83">
        <v>1401.5427935774856</v>
      </c>
      <c r="BD31" s="77">
        <v>1441.5855374839289</v>
      </c>
      <c r="BE31" s="77"/>
      <c r="BF31" s="77">
        <v>1336.5647790394228</v>
      </c>
      <c r="BG31" s="77">
        <v>1355.0073907800975</v>
      </c>
      <c r="BH31" s="77">
        <v>1372.8436900672275</v>
      </c>
      <c r="BI31" s="77">
        <v>1368.2949245187031</v>
      </c>
      <c r="BJ31" s="77">
        <v>1370.0188199794886</v>
      </c>
      <c r="BK31" s="77">
        <v>1360.788737966976</v>
      </c>
      <c r="BL31" s="77">
        <v>1311.1208195656448</v>
      </c>
      <c r="BM31" s="77"/>
      <c r="BN31" s="77">
        <v>1318.2885893927094</v>
      </c>
      <c r="BO31" s="77"/>
      <c r="BP31" s="83">
        <v>1348.5184786411237</v>
      </c>
      <c r="BQ31" s="77">
        <v>1257.52126826004</v>
      </c>
      <c r="BR31" s="77">
        <v>1269.1526261641457</v>
      </c>
      <c r="BS31" s="77">
        <v>1124.3287504364309</v>
      </c>
      <c r="BT31" s="77">
        <v>1125.778854230377</v>
      </c>
      <c r="BU31" s="77"/>
      <c r="BV31" s="77"/>
      <c r="BW31" s="77"/>
      <c r="BX31" s="77"/>
      <c r="BY31" s="77"/>
      <c r="BZ31" s="77"/>
      <c r="CA31" s="77"/>
      <c r="CB31" s="77"/>
      <c r="CC31" s="83">
        <v>1156.6294838317085</v>
      </c>
      <c r="CD31" s="77"/>
      <c r="CE31" s="77"/>
      <c r="CF31" s="77"/>
      <c r="CG31" s="77">
        <v>24292.539047322545</v>
      </c>
      <c r="CH31" s="77">
        <v>24249.993818181818</v>
      </c>
      <c r="CI31" s="77">
        <v>25375.877165800659</v>
      </c>
      <c r="CJ31" s="77">
        <v>27313.011505681825</v>
      </c>
      <c r="CK31" s="77"/>
      <c r="CL31" s="77"/>
      <c r="CM31" s="77"/>
      <c r="CN31" s="77">
        <v>27347.502998826298</v>
      </c>
      <c r="CO31" s="77">
        <v>26134.39410630368</v>
      </c>
      <c r="CP31" s="96">
        <v>25406.981438452654</v>
      </c>
      <c r="CQ31" s="77">
        <v>26518.028670747251</v>
      </c>
      <c r="CR31" s="77"/>
      <c r="CS31" s="77">
        <v>26379.930672870436</v>
      </c>
      <c r="CT31" s="77">
        <v>26574.885243741777</v>
      </c>
      <c r="CU31" s="77">
        <v>27745.545505495444</v>
      </c>
      <c r="CV31" s="77">
        <v>27988.793617972206</v>
      </c>
      <c r="CW31" s="77">
        <v>28635.040633556528</v>
      </c>
      <c r="CX31" s="77">
        <v>29299.876073425738</v>
      </c>
      <c r="CY31" s="77">
        <v>29454.493577167013</v>
      </c>
      <c r="CZ31" s="77"/>
      <c r="DA31" s="77">
        <v>30369.749926115925</v>
      </c>
      <c r="DB31" s="77"/>
      <c r="DC31" s="96">
        <v>28777.129520500243</v>
      </c>
      <c r="DD31" s="77">
        <v>28300.028103896104</v>
      </c>
      <c r="DE31" s="77">
        <v>28728.818794575589</v>
      </c>
      <c r="DF31" s="77">
        <v>28764.360365190372</v>
      </c>
      <c r="DG31" s="77">
        <v>28764.360362823609</v>
      </c>
      <c r="DH31" s="77"/>
      <c r="DI31" s="77"/>
      <c r="DJ31" s="77"/>
      <c r="DK31" s="77"/>
      <c r="DL31" s="77"/>
      <c r="DM31" s="77"/>
      <c r="DN31" s="77"/>
      <c r="DO31" s="77"/>
      <c r="DP31" s="96">
        <v>28690.190664620844</v>
      </c>
    </row>
    <row r="32" spans="2:120" s="22" customFormat="1" hidden="1" outlineLevel="1" x14ac:dyDescent="0.35">
      <c r="B32" s="25" t="s">
        <v>11</v>
      </c>
      <c r="C32" s="75" t="s">
        <v>31</v>
      </c>
      <c r="D32" s="77">
        <v>14300</v>
      </c>
      <c r="E32" s="77">
        <v>44000</v>
      </c>
      <c r="F32" s="77">
        <v>31900</v>
      </c>
      <c r="G32" s="77">
        <v>44000</v>
      </c>
      <c r="H32" s="77"/>
      <c r="I32" s="77"/>
      <c r="J32" s="77"/>
      <c r="K32" s="77">
        <v>-29981.8</v>
      </c>
      <c r="L32" s="77">
        <v>66000</v>
      </c>
      <c r="M32" s="77">
        <v>0</v>
      </c>
      <c r="N32" s="77">
        <v>88000</v>
      </c>
      <c r="O32" s="77">
        <v>22000</v>
      </c>
      <c r="P32" s="80">
        <v>280218.2</v>
      </c>
      <c r="Q32" s="77">
        <v>-13750.7</v>
      </c>
      <c r="R32" s="77">
        <v>22000</v>
      </c>
      <c r="S32" s="77">
        <v>88000</v>
      </c>
      <c r="T32" s="77">
        <v>44000</v>
      </c>
      <c r="U32" s="77">
        <v>-40039.699999999997</v>
      </c>
      <c r="V32" s="77"/>
      <c r="W32" s="77">
        <v>50969.1</v>
      </c>
      <c r="X32" s="77">
        <v>43293</v>
      </c>
      <c r="Y32" s="77"/>
      <c r="Z32" s="77"/>
      <c r="AA32" s="77">
        <v>88000</v>
      </c>
      <c r="AB32" s="77">
        <v>176000</v>
      </c>
      <c r="AC32" s="80">
        <v>458471.69999999995</v>
      </c>
      <c r="AD32" s="77">
        <v>220000</v>
      </c>
      <c r="AE32" s="77">
        <v>44000</v>
      </c>
      <c r="AF32" s="77">
        <v>154000</v>
      </c>
      <c r="AG32" s="77">
        <v>88000</v>
      </c>
      <c r="AH32" s="77"/>
      <c r="AI32" s="77"/>
      <c r="AJ32" s="77"/>
      <c r="AK32" s="77"/>
      <c r="AL32" s="77"/>
      <c r="AM32" s="77"/>
      <c r="AN32" s="77"/>
      <c r="AO32" s="77"/>
      <c r="AP32" s="80">
        <v>506000</v>
      </c>
      <c r="AQ32" s="77">
        <v>1410.5924772147705</v>
      </c>
      <c r="AR32" s="77">
        <v>1418.7886512599464</v>
      </c>
      <c r="AS32" s="77">
        <v>1404.4740705645152</v>
      </c>
      <c r="AT32" s="77">
        <v>1397.1487783580808</v>
      </c>
      <c r="AU32" s="77"/>
      <c r="AV32" s="77"/>
      <c r="AW32" s="77"/>
      <c r="AX32" s="77">
        <v>1419.0733773306904</v>
      </c>
      <c r="AY32" s="77">
        <v>1465.274663864328</v>
      </c>
      <c r="AZ32" s="77"/>
      <c r="BA32" s="77">
        <v>1420.9509362948961</v>
      </c>
      <c r="BB32" s="77">
        <v>1441.8839608621904</v>
      </c>
      <c r="BC32" s="83">
        <v>1426.7535989521164</v>
      </c>
      <c r="BD32" s="77">
        <v>1457.7516053251832</v>
      </c>
      <c r="BE32" s="77">
        <v>1399.1937779103705</v>
      </c>
      <c r="BF32" s="77">
        <v>1358.5984845898656</v>
      </c>
      <c r="BG32" s="77">
        <v>1354.0927634008526</v>
      </c>
      <c r="BH32" s="77">
        <v>1360.7311792951775</v>
      </c>
      <c r="BI32" s="77"/>
      <c r="BJ32" s="77">
        <v>1370.8477093042384</v>
      </c>
      <c r="BK32" s="77">
        <v>1350.2563095002765</v>
      </c>
      <c r="BL32" s="77"/>
      <c r="BM32" s="77"/>
      <c r="BN32" s="77">
        <v>1317.5508369168283</v>
      </c>
      <c r="BO32" s="77">
        <v>1320.5720079619705</v>
      </c>
      <c r="BP32" s="83">
        <v>1335.0514450206754</v>
      </c>
      <c r="BQ32" s="77">
        <v>1256.4390759280302</v>
      </c>
      <c r="BR32" s="77">
        <v>1268.4175177611985</v>
      </c>
      <c r="BS32" s="77">
        <v>1122.7230412053325</v>
      </c>
      <c r="BT32" s="77">
        <v>1130.3471238095237</v>
      </c>
      <c r="BU32" s="77"/>
      <c r="BV32" s="77"/>
      <c r="BW32" s="77"/>
      <c r="BX32" s="77"/>
      <c r="BY32" s="77"/>
      <c r="BZ32" s="77"/>
      <c r="CA32" s="77"/>
      <c r="CB32" s="77"/>
      <c r="CC32" s="83">
        <v>1194.8554599338308</v>
      </c>
      <c r="CD32" s="77">
        <v>21238.243532735534</v>
      </c>
      <c r="CE32" s="77">
        <v>22878.931928229667</v>
      </c>
      <c r="CF32" s="77">
        <v>23530.176342975206</v>
      </c>
      <c r="CG32" s="77">
        <v>24292.539047322542</v>
      </c>
      <c r="CH32" s="77"/>
      <c r="CI32" s="77"/>
      <c r="CJ32" s="77"/>
      <c r="CK32" s="77">
        <v>31248.214809649042</v>
      </c>
      <c r="CL32" s="77">
        <v>29615.281548542393</v>
      </c>
      <c r="CM32" s="77"/>
      <c r="CN32" s="77">
        <v>27347.502998826298</v>
      </c>
      <c r="CO32" s="77">
        <v>26134.39410630368</v>
      </c>
      <c r="CP32" s="96">
        <v>25441.359699129393</v>
      </c>
      <c r="CQ32" s="77">
        <v>26518.028670747255</v>
      </c>
      <c r="CR32" s="77">
        <v>26406.714239393932</v>
      </c>
      <c r="CS32" s="77">
        <v>26379.930672870436</v>
      </c>
      <c r="CT32" s="77">
        <v>26574.885243741777</v>
      </c>
      <c r="CU32" s="77">
        <v>27745.545505495447</v>
      </c>
      <c r="CV32" s="77"/>
      <c r="CW32" s="77">
        <v>28635.040633556531</v>
      </c>
      <c r="CX32" s="77">
        <v>29299.876073425734</v>
      </c>
      <c r="CY32" s="77"/>
      <c r="CZ32" s="77"/>
      <c r="DA32" s="77">
        <v>30369.749926115925</v>
      </c>
      <c r="DB32" s="77">
        <v>27529.345255813951</v>
      </c>
      <c r="DC32" s="96">
        <v>28010.008754976054</v>
      </c>
      <c r="DD32" s="77">
        <v>28300.0281038961</v>
      </c>
      <c r="DE32" s="77">
        <v>28728.818794575589</v>
      </c>
      <c r="DF32" s="77">
        <v>28764.360365190369</v>
      </c>
      <c r="DG32" s="77">
        <v>28764.360362823605</v>
      </c>
      <c r="DH32" s="77"/>
      <c r="DI32" s="77"/>
      <c r="DJ32" s="77"/>
      <c r="DK32" s="77"/>
      <c r="DL32" s="77"/>
      <c r="DM32" s="77"/>
      <c r="DN32" s="77"/>
      <c r="DO32" s="77"/>
      <c r="DP32" s="96">
        <v>28559.386201553869</v>
      </c>
    </row>
    <row r="33" spans="1:120" s="22" customFormat="1" hidden="1" outlineLevel="1" x14ac:dyDescent="0.35">
      <c r="B33" s="25" t="s">
        <v>11</v>
      </c>
      <c r="C33" s="75" t="s">
        <v>32</v>
      </c>
      <c r="D33" s="77"/>
      <c r="E33" s="77"/>
      <c r="F33" s="77"/>
      <c r="G33" s="77"/>
      <c r="H33" s="77"/>
      <c r="I33" s="77">
        <v>6600</v>
      </c>
      <c r="J33" s="77">
        <v>4400</v>
      </c>
      <c r="K33" s="77">
        <v>651200</v>
      </c>
      <c r="L33" s="77">
        <v>153900</v>
      </c>
      <c r="M33" s="77">
        <v>311300</v>
      </c>
      <c r="N33" s="77">
        <v>418000</v>
      </c>
      <c r="O33" s="77">
        <v>572000</v>
      </c>
      <c r="P33" s="80">
        <v>2117400</v>
      </c>
      <c r="Q33" s="77">
        <v>154000</v>
      </c>
      <c r="R33" s="77">
        <v>484000</v>
      </c>
      <c r="S33" s="77">
        <v>154000</v>
      </c>
      <c r="T33" s="77">
        <v>374000</v>
      </c>
      <c r="U33" s="77">
        <v>330000</v>
      </c>
      <c r="V33" s="77">
        <v>351633</v>
      </c>
      <c r="W33" s="77">
        <v>132000</v>
      </c>
      <c r="X33" s="77">
        <v>616000</v>
      </c>
      <c r="Y33" s="77">
        <v>126500</v>
      </c>
      <c r="Z33" s="77">
        <v>382660</v>
      </c>
      <c r="AA33" s="77">
        <v>475340</v>
      </c>
      <c r="AB33" s="77">
        <v>682000</v>
      </c>
      <c r="AC33" s="80">
        <v>4262133</v>
      </c>
      <c r="AD33" s="77">
        <v>352000</v>
      </c>
      <c r="AE33" s="77">
        <v>264000</v>
      </c>
      <c r="AF33" s="77">
        <v>352000</v>
      </c>
      <c r="AG33" s="77">
        <v>528000</v>
      </c>
      <c r="AH33" s="77"/>
      <c r="AI33" s="77"/>
      <c r="AJ33" s="77"/>
      <c r="AK33" s="77"/>
      <c r="AL33" s="77"/>
      <c r="AM33" s="77"/>
      <c r="AN33" s="77"/>
      <c r="AO33" s="77"/>
      <c r="AP33" s="80">
        <v>1496000</v>
      </c>
      <c r="AQ33" s="77"/>
      <c r="AR33" s="77"/>
      <c r="AS33" s="77"/>
      <c r="AT33" s="77"/>
      <c r="AU33" s="77"/>
      <c r="AV33" s="77">
        <v>1362.6053212365332</v>
      </c>
      <c r="AW33" s="77">
        <v>1367.2552844943357</v>
      </c>
      <c r="AX33" s="77">
        <v>1425.6234337313117</v>
      </c>
      <c r="AY33" s="77">
        <v>1407.8241643911729</v>
      </c>
      <c r="AZ33" s="77">
        <v>1444.0849293086319</v>
      </c>
      <c r="BA33" s="77">
        <v>1428.5148301956503</v>
      </c>
      <c r="BB33" s="77">
        <v>1442.9235560573923</v>
      </c>
      <c r="BC33" s="83">
        <v>1431.9705057608169</v>
      </c>
      <c r="BD33" s="77">
        <v>1446.9592788379882</v>
      </c>
      <c r="BE33" s="77">
        <v>1401.3250009843905</v>
      </c>
      <c r="BF33" s="77">
        <v>1364.2032212831964</v>
      </c>
      <c r="BG33" s="77">
        <v>1343.7074732422957</v>
      </c>
      <c r="BH33" s="77">
        <v>1374.0044183741813</v>
      </c>
      <c r="BI33" s="77">
        <v>1340.6906617227487</v>
      </c>
      <c r="BJ33" s="77">
        <v>1372.4129153203342</v>
      </c>
      <c r="BK33" s="77">
        <v>1340.9874929699076</v>
      </c>
      <c r="BL33" s="77">
        <v>1110.6500431335351</v>
      </c>
      <c r="BM33" s="77">
        <v>1286.0621022695966</v>
      </c>
      <c r="BN33" s="77">
        <v>1310.4912592717219</v>
      </c>
      <c r="BO33" s="77">
        <v>1321.4294281459133</v>
      </c>
      <c r="BP33" s="83">
        <v>1337.9525693320966</v>
      </c>
      <c r="BQ33" s="77">
        <v>1259.6401374778334</v>
      </c>
      <c r="BR33" s="77">
        <v>1237.5292940572613</v>
      </c>
      <c r="BS33" s="77">
        <v>1124.0657859393521</v>
      </c>
      <c r="BT33" s="77">
        <v>1129.4990476190474</v>
      </c>
      <c r="BU33" s="77"/>
      <c r="BV33" s="77"/>
      <c r="BW33" s="77"/>
      <c r="BX33" s="77"/>
      <c r="BY33" s="77"/>
      <c r="BZ33" s="77"/>
      <c r="CA33" s="77"/>
      <c r="CB33" s="77"/>
      <c r="CC33" s="83">
        <v>1177.9062271502833</v>
      </c>
      <c r="CD33" s="77"/>
      <c r="CE33" s="77"/>
      <c r="CF33" s="77"/>
      <c r="CG33" s="77"/>
      <c r="CH33" s="77"/>
      <c r="CI33" s="77">
        <v>25375.877165800663</v>
      </c>
      <c r="CJ33" s="77">
        <v>27313.011505681818</v>
      </c>
      <c r="CK33" s="77">
        <v>31248.214809649038</v>
      </c>
      <c r="CL33" s="77">
        <v>29615.281548542396</v>
      </c>
      <c r="CM33" s="77">
        <v>28196.916496368638</v>
      </c>
      <c r="CN33" s="77">
        <v>27347.50299882629</v>
      </c>
      <c r="CO33" s="77">
        <v>26134.394106303673</v>
      </c>
      <c r="CP33" s="96">
        <v>28502.936215130907</v>
      </c>
      <c r="CQ33" s="77">
        <v>26518.028670747255</v>
      </c>
      <c r="CR33" s="77">
        <v>26406.714239393932</v>
      </c>
      <c r="CS33" s="77">
        <v>26379.93067287044</v>
      </c>
      <c r="CT33" s="77">
        <v>26574.885243741781</v>
      </c>
      <c r="CU33" s="77">
        <v>27745.545505495455</v>
      </c>
      <c r="CV33" s="77">
        <v>27988.793617972202</v>
      </c>
      <c r="CW33" s="77">
        <v>28635.040633556531</v>
      </c>
      <c r="CX33" s="77">
        <v>29299.876073425734</v>
      </c>
      <c r="CY33" s="77">
        <v>29454.493577167017</v>
      </c>
      <c r="CZ33" s="77">
        <v>31284.462865206715</v>
      </c>
      <c r="DA33" s="77">
        <v>30369.749926115914</v>
      </c>
      <c r="DB33" s="77">
        <v>27529.345255813947</v>
      </c>
      <c r="DC33" s="96">
        <v>28295.874720883159</v>
      </c>
      <c r="DD33" s="77">
        <v>28300.028103896107</v>
      </c>
      <c r="DE33" s="77">
        <v>28728.818794575593</v>
      </c>
      <c r="DF33" s="77">
        <v>28764.360365190365</v>
      </c>
      <c r="DG33" s="77">
        <v>28764.360362823598</v>
      </c>
      <c r="DH33" s="77"/>
      <c r="DI33" s="77"/>
      <c r="DJ33" s="77"/>
      <c r="DK33" s="77"/>
      <c r="DL33" s="77"/>
      <c r="DM33" s="77"/>
      <c r="DN33" s="77"/>
      <c r="DO33" s="77"/>
      <c r="DP33" s="96">
        <v>28648.833672765533</v>
      </c>
    </row>
    <row r="34" spans="1:120" s="22" customFormat="1" hidden="1" outlineLevel="1" x14ac:dyDescent="0.35">
      <c r="B34" s="25" t="s">
        <v>11</v>
      </c>
      <c r="C34" s="75" t="s">
        <v>33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80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80"/>
      <c r="AD34" s="77"/>
      <c r="AE34" s="77">
        <v>22000</v>
      </c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80">
        <v>22000</v>
      </c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83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83"/>
      <c r="BQ34" s="77"/>
      <c r="BR34" s="77">
        <v>1270.8116981462833</v>
      </c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83">
        <v>1270.8116981462833</v>
      </c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96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96"/>
      <c r="DD34" s="77"/>
      <c r="DE34" s="77">
        <v>28728.818794575589</v>
      </c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96">
        <v>28728.818794575589</v>
      </c>
    </row>
    <row r="35" spans="1:120" s="22" customFormat="1" hidden="1" outlineLevel="1" x14ac:dyDescent="0.35">
      <c r="B35" s="25" t="s">
        <v>11</v>
      </c>
      <c r="C35" s="75" t="s">
        <v>34</v>
      </c>
      <c r="D35" s="77"/>
      <c r="E35" s="77"/>
      <c r="F35" s="77"/>
      <c r="G35" s="77"/>
      <c r="H35" s="77"/>
      <c r="I35" s="77">
        <v>44000</v>
      </c>
      <c r="J35" s="77">
        <v>44000</v>
      </c>
      <c r="K35" s="77"/>
      <c r="L35" s="77"/>
      <c r="M35" s="77"/>
      <c r="N35" s="77"/>
      <c r="O35" s="77"/>
      <c r="P35" s="80">
        <v>88000</v>
      </c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80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80"/>
      <c r="AQ35" s="77"/>
      <c r="AR35" s="77"/>
      <c r="AS35" s="77"/>
      <c r="AT35" s="77"/>
      <c r="AU35" s="77"/>
      <c r="AV35" s="77">
        <v>1316.5469747681962</v>
      </c>
      <c r="AW35" s="77">
        <v>1318.6047943682279</v>
      </c>
      <c r="AX35" s="77"/>
      <c r="AY35" s="77"/>
      <c r="AZ35" s="77"/>
      <c r="BA35" s="77"/>
      <c r="BB35" s="77"/>
      <c r="BC35" s="83">
        <v>1317.5758845682121</v>
      </c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83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83"/>
      <c r="CD35" s="77"/>
      <c r="CE35" s="77"/>
      <c r="CF35" s="77"/>
      <c r="CG35" s="77"/>
      <c r="CH35" s="77"/>
      <c r="CI35" s="77">
        <v>25375.877165800659</v>
      </c>
      <c r="CJ35" s="77">
        <v>27313.011505681825</v>
      </c>
      <c r="CK35" s="77"/>
      <c r="CL35" s="77"/>
      <c r="CM35" s="77"/>
      <c r="CN35" s="77"/>
      <c r="CO35" s="77"/>
      <c r="CP35" s="96">
        <v>26344.444335741238</v>
      </c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96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96"/>
    </row>
    <row r="36" spans="1:120" hidden="1" collapsed="1" x14ac:dyDescent="0.35">
      <c r="A36" t="s">
        <v>362</v>
      </c>
      <c r="B36" s="106" t="s">
        <v>35</v>
      </c>
      <c r="C36" s="76"/>
      <c r="D36" s="78">
        <v>203525</v>
      </c>
      <c r="E36" s="78">
        <v>209000</v>
      </c>
      <c r="F36" s="78">
        <v>48400</v>
      </c>
      <c r="G36" s="78">
        <v>160600</v>
      </c>
      <c r="H36" s="78">
        <v>88000</v>
      </c>
      <c r="I36" s="78">
        <v>211700</v>
      </c>
      <c r="J36" s="78">
        <v>70400</v>
      </c>
      <c r="K36" s="78">
        <v>722418.2</v>
      </c>
      <c r="L36" s="78">
        <v>373900</v>
      </c>
      <c r="M36" s="78">
        <v>399300</v>
      </c>
      <c r="N36" s="78">
        <v>681600</v>
      </c>
      <c r="O36" s="78">
        <v>617100</v>
      </c>
      <c r="P36" s="81">
        <v>3785943.2</v>
      </c>
      <c r="Q36" s="78">
        <v>388849.3</v>
      </c>
      <c r="R36" s="78">
        <v>660000</v>
      </c>
      <c r="S36" s="78">
        <v>419100</v>
      </c>
      <c r="T36" s="78">
        <v>531300</v>
      </c>
      <c r="U36" s="78">
        <v>556160.30000000005</v>
      </c>
      <c r="V36" s="78">
        <v>486422.2</v>
      </c>
      <c r="W36" s="78">
        <v>248969.1</v>
      </c>
      <c r="X36" s="78">
        <v>835293</v>
      </c>
      <c r="Y36" s="78">
        <v>236500</v>
      </c>
      <c r="Z36" s="78">
        <v>382660</v>
      </c>
      <c r="AA36" s="78">
        <v>717340</v>
      </c>
      <c r="AB36" s="78">
        <v>946000</v>
      </c>
      <c r="AC36" s="81">
        <v>6408593.8999999994</v>
      </c>
      <c r="AD36" s="78">
        <v>616000</v>
      </c>
      <c r="AE36" s="78">
        <v>398200</v>
      </c>
      <c r="AF36" s="78">
        <v>772200</v>
      </c>
      <c r="AG36" s="78">
        <v>880000</v>
      </c>
      <c r="AH36" s="78"/>
      <c r="AI36" s="78"/>
      <c r="AJ36" s="78"/>
      <c r="AK36" s="78"/>
      <c r="AL36" s="78"/>
      <c r="AM36" s="78"/>
      <c r="AN36" s="78"/>
      <c r="AO36" s="78"/>
      <c r="AP36" s="81">
        <v>2666400</v>
      </c>
      <c r="AQ36" s="78">
        <v>1327.883595607746</v>
      </c>
      <c r="AR36" s="78">
        <v>1349.5033968356024</v>
      </c>
      <c r="AS36" s="78">
        <v>1407.6476117365219</v>
      </c>
      <c r="AT36" s="78">
        <v>1355.3278575212094</v>
      </c>
      <c r="AU36" s="78">
        <v>1354.130103736712</v>
      </c>
      <c r="AV36" s="78">
        <v>1327.1282617548486</v>
      </c>
      <c r="AW36" s="78">
        <v>1350.09536191757</v>
      </c>
      <c r="AX36" s="78">
        <v>1415.132869440866</v>
      </c>
      <c r="AY36" s="78">
        <v>1375.7433124666475</v>
      </c>
      <c r="AZ36" s="78">
        <v>1431.1249322987508</v>
      </c>
      <c r="BA36" s="78">
        <v>1404.2107220545186</v>
      </c>
      <c r="BB36" s="78">
        <v>1442.6826277717919</v>
      </c>
      <c r="BC36" s="84">
        <v>1396.9592995301155</v>
      </c>
      <c r="BD36" s="78">
        <v>1387.6579140000945</v>
      </c>
      <c r="BE36" s="78">
        <v>1391.0448203435699</v>
      </c>
      <c r="BF36" s="78">
        <v>1380.4574301843866</v>
      </c>
      <c r="BG36" s="78">
        <v>1353.3675450314595</v>
      </c>
      <c r="BH36" s="78">
        <v>1361.7839535303515</v>
      </c>
      <c r="BI36" s="78">
        <v>1338.1441594144567</v>
      </c>
      <c r="BJ36" s="78">
        <v>1371.4578271810799</v>
      </c>
      <c r="BK36" s="78">
        <v>1352.6897668444267</v>
      </c>
      <c r="BL36" s="78">
        <v>1203.8922647298652</v>
      </c>
      <c r="BM36" s="78">
        <v>1286.0621022695966</v>
      </c>
      <c r="BN36" s="78">
        <v>1311.185527550474</v>
      </c>
      <c r="BO36" s="78">
        <v>1341.4884127328585</v>
      </c>
      <c r="BP36" s="84">
        <v>1345.2792347226514</v>
      </c>
      <c r="BQ36" s="78">
        <v>1258.3455534087757</v>
      </c>
      <c r="BR36" s="78">
        <v>1249.913491542598</v>
      </c>
      <c r="BS36" s="78">
        <v>1156.4084054163484</v>
      </c>
      <c r="BT36" s="78">
        <v>1149.2395405155087</v>
      </c>
      <c r="BU36" s="78"/>
      <c r="BV36" s="78"/>
      <c r="BW36" s="78"/>
      <c r="BX36" s="78"/>
      <c r="BY36" s="78"/>
      <c r="BZ36" s="78"/>
      <c r="CA36" s="78"/>
      <c r="CB36" s="78"/>
      <c r="CC36" s="84">
        <v>1191.5563229628794</v>
      </c>
      <c r="CD36" s="78">
        <v>21238.243532735527</v>
      </c>
      <c r="CE36" s="78">
        <v>22878.931928229671</v>
      </c>
      <c r="CF36" s="78">
        <v>23530.17634297521</v>
      </c>
      <c r="CG36" s="78">
        <v>24292.539047322549</v>
      </c>
      <c r="CH36" s="78">
        <v>24249.993818181818</v>
      </c>
      <c r="CI36" s="78">
        <v>25375.877165800663</v>
      </c>
      <c r="CJ36" s="78">
        <v>27313.011505681825</v>
      </c>
      <c r="CK36" s="78">
        <v>31248.214809649035</v>
      </c>
      <c r="CL36" s="78">
        <v>29615.281548542385</v>
      </c>
      <c r="CM36" s="78">
        <v>28196.916496368645</v>
      </c>
      <c r="CN36" s="78">
        <v>27347.50299882629</v>
      </c>
      <c r="CO36" s="78">
        <v>26134.394106303669</v>
      </c>
      <c r="CP36" s="97">
        <v>27271.253178600313</v>
      </c>
      <c r="CQ36" s="78">
        <v>26518.028670747248</v>
      </c>
      <c r="CR36" s="78">
        <v>26406.714239393932</v>
      </c>
      <c r="CS36" s="78">
        <v>26379.930672870436</v>
      </c>
      <c r="CT36" s="78">
        <v>26574.885243741792</v>
      </c>
      <c r="CU36" s="78">
        <v>27745.545505495433</v>
      </c>
      <c r="CV36" s="78">
        <v>27988.793617972202</v>
      </c>
      <c r="CW36" s="78">
        <v>28635.040633556539</v>
      </c>
      <c r="CX36" s="78">
        <v>29299.876073425752</v>
      </c>
      <c r="CY36" s="78">
        <v>29454.49357716701</v>
      </c>
      <c r="CZ36" s="78">
        <v>31284.462865206715</v>
      </c>
      <c r="DA36" s="78">
        <v>30369.749926115906</v>
      </c>
      <c r="DB36" s="78">
        <v>27529.345255813947</v>
      </c>
      <c r="DC36" s="97">
        <v>28138.633379936906</v>
      </c>
      <c r="DD36" s="78">
        <v>28300.028103896122</v>
      </c>
      <c r="DE36" s="78">
        <v>28728.818794575596</v>
      </c>
      <c r="DF36" s="78">
        <v>28764.36036519035</v>
      </c>
      <c r="DG36" s="78">
        <v>28764.360362823605</v>
      </c>
      <c r="DH36" s="78"/>
      <c r="DI36" s="78"/>
      <c r="DJ36" s="78"/>
      <c r="DK36" s="78"/>
      <c r="DL36" s="78"/>
      <c r="DM36" s="78"/>
      <c r="DN36" s="78"/>
      <c r="DO36" s="78"/>
      <c r="DP36" s="97">
        <v>28651.781109092688</v>
      </c>
    </row>
    <row r="37" spans="1:120" s="22" customFormat="1" hidden="1" outlineLevel="1" x14ac:dyDescent="0.35">
      <c r="B37" s="25" t="s">
        <v>36</v>
      </c>
      <c r="C37" s="75" t="s">
        <v>37</v>
      </c>
      <c r="D37" s="77"/>
      <c r="E37" s="77"/>
      <c r="F37" s="77"/>
      <c r="G37" s="77"/>
      <c r="H37" s="77">
        <v>25</v>
      </c>
      <c r="I37" s="77"/>
      <c r="J37" s="77"/>
      <c r="K37" s="77"/>
      <c r="L37" s="77"/>
      <c r="M37" s="77"/>
      <c r="N37" s="77"/>
      <c r="O37" s="77"/>
      <c r="P37" s="80">
        <v>25</v>
      </c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80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80"/>
      <c r="AQ37" s="77"/>
      <c r="AR37" s="77"/>
      <c r="AS37" s="77"/>
      <c r="AT37" s="77"/>
      <c r="AU37" s="77">
        <v>1267.3217003720949</v>
      </c>
      <c r="AV37" s="77"/>
      <c r="AW37" s="77"/>
      <c r="AX37" s="77"/>
      <c r="AY37" s="77"/>
      <c r="AZ37" s="77"/>
      <c r="BA37" s="77"/>
      <c r="BB37" s="77"/>
      <c r="BC37" s="83">
        <v>1267.3217003720949</v>
      </c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83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83"/>
      <c r="CD37" s="77"/>
      <c r="CE37" s="77"/>
      <c r="CF37" s="77"/>
      <c r="CG37" s="77"/>
      <c r="CH37" s="77">
        <v>28181.64</v>
      </c>
      <c r="CI37" s="77"/>
      <c r="CJ37" s="77"/>
      <c r="CK37" s="77"/>
      <c r="CL37" s="77"/>
      <c r="CM37" s="77"/>
      <c r="CN37" s="77"/>
      <c r="CO37" s="77"/>
      <c r="CP37" s="96">
        <v>28181.64</v>
      </c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96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96"/>
    </row>
    <row r="38" spans="1:120" hidden="1" collapsed="1" x14ac:dyDescent="0.35">
      <c r="A38" t="s">
        <v>365</v>
      </c>
      <c r="B38" s="106" t="s">
        <v>38</v>
      </c>
      <c r="C38" s="76"/>
      <c r="D38" s="78"/>
      <c r="E38" s="78"/>
      <c r="F38" s="78"/>
      <c r="G38" s="78"/>
      <c r="H38" s="78">
        <v>25</v>
      </c>
      <c r="I38" s="78"/>
      <c r="J38" s="78"/>
      <c r="K38" s="78"/>
      <c r="L38" s="78"/>
      <c r="M38" s="78"/>
      <c r="N38" s="78"/>
      <c r="O38" s="78"/>
      <c r="P38" s="81">
        <v>25</v>
      </c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81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81"/>
      <c r="AQ38" s="78"/>
      <c r="AR38" s="78"/>
      <c r="AS38" s="78"/>
      <c r="AT38" s="78"/>
      <c r="AU38" s="78">
        <v>1267.3217003720949</v>
      </c>
      <c r="AV38" s="78"/>
      <c r="AW38" s="78"/>
      <c r="AX38" s="78"/>
      <c r="AY38" s="78"/>
      <c r="AZ38" s="78"/>
      <c r="BA38" s="78"/>
      <c r="BB38" s="78"/>
      <c r="BC38" s="84">
        <v>1267.3217003720949</v>
      </c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84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84"/>
      <c r="CD38" s="78"/>
      <c r="CE38" s="78"/>
      <c r="CF38" s="78"/>
      <c r="CG38" s="78"/>
      <c r="CH38" s="78">
        <v>28181.64</v>
      </c>
      <c r="CI38" s="78"/>
      <c r="CJ38" s="78"/>
      <c r="CK38" s="78"/>
      <c r="CL38" s="78"/>
      <c r="CM38" s="78"/>
      <c r="CN38" s="78"/>
      <c r="CO38" s="78"/>
      <c r="CP38" s="97">
        <v>28181.64</v>
      </c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97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97"/>
    </row>
    <row r="39" spans="1:120" s="22" customFormat="1" hidden="1" outlineLevel="1" x14ac:dyDescent="0.35">
      <c r="B39" s="25" t="s">
        <v>39</v>
      </c>
      <c r="C39" s="75" t="s">
        <v>40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80"/>
      <c r="Q39" s="77"/>
      <c r="R39" s="77"/>
      <c r="S39" s="77"/>
      <c r="T39" s="77"/>
      <c r="U39" s="77"/>
      <c r="V39" s="77"/>
      <c r="W39" s="77"/>
      <c r="X39" s="77"/>
      <c r="Y39" s="77">
        <v>19800</v>
      </c>
      <c r="Z39" s="77">
        <v>9900</v>
      </c>
      <c r="AA39" s="77"/>
      <c r="AB39" s="77"/>
      <c r="AC39" s="80">
        <v>29700</v>
      </c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80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83"/>
      <c r="BD39" s="77"/>
      <c r="BE39" s="77"/>
      <c r="BF39" s="77"/>
      <c r="BG39" s="77"/>
      <c r="BH39" s="77"/>
      <c r="BI39" s="77"/>
      <c r="BJ39" s="77"/>
      <c r="BK39" s="77"/>
      <c r="BL39" s="77">
        <v>728.82478438168664</v>
      </c>
      <c r="BM39" s="77">
        <v>736.84148877709674</v>
      </c>
      <c r="BN39" s="77"/>
      <c r="BO39" s="77"/>
      <c r="BP39" s="83">
        <v>731.49701918015671</v>
      </c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83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96"/>
      <c r="CQ39" s="77"/>
      <c r="CR39" s="77"/>
      <c r="CS39" s="77"/>
      <c r="CT39" s="77"/>
      <c r="CU39" s="77"/>
      <c r="CV39" s="77"/>
      <c r="CW39" s="77"/>
      <c r="CX39" s="77"/>
      <c r="CY39" s="77">
        <v>29897.191659090917</v>
      </c>
      <c r="CZ39" s="77">
        <v>29310.475681818189</v>
      </c>
      <c r="DA39" s="77"/>
      <c r="DB39" s="77"/>
      <c r="DC39" s="96">
        <v>29701.619666666673</v>
      </c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96"/>
    </row>
    <row r="40" spans="1:120" s="22" customFormat="1" hidden="1" outlineLevel="1" x14ac:dyDescent="0.35">
      <c r="B40" s="25" t="s">
        <v>39</v>
      </c>
      <c r="C40" s="75" t="s">
        <v>41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80"/>
      <c r="Q40" s="77"/>
      <c r="R40" s="77"/>
      <c r="S40" s="77"/>
      <c r="T40" s="77"/>
      <c r="U40" s="77"/>
      <c r="V40" s="77"/>
      <c r="W40" s="77"/>
      <c r="X40" s="77"/>
      <c r="Y40" s="77">
        <v>24200</v>
      </c>
      <c r="Z40" s="77">
        <v>12100</v>
      </c>
      <c r="AA40" s="77">
        <v>30800</v>
      </c>
      <c r="AB40" s="77"/>
      <c r="AC40" s="80">
        <v>67100</v>
      </c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80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83"/>
      <c r="BD40" s="77"/>
      <c r="BE40" s="77"/>
      <c r="BF40" s="77"/>
      <c r="BG40" s="77"/>
      <c r="BH40" s="77"/>
      <c r="BI40" s="77"/>
      <c r="BJ40" s="77"/>
      <c r="BK40" s="77"/>
      <c r="BL40" s="77">
        <v>740.89419766965432</v>
      </c>
      <c r="BM40" s="77">
        <v>752.31395489004035</v>
      </c>
      <c r="BN40" s="77">
        <v>786.39437916337806</v>
      </c>
      <c r="BO40" s="77"/>
      <c r="BP40" s="83">
        <v>763.83882736225291</v>
      </c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83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96"/>
      <c r="CQ40" s="77"/>
      <c r="CR40" s="77"/>
      <c r="CS40" s="77"/>
      <c r="CT40" s="77"/>
      <c r="CU40" s="77"/>
      <c r="CV40" s="77"/>
      <c r="CW40" s="77"/>
      <c r="CX40" s="77"/>
      <c r="CY40" s="77">
        <v>29897.191659090917</v>
      </c>
      <c r="CZ40" s="77">
        <v>29310.475681818181</v>
      </c>
      <c r="DA40" s="77">
        <v>27172.657759740261</v>
      </c>
      <c r="DB40" s="77"/>
      <c r="DC40" s="96">
        <v>28540.784692995527</v>
      </c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96"/>
    </row>
    <row r="41" spans="1:120" hidden="1" collapsed="1" x14ac:dyDescent="0.35">
      <c r="B41" s="106" t="s">
        <v>42</v>
      </c>
      <c r="C41" s="76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81"/>
      <c r="Q41" s="78"/>
      <c r="R41" s="78"/>
      <c r="S41" s="78"/>
      <c r="T41" s="78"/>
      <c r="U41" s="78"/>
      <c r="V41" s="78"/>
      <c r="W41" s="78"/>
      <c r="X41" s="78"/>
      <c r="Y41" s="78">
        <v>44000</v>
      </c>
      <c r="Z41" s="78">
        <v>22000</v>
      </c>
      <c r="AA41" s="78">
        <v>30800</v>
      </c>
      <c r="AB41" s="78"/>
      <c r="AC41" s="81">
        <v>96800</v>
      </c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81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84"/>
      <c r="BD41" s="78"/>
      <c r="BE41" s="78"/>
      <c r="BF41" s="78"/>
      <c r="BG41" s="78"/>
      <c r="BH41" s="78"/>
      <c r="BI41" s="78"/>
      <c r="BJ41" s="78"/>
      <c r="BK41" s="78"/>
      <c r="BL41" s="78">
        <v>735.46296169006882</v>
      </c>
      <c r="BM41" s="78">
        <v>745.35134513921582</v>
      </c>
      <c r="BN41" s="78">
        <v>786.39437916337806</v>
      </c>
      <c r="BO41" s="78"/>
      <c r="BP41" s="84">
        <v>753.91577257910978</v>
      </c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84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97"/>
      <c r="CQ41" s="78"/>
      <c r="CR41" s="78"/>
      <c r="CS41" s="78"/>
      <c r="CT41" s="78"/>
      <c r="CU41" s="78"/>
      <c r="CV41" s="78"/>
      <c r="CW41" s="78"/>
      <c r="CX41" s="78"/>
      <c r="CY41" s="78">
        <v>29897.19165909092</v>
      </c>
      <c r="CZ41" s="78">
        <v>29310.475681818181</v>
      </c>
      <c r="DA41" s="78">
        <v>27172.657759740261</v>
      </c>
      <c r="DB41" s="78"/>
      <c r="DC41" s="97">
        <v>28896.949969008263</v>
      </c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97"/>
    </row>
    <row r="42" spans="1:120" s="22" customFormat="1" hidden="1" outlineLevel="1" x14ac:dyDescent="0.35">
      <c r="B42" s="25" t="s">
        <v>43</v>
      </c>
      <c r="C42" s="75" t="s">
        <v>5</v>
      </c>
      <c r="D42" s="77">
        <v>11000</v>
      </c>
      <c r="E42" s="77"/>
      <c r="F42" s="77">
        <v>300</v>
      </c>
      <c r="G42" s="77"/>
      <c r="H42" s="77"/>
      <c r="I42" s="77"/>
      <c r="J42" s="77"/>
      <c r="K42" s="77"/>
      <c r="L42" s="77"/>
      <c r="M42" s="77"/>
      <c r="N42" s="77"/>
      <c r="O42" s="77"/>
      <c r="P42" s="80">
        <v>11300</v>
      </c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80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80"/>
      <c r="AQ42" s="77">
        <v>1462.0676534339896</v>
      </c>
      <c r="AR42" s="77"/>
      <c r="AS42" s="77">
        <v>1449.7285806412817</v>
      </c>
      <c r="AT42" s="77"/>
      <c r="AU42" s="77"/>
      <c r="AV42" s="77"/>
      <c r="AW42" s="77"/>
      <c r="AX42" s="77"/>
      <c r="AY42" s="77"/>
      <c r="AZ42" s="77"/>
      <c r="BA42" s="77"/>
      <c r="BB42" s="77"/>
      <c r="BC42" s="83">
        <v>1461.7400674306434</v>
      </c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83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83"/>
      <c r="CD42" s="77">
        <v>33100.350727272729</v>
      </c>
      <c r="CE42" s="77"/>
      <c r="CF42" s="77">
        <v>35072.529230769236</v>
      </c>
      <c r="CG42" s="77"/>
      <c r="CH42" s="77"/>
      <c r="CI42" s="77"/>
      <c r="CJ42" s="77"/>
      <c r="CK42" s="77"/>
      <c r="CL42" s="77"/>
      <c r="CM42" s="77"/>
      <c r="CN42" s="77"/>
      <c r="CO42" s="77"/>
      <c r="CP42" s="96">
        <v>33152.709448604495</v>
      </c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96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96"/>
    </row>
    <row r="43" spans="1:120" s="22" customFormat="1" hidden="1" outlineLevel="1" x14ac:dyDescent="0.35">
      <c r="B43" s="25" t="s">
        <v>43</v>
      </c>
      <c r="C43" s="75" t="s">
        <v>44</v>
      </c>
      <c r="D43" s="77"/>
      <c r="E43" s="77"/>
      <c r="F43" s="77">
        <v>1000</v>
      </c>
      <c r="G43" s="77"/>
      <c r="H43" s="77"/>
      <c r="I43" s="77"/>
      <c r="J43" s="77"/>
      <c r="K43" s="77"/>
      <c r="L43" s="77"/>
      <c r="M43" s="77"/>
      <c r="N43" s="77"/>
      <c r="O43" s="77"/>
      <c r="P43" s="80">
        <v>1000</v>
      </c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80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80"/>
      <c r="AQ43" s="77"/>
      <c r="AR43" s="77"/>
      <c r="AS43" s="77">
        <v>1364.1393519059638</v>
      </c>
      <c r="AT43" s="77"/>
      <c r="AU43" s="77"/>
      <c r="AV43" s="77"/>
      <c r="AW43" s="77"/>
      <c r="AX43" s="77"/>
      <c r="AY43" s="77"/>
      <c r="AZ43" s="77"/>
      <c r="BA43" s="77"/>
      <c r="BB43" s="77"/>
      <c r="BC43" s="83">
        <v>1364.1393519059638</v>
      </c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83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83"/>
      <c r="CD43" s="77"/>
      <c r="CE43" s="77"/>
      <c r="CF43" s="77">
        <v>35072.529230769214</v>
      </c>
      <c r="CG43" s="77"/>
      <c r="CH43" s="77"/>
      <c r="CI43" s="77"/>
      <c r="CJ43" s="77"/>
      <c r="CK43" s="77"/>
      <c r="CL43" s="77"/>
      <c r="CM43" s="77"/>
      <c r="CN43" s="77"/>
      <c r="CO43" s="77"/>
      <c r="CP43" s="96">
        <v>35072.529230769214</v>
      </c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96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96"/>
    </row>
    <row r="44" spans="1:120" s="22" customFormat="1" hidden="1" outlineLevel="1" x14ac:dyDescent="0.35">
      <c r="B44" s="25" t="s">
        <v>43</v>
      </c>
      <c r="C44" s="75" t="s">
        <v>45</v>
      </c>
      <c r="D44" s="77"/>
      <c r="E44" s="77"/>
      <c r="F44" s="77"/>
      <c r="G44" s="77"/>
      <c r="H44" s="77"/>
      <c r="I44" s="77"/>
      <c r="J44" s="77"/>
      <c r="K44" s="77"/>
      <c r="L44" s="77">
        <v>25</v>
      </c>
      <c r="M44" s="77"/>
      <c r="N44" s="77"/>
      <c r="O44" s="77"/>
      <c r="P44" s="80">
        <v>25</v>
      </c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80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80"/>
      <c r="AQ44" s="77"/>
      <c r="AR44" s="77"/>
      <c r="AS44" s="77"/>
      <c r="AT44" s="77"/>
      <c r="AU44" s="77"/>
      <c r="AV44" s="77"/>
      <c r="AW44" s="77"/>
      <c r="AX44" s="77"/>
      <c r="AY44" s="77">
        <v>1363.4656415603395</v>
      </c>
      <c r="AZ44" s="77"/>
      <c r="BA44" s="77"/>
      <c r="BB44" s="77"/>
      <c r="BC44" s="83">
        <v>1363.4656415603395</v>
      </c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83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83"/>
      <c r="CD44" s="77"/>
      <c r="CE44" s="77"/>
      <c r="CF44" s="77"/>
      <c r="CG44" s="77"/>
      <c r="CH44" s="77"/>
      <c r="CI44" s="77"/>
      <c r="CJ44" s="77"/>
      <c r="CK44" s="77"/>
      <c r="CL44" s="77">
        <v>31459.96</v>
      </c>
      <c r="CM44" s="77"/>
      <c r="CN44" s="77"/>
      <c r="CO44" s="77"/>
      <c r="CP44" s="96">
        <v>31459.96</v>
      </c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96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96"/>
    </row>
    <row r="45" spans="1:120" s="22" customFormat="1" hidden="1" outlineLevel="1" x14ac:dyDescent="0.35">
      <c r="B45" s="25" t="s">
        <v>43</v>
      </c>
      <c r="C45" s="75" t="s">
        <v>46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>
        <v>25</v>
      </c>
      <c r="O45" s="77"/>
      <c r="P45" s="80">
        <v>25</v>
      </c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80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80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>
        <v>1366.8147510642539</v>
      </c>
      <c r="BB45" s="77"/>
      <c r="BC45" s="83">
        <v>1366.8147510642539</v>
      </c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83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83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>
        <v>31466.04</v>
      </c>
      <c r="CO45" s="77"/>
      <c r="CP45" s="96">
        <v>31466.04</v>
      </c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96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96"/>
    </row>
    <row r="46" spans="1:120" hidden="1" collapsed="1" x14ac:dyDescent="0.35">
      <c r="B46" s="106" t="s">
        <v>47</v>
      </c>
      <c r="C46" s="76"/>
      <c r="D46" s="78">
        <v>11000</v>
      </c>
      <c r="E46" s="78"/>
      <c r="F46" s="78">
        <v>1300</v>
      </c>
      <c r="G46" s="78"/>
      <c r="H46" s="78"/>
      <c r="I46" s="78"/>
      <c r="J46" s="78"/>
      <c r="K46" s="78"/>
      <c r="L46" s="78">
        <v>25</v>
      </c>
      <c r="M46" s="78"/>
      <c r="N46" s="78">
        <v>25</v>
      </c>
      <c r="O46" s="78"/>
      <c r="P46" s="81">
        <v>12350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81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81"/>
      <c r="AQ46" s="78">
        <v>1462.0676534339896</v>
      </c>
      <c r="AR46" s="78"/>
      <c r="AS46" s="78">
        <v>1383.8907123833449</v>
      </c>
      <c r="AT46" s="78"/>
      <c r="AU46" s="78"/>
      <c r="AV46" s="78"/>
      <c r="AW46" s="78"/>
      <c r="AX46" s="78"/>
      <c r="AY46" s="78">
        <v>1363.4656415603395</v>
      </c>
      <c r="AZ46" s="78"/>
      <c r="BA46" s="78">
        <v>1366.8147510642539</v>
      </c>
      <c r="BB46" s="78"/>
      <c r="BC46" s="84">
        <v>1453.4460828897043</v>
      </c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84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84"/>
      <c r="CD46" s="78">
        <v>33100.350727272729</v>
      </c>
      <c r="CE46" s="78"/>
      <c r="CF46" s="78">
        <v>35072.529230769222</v>
      </c>
      <c r="CG46" s="78"/>
      <c r="CH46" s="78"/>
      <c r="CI46" s="78"/>
      <c r="CJ46" s="78"/>
      <c r="CK46" s="78"/>
      <c r="CL46" s="78">
        <v>31459.96</v>
      </c>
      <c r="CM46" s="78"/>
      <c r="CN46" s="78">
        <v>31466.04</v>
      </c>
      <c r="CO46" s="78"/>
      <c r="CP46" s="97">
        <v>33301.319514170034</v>
      </c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97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97"/>
    </row>
    <row r="47" spans="1:120" s="22" customFormat="1" hidden="1" outlineLevel="1" x14ac:dyDescent="0.35">
      <c r="B47" s="25" t="s">
        <v>48</v>
      </c>
      <c r="C47" s="75" t="s">
        <v>49</v>
      </c>
      <c r="D47" s="77"/>
      <c r="E47" s="77"/>
      <c r="F47" s="77"/>
      <c r="G47" s="77">
        <v>2000</v>
      </c>
      <c r="H47" s="77">
        <v>1375</v>
      </c>
      <c r="I47" s="77"/>
      <c r="J47" s="77"/>
      <c r="K47" s="77"/>
      <c r="L47" s="77"/>
      <c r="M47" s="77"/>
      <c r="N47" s="77"/>
      <c r="O47" s="77"/>
      <c r="P47" s="80">
        <v>3375</v>
      </c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80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80"/>
      <c r="AQ47" s="77"/>
      <c r="AR47" s="77"/>
      <c r="AS47" s="77"/>
      <c r="AT47" s="77">
        <v>1262.2525227973058</v>
      </c>
      <c r="AU47" s="77">
        <v>1215.2174968272511</v>
      </c>
      <c r="AV47" s="77"/>
      <c r="AW47" s="77"/>
      <c r="AX47" s="77"/>
      <c r="AY47" s="77"/>
      <c r="AZ47" s="77"/>
      <c r="BA47" s="77"/>
      <c r="BB47" s="77"/>
      <c r="BC47" s="83">
        <v>1243.0901048095059</v>
      </c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83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83"/>
      <c r="CD47" s="77"/>
      <c r="CE47" s="77"/>
      <c r="CF47" s="77"/>
      <c r="CG47" s="77">
        <v>27275.996712535358</v>
      </c>
      <c r="CH47" s="77">
        <v>26433.317789240973</v>
      </c>
      <c r="CI47" s="77"/>
      <c r="CJ47" s="77"/>
      <c r="CK47" s="77"/>
      <c r="CL47" s="77"/>
      <c r="CM47" s="77"/>
      <c r="CN47" s="77"/>
      <c r="CO47" s="77"/>
      <c r="CP47" s="96">
        <v>26932.683077119131</v>
      </c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96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96"/>
    </row>
    <row r="48" spans="1:120" s="22" customFormat="1" hidden="1" outlineLevel="1" x14ac:dyDescent="0.35">
      <c r="B48" s="25" t="s">
        <v>48</v>
      </c>
      <c r="C48" s="75" t="s">
        <v>5</v>
      </c>
      <c r="D48" s="77">
        <v>100000</v>
      </c>
      <c r="E48" s="77">
        <v>100000</v>
      </c>
      <c r="F48" s="77">
        <v>110300</v>
      </c>
      <c r="G48" s="77">
        <v>10000</v>
      </c>
      <c r="H48" s="77">
        <v>99700</v>
      </c>
      <c r="I48" s="77"/>
      <c r="J48" s="77"/>
      <c r="K48" s="77"/>
      <c r="L48" s="77"/>
      <c r="M48" s="77"/>
      <c r="N48" s="77"/>
      <c r="O48" s="77"/>
      <c r="P48" s="80">
        <v>420000</v>
      </c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80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80"/>
      <c r="AQ48" s="77">
        <v>1510.7116182096975</v>
      </c>
      <c r="AR48" s="77">
        <v>1505.3425104470089</v>
      </c>
      <c r="AS48" s="77">
        <v>1498.5437301100942</v>
      </c>
      <c r="AT48" s="77">
        <v>1470.3196343022025</v>
      </c>
      <c r="AU48" s="77">
        <v>1387.6843723080322</v>
      </c>
      <c r="AV48" s="77"/>
      <c r="AW48" s="77"/>
      <c r="AX48" s="77"/>
      <c r="AY48" s="77"/>
      <c r="AZ48" s="77"/>
      <c r="BA48" s="77"/>
      <c r="BB48" s="77"/>
      <c r="BC48" s="83">
        <v>1476.0717013308249</v>
      </c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83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83"/>
      <c r="CD48" s="77">
        <v>28996.769044754223</v>
      </c>
      <c r="CE48" s="77">
        <v>27173.31119</v>
      </c>
      <c r="CF48" s="77">
        <v>27285.004349959116</v>
      </c>
      <c r="CG48" s="77">
        <v>27275.996712535351</v>
      </c>
      <c r="CH48" s="77">
        <v>26433.317789240966</v>
      </c>
      <c r="CI48" s="77"/>
      <c r="CJ48" s="77"/>
      <c r="CK48" s="77"/>
      <c r="CL48" s="77"/>
      <c r="CM48" s="77"/>
      <c r="CN48" s="77"/>
      <c r="CO48" s="77"/>
      <c r="CP48" s="96">
        <v>27463.585128544299</v>
      </c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96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96"/>
    </row>
    <row r="49" spans="2:120" s="22" customFormat="1" hidden="1" outlineLevel="1" x14ac:dyDescent="0.35">
      <c r="B49" s="25" t="s">
        <v>48</v>
      </c>
      <c r="C49" s="75" t="s">
        <v>50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80"/>
      <c r="Q49" s="77"/>
      <c r="R49" s="77"/>
      <c r="S49" s="77"/>
      <c r="T49" s="77"/>
      <c r="U49" s="77"/>
      <c r="V49" s="77"/>
      <c r="W49" s="77"/>
      <c r="X49" s="77"/>
      <c r="Y49" s="77"/>
      <c r="Z49" s="77">
        <v>5500</v>
      </c>
      <c r="AA49" s="77"/>
      <c r="AB49" s="77"/>
      <c r="AC49" s="80">
        <v>5500</v>
      </c>
      <c r="AD49" s="77"/>
      <c r="AE49" s="77"/>
      <c r="AF49" s="77"/>
      <c r="AG49" s="77">
        <v>9625</v>
      </c>
      <c r="AH49" s="77"/>
      <c r="AI49" s="77"/>
      <c r="AJ49" s="77"/>
      <c r="AK49" s="77"/>
      <c r="AL49" s="77"/>
      <c r="AM49" s="77"/>
      <c r="AN49" s="77"/>
      <c r="AO49" s="77"/>
      <c r="AP49" s="80">
        <v>9625</v>
      </c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83"/>
      <c r="BD49" s="77"/>
      <c r="BE49" s="77"/>
      <c r="BF49" s="77"/>
      <c r="BG49" s="77"/>
      <c r="BH49" s="77"/>
      <c r="BI49" s="77"/>
      <c r="BJ49" s="77"/>
      <c r="BK49" s="77"/>
      <c r="BL49" s="77"/>
      <c r="BM49" s="77">
        <v>1389.2712517675734</v>
      </c>
      <c r="BN49" s="77"/>
      <c r="BO49" s="77"/>
      <c r="BP49" s="83">
        <v>1389.2712517675734</v>
      </c>
      <c r="BQ49" s="77"/>
      <c r="BR49" s="77"/>
      <c r="BS49" s="77"/>
      <c r="BT49" s="77">
        <v>1282.5523809523809</v>
      </c>
      <c r="BU49" s="77"/>
      <c r="BV49" s="77"/>
      <c r="BW49" s="77"/>
      <c r="BX49" s="77"/>
      <c r="BY49" s="77"/>
      <c r="BZ49" s="77"/>
      <c r="CA49" s="77"/>
      <c r="CB49" s="77"/>
      <c r="CC49" s="83">
        <v>1282.5523809523809</v>
      </c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96"/>
      <c r="CQ49" s="77"/>
      <c r="CR49" s="77"/>
      <c r="CS49" s="77"/>
      <c r="CT49" s="77"/>
      <c r="CU49" s="77"/>
      <c r="CV49" s="77"/>
      <c r="CW49" s="77"/>
      <c r="CX49" s="77"/>
      <c r="CY49" s="77"/>
      <c r="CZ49" s="77">
        <v>26983.608548168253</v>
      </c>
      <c r="DA49" s="77"/>
      <c r="DB49" s="77"/>
      <c r="DC49" s="96">
        <v>26983.608548168253</v>
      </c>
      <c r="DD49" s="77"/>
      <c r="DE49" s="77"/>
      <c r="DF49" s="77"/>
      <c r="DG49" s="77">
        <v>30209.067622443232</v>
      </c>
      <c r="DH49" s="77"/>
      <c r="DI49" s="77"/>
      <c r="DJ49" s="77"/>
      <c r="DK49" s="77"/>
      <c r="DL49" s="77"/>
      <c r="DM49" s="77"/>
      <c r="DN49" s="77"/>
      <c r="DO49" s="77"/>
      <c r="DP49" s="96">
        <v>30209.067622443232</v>
      </c>
    </row>
    <row r="50" spans="2:120" s="22" customFormat="1" hidden="1" outlineLevel="1" x14ac:dyDescent="0.35">
      <c r="B50" s="25" t="s">
        <v>48</v>
      </c>
      <c r="C50" s="75" t="s">
        <v>51</v>
      </c>
      <c r="D50" s="77">
        <v>60750</v>
      </c>
      <c r="E50" s="77"/>
      <c r="F50" s="77"/>
      <c r="G50" s="77">
        <v>11000</v>
      </c>
      <c r="H50" s="77">
        <v>25000</v>
      </c>
      <c r="I50" s="77"/>
      <c r="J50" s="77"/>
      <c r="K50" s="77">
        <v>11000</v>
      </c>
      <c r="L50" s="77">
        <v>11000</v>
      </c>
      <c r="M50" s="77"/>
      <c r="N50" s="77"/>
      <c r="O50" s="77">
        <v>24750</v>
      </c>
      <c r="P50" s="80">
        <v>143500</v>
      </c>
      <c r="Q50" s="77">
        <v>49500</v>
      </c>
      <c r="R50" s="77">
        <v>24750</v>
      </c>
      <c r="S50" s="77">
        <v>24750</v>
      </c>
      <c r="T50" s="77">
        <v>24750</v>
      </c>
      <c r="U50" s="77">
        <v>24750</v>
      </c>
      <c r="V50" s="77">
        <v>24750</v>
      </c>
      <c r="W50" s="77">
        <v>35750</v>
      </c>
      <c r="X50" s="77">
        <v>35725</v>
      </c>
      <c r="Y50" s="77">
        <v>35750</v>
      </c>
      <c r="Z50" s="77">
        <v>35750</v>
      </c>
      <c r="AA50" s="77">
        <v>11000</v>
      </c>
      <c r="AB50" s="77">
        <v>35750</v>
      </c>
      <c r="AC50" s="80">
        <v>362975</v>
      </c>
      <c r="AD50" s="77">
        <v>46750</v>
      </c>
      <c r="AE50" s="77">
        <v>24750</v>
      </c>
      <c r="AF50" s="77">
        <v>46750</v>
      </c>
      <c r="AG50" s="77"/>
      <c r="AH50" s="77"/>
      <c r="AI50" s="77"/>
      <c r="AJ50" s="77"/>
      <c r="AK50" s="77"/>
      <c r="AL50" s="77"/>
      <c r="AM50" s="77"/>
      <c r="AN50" s="77"/>
      <c r="AO50" s="77"/>
      <c r="AP50" s="80">
        <v>118250</v>
      </c>
      <c r="AQ50" s="77">
        <v>1517.9825736613361</v>
      </c>
      <c r="AR50" s="77"/>
      <c r="AS50" s="77"/>
      <c r="AT50" s="77">
        <v>1476.219251105312</v>
      </c>
      <c r="AU50" s="77">
        <v>1396.1132681724089</v>
      </c>
      <c r="AV50" s="77"/>
      <c r="AW50" s="77"/>
      <c r="AX50" s="77">
        <v>1414.9784795903677</v>
      </c>
      <c r="AY50" s="77">
        <v>1439.2766404303525</v>
      </c>
      <c r="AZ50" s="77"/>
      <c r="BA50" s="77"/>
      <c r="BB50" s="77">
        <v>1378.4042549271019</v>
      </c>
      <c r="BC50" s="83">
        <v>1455.547013561453</v>
      </c>
      <c r="BD50" s="77">
        <v>1394.0405487052608</v>
      </c>
      <c r="BE50" s="77">
        <v>1408.7094477073215</v>
      </c>
      <c r="BF50" s="77">
        <v>1402.2983600119544</v>
      </c>
      <c r="BG50" s="77">
        <v>1386.0856994705478</v>
      </c>
      <c r="BH50" s="77">
        <v>1346.6065599800852</v>
      </c>
      <c r="BI50" s="77">
        <v>1339.8249946616781</v>
      </c>
      <c r="BJ50" s="77">
        <v>1383.0530493300971</v>
      </c>
      <c r="BK50" s="77">
        <v>1375.0674669499708</v>
      </c>
      <c r="BL50" s="77">
        <v>1371.1182587056312</v>
      </c>
      <c r="BM50" s="77">
        <v>1392.3995865929737</v>
      </c>
      <c r="BN50" s="77">
        <v>1392.0923629372871</v>
      </c>
      <c r="BO50" s="77">
        <v>1394.6996424082872</v>
      </c>
      <c r="BP50" s="83">
        <v>1382.7673404212751</v>
      </c>
      <c r="BQ50" s="77">
        <v>1363.0906474048866</v>
      </c>
      <c r="BR50" s="77">
        <v>1321.890341906693</v>
      </c>
      <c r="BS50" s="77">
        <v>1351.7703053097762</v>
      </c>
      <c r="BT50" s="77"/>
      <c r="BU50" s="77"/>
      <c r="BV50" s="77"/>
      <c r="BW50" s="77"/>
      <c r="BX50" s="77"/>
      <c r="BY50" s="77"/>
      <c r="BZ50" s="77"/>
      <c r="CA50" s="77"/>
      <c r="CB50" s="77"/>
      <c r="CC50" s="83">
        <v>1349.9918435653374</v>
      </c>
      <c r="CD50" s="77">
        <v>28996.769044754226</v>
      </c>
      <c r="CE50" s="77"/>
      <c r="CF50" s="77"/>
      <c r="CG50" s="77">
        <v>27275.996712535354</v>
      </c>
      <c r="CH50" s="77">
        <v>26433.317789240977</v>
      </c>
      <c r="CI50" s="77"/>
      <c r="CJ50" s="77"/>
      <c r="CK50" s="77">
        <v>27318.421264069264</v>
      </c>
      <c r="CL50" s="77">
        <v>27586.223522727272</v>
      </c>
      <c r="CM50" s="77"/>
      <c r="CN50" s="77"/>
      <c r="CO50" s="77">
        <v>27678.942531894016</v>
      </c>
      <c r="CP50" s="96">
        <v>27954.198943253457</v>
      </c>
      <c r="CQ50" s="77">
        <v>27886.388615237189</v>
      </c>
      <c r="CR50" s="77">
        <v>27938.279196172243</v>
      </c>
      <c r="CS50" s="77">
        <v>27963.684036772207</v>
      </c>
      <c r="CT50" s="77">
        <v>27869.928363636369</v>
      </c>
      <c r="CU50" s="77">
        <v>27477.289609339921</v>
      </c>
      <c r="CV50" s="77">
        <v>27372.33437694014</v>
      </c>
      <c r="CW50" s="77">
        <v>27311.250834879407</v>
      </c>
      <c r="CX50" s="77">
        <v>27111.256180971395</v>
      </c>
      <c r="CY50" s="77">
        <v>27065.021986696229</v>
      </c>
      <c r="CZ50" s="77">
        <v>26983.608548168257</v>
      </c>
      <c r="DA50" s="77">
        <v>27100.633378787879</v>
      </c>
      <c r="DB50" s="77">
        <v>27808.628163992867</v>
      </c>
      <c r="DC50" s="96">
        <v>27496.906280578565</v>
      </c>
      <c r="DD50" s="77">
        <v>29029.363466351831</v>
      </c>
      <c r="DE50" s="77">
        <v>29713.048821917808</v>
      </c>
      <c r="DF50" s="77">
        <v>30209.067625562555</v>
      </c>
      <c r="DG50" s="77"/>
      <c r="DH50" s="77"/>
      <c r="DI50" s="77"/>
      <c r="DJ50" s="77"/>
      <c r="DK50" s="77"/>
      <c r="DL50" s="77"/>
      <c r="DM50" s="77"/>
      <c r="DN50" s="77"/>
      <c r="DO50" s="77"/>
      <c r="DP50" s="96">
        <v>29638.855068832669</v>
      </c>
    </row>
    <row r="51" spans="2:120" s="22" customFormat="1" hidden="1" outlineLevel="1" x14ac:dyDescent="0.35">
      <c r="B51" s="25" t="s">
        <v>48</v>
      </c>
      <c r="C51" s="75" t="s">
        <v>52</v>
      </c>
      <c r="D51" s="77">
        <v>9625</v>
      </c>
      <c r="E51" s="77"/>
      <c r="F51" s="77"/>
      <c r="G51" s="77">
        <v>9625</v>
      </c>
      <c r="H51" s="77">
        <v>9625</v>
      </c>
      <c r="I51" s="77"/>
      <c r="J51" s="77">
        <v>9625</v>
      </c>
      <c r="K51" s="77">
        <v>9625</v>
      </c>
      <c r="L51" s="77"/>
      <c r="M51" s="77"/>
      <c r="N51" s="77"/>
      <c r="O51" s="77"/>
      <c r="P51" s="80">
        <v>48125</v>
      </c>
      <c r="Q51" s="77"/>
      <c r="R51" s="77">
        <v>2750</v>
      </c>
      <c r="S51" s="77">
        <v>9625</v>
      </c>
      <c r="T51" s="77"/>
      <c r="U51" s="77">
        <v>9600</v>
      </c>
      <c r="V51" s="77"/>
      <c r="W51" s="77"/>
      <c r="X51" s="77"/>
      <c r="Y51" s="77"/>
      <c r="Z51" s="77"/>
      <c r="AA51" s="77"/>
      <c r="AB51" s="77"/>
      <c r="AC51" s="80">
        <v>21975</v>
      </c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80"/>
      <c r="AQ51" s="77">
        <v>1519.8315923765526</v>
      </c>
      <c r="AR51" s="77"/>
      <c r="AS51" s="77"/>
      <c r="AT51" s="77">
        <v>1478.6215639383081</v>
      </c>
      <c r="AU51" s="77">
        <v>1398.0934583292403</v>
      </c>
      <c r="AV51" s="77"/>
      <c r="AW51" s="77">
        <v>1401.5715778610293</v>
      </c>
      <c r="AX51" s="77">
        <v>1417.3950836911706</v>
      </c>
      <c r="AY51" s="77"/>
      <c r="AZ51" s="77"/>
      <c r="BA51" s="77"/>
      <c r="BB51" s="77"/>
      <c r="BC51" s="83">
        <v>1443.1026552392602</v>
      </c>
      <c r="BD51" s="77"/>
      <c r="BE51" s="77">
        <v>1415.3146932352581</v>
      </c>
      <c r="BF51" s="77">
        <v>1409.6141866621736</v>
      </c>
      <c r="BG51" s="77"/>
      <c r="BH51" s="77">
        <v>1351.3016949193343</v>
      </c>
      <c r="BI51" s="77"/>
      <c r="BJ51" s="77"/>
      <c r="BK51" s="77"/>
      <c r="BL51" s="77"/>
      <c r="BM51" s="77"/>
      <c r="BN51" s="77"/>
      <c r="BO51" s="77"/>
      <c r="BP51" s="83">
        <v>1384.8531615129004</v>
      </c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83"/>
      <c r="CD51" s="77">
        <v>28996.769044754219</v>
      </c>
      <c r="CE51" s="77"/>
      <c r="CF51" s="77"/>
      <c r="CG51" s="77">
        <v>27275.996712535343</v>
      </c>
      <c r="CH51" s="77">
        <v>26433.317789240969</v>
      </c>
      <c r="CI51" s="77"/>
      <c r="CJ51" s="77">
        <v>26935.072798975671</v>
      </c>
      <c r="CK51" s="77">
        <v>27318.42126406926</v>
      </c>
      <c r="CL51" s="77"/>
      <c r="CM51" s="77"/>
      <c r="CN51" s="77"/>
      <c r="CO51" s="77"/>
      <c r="CP51" s="96">
        <v>27391.915521915093</v>
      </c>
      <c r="CQ51" s="77"/>
      <c r="CR51" s="77">
        <v>27938.279196172254</v>
      </c>
      <c r="CS51" s="77">
        <v>27963.684036772214</v>
      </c>
      <c r="CT51" s="77"/>
      <c r="CU51" s="77">
        <v>27477.289609339918</v>
      </c>
      <c r="CV51" s="77"/>
      <c r="CW51" s="77"/>
      <c r="CX51" s="77"/>
      <c r="CY51" s="77"/>
      <c r="CZ51" s="77"/>
      <c r="DA51" s="77"/>
      <c r="DB51" s="77"/>
      <c r="DC51" s="96">
        <v>27748.018516180637</v>
      </c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96"/>
    </row>
    <row r="52" spans="2:120" s="22" customFormat="1" hidden="1" outlineLevel="1" x14ac:dyDescent="0.35">
      <c r="B52" s="25" t="s">
        <v>48</v>
      </c>
      <c r="C52" s="75" t="s">
        <v>53</v>
      </c>
      <c r="D52" s="77"/>
      <c r="E52" s="77"/>
      <c r="F52" s="77"/>
      <c r="G52" s="77"/>
      <c r="H52" s="77"/>
      <c r="I52" s="77"/>
      <c r="J52" s="77">
        <v>22000</v>
      </c>
      <c r="K52" s="77">
        <v>44000</v>
      </c>
      <c r="L52" s="77"/>
      <c r="M52" s="77">
        <v>22000</v>
      </c>
      <c r="N52" s="77">
        <v>22000</v>
      </c>
      <c r="O52" s="77"/>
      <c r="P52" s="80">
        <v>110000</v>
      </c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80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80"/>
      <c r="AQ52" s="77"/>
      <c r="AR52" s="77"/>
      <c r="AS52" s="77"/>
      <c r="AT52" s="77"/>
      <c r="AU52" s="77"/>
      <c r="AV52" s="77"/>
      <c r="AW52" s="77">
        <v>1364.8231032004385</v>
      </c>
      <c r="AX52" s="77">
        <v>1379.743895664107</v>
      </c>
      <c r="AY52" s="77"/>
      <c r="AZ52" s="77">
        <v>1363.6930420641866</v>
      </c>
      <c r="BA52" s="77">
        <v>1364.2421250721325</v>
      </c>
      <c r="BB52" s="77"/>
      <c r="BC52" s="83">
        <v>1370.4492123329944</v>
      </c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83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83"/>
      <c r="CD52" s="77"/>
      <c r="CE52" s="77"/>
      <c r="CF52" s="77"/>
      <c r="CG52" s="77"/>
      <c r="CH52" s="77"/>
      <c r="CI52" s="77"/>
      <c r="CJ52" s="77">
        <v>26935.072798975667</v>
      </c>
      <c r="CK52" s="77">
        <v>27318.421264069264</v>
      </c>
      <c r="CL52" s="77"/>
      <c r="CM52" s="77">
        <v>27506.316072727273</v>
      </c>
      <c r="CN52" s="77">
        <v>27721.873863636363</v>
      </c>
      <c r="CO52" s="77"/>
      <c r="CP52" s="96">
        <v>27360.021052695563</v>
      </c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96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96"/>
    </row>
    <row r="53" spans="2:120" s="22" customFormat="1" hidden="1" outlineLevel="1" x14ac:dyDescent="0.35">
      <c r="B53" s="25" t="s">
        <v>48</v>
      </c>
      <c r="C53" s="75" t="s">
        <v>27</v>
      </c>
      <c r="D53" s="77"/>
      <c r="E53" s="77"/>
      <c r="F53" s="77">
        <v>12000</v>
      </c>
      <c r="G53" s="77"/>
      <c r="H53" s="77"/>
      <c r="I53" s="77"/>
      <c r="J53" s="77"/>
      <c r="K53" s="77"/>
      <c r="L53" s="77"/>
      <c r="M53" s="77"/>
      <c r="N53" s="77"/>
      <c r="O53" s="77"/>
      <c r="P53" s="80">
        <v>12000</v>
      </c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80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80"/>
      <c r="AQ53" s="77"/>
      <c r="AR53" s="77"/>
      <c r="AS53" s="77">
        <v>1358.0223461798512</v>
      </c>
      <c r="AT53" s="77"/>
      <c r="AU53" s="77"/>
      <c r="AV53" s="77"/>
      <c r="AW53" s="77"/>
      <c r="AX53" s="77"/>
      <c r="AY53" s="77"/>
      <c r="AZ53" s="77"/>
      <c r="BA53" s="77"/>
      <c r="BB53" s="77"/>
      <c r="BC53" s="83">
        <v>1358.0223461798512</v>
      </c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83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83"/>
      <c r="CD53" s="77"/>
      <c r="CE53" s="77"/>
      <c r="CF53" s="77">
        <v>27285.004349959119</v>
      </c>
      <c r="CG53" s="77"/>
      <c r="CH53" s="77"/>
      <c r="CI53" s="77"/>
      <c r="CJ53" s="77"/>
      <c r="CK53" s="77"/>
      <c r="CL53" s="77"/>
      <c r="CM53" s="77"/>
      <c r="CN53" s="77"/>
      <c r="CO53" s="77"/>
      <c r="CP53" s="96">
        <v>27285.004349959119</v>
      </c>
      <c r="CQ53" s="77"/>
      <c r="CR53" s="77"/>
      <c r="CS53" s="77"/>
      <c r="CT53" s="77"/>
      <c r="CU53" s="77"/>
      <c r="CV53" s="77"/>
      <c r="CW53" s="77"/>
      <c r="CX53" s="77"/>
      <c r="CY53" s="77"/>
      <c r="CZ53" s="77"/>
      <c r="DA53" s="77"/>
      <c r="DB53" s="77"/>
      <c r="DC53" s="96"/>
      <c r="DD53" s="77"/>
      <c r="DE53" s="77"/>
      <c r="DF53" s="77"/>
      <c r="DG53" s="77"/>
      <c r="DH53" s="77"/>
      <c r="DI53" s="77"/>
      <c r="DJ53" s="77"/>
      <c r="DK53" s="77"/>
      <c r="DL53" s="77"/>
      <c r="DM53" s="77"/>
      <c r="DN53" s="77"/>
      <c r="DO53" s="77"/>
      <c r="DP53" s="96"/>
    </row>
    <row r="54" spans="2:120" s="22" customFormat="1" hidden="1" outlineLevel="1" x14ac:dyDescent="0.35">
      <c r="B54" s="25" t="s">
        <v>48</v>
      </c>
      <c r="C54" s="75" t="s">
        <v>54</v>
      </c>
      <c r="D54" s="77"/>
      <c r="E54" s="77"/>
      <c r="F54" s="77"/>
      <c r="G54" s="77">
        <v>100000</v>
      </c>
      <c r="H54" s="77"/>
      <c r="I54" s="77">
        <v>88000</v>
      </c>
      <c r="J54" s="77">
        <v>66000</v>
      </c>
      <c r="K54" s="77">
        <v>22000</v>
      </c>
      <c r="L54" s="77">
        <v>77000</v>
      </c>
      <c r="M54" s="77">
        <v>88000</v>
      </c>
      <c r="N54" s="77">
        <v>66000</v>
      </c>
      <c r="O54" s="77">
        <v>77150</v>
      </c>
      <c r="P54" s="80">
        <v>584150</v>
      </c>
      <c r="Q54" s="77">
        <v>54850</v>
      </c>
      <c r="R54" s="77">
        <v>77000</v>
      </c>
      <c r="S54" s="77">
        <v>88000</v>
      </c>
      <c r="T54" s="77">
        <v>22000</v>
      </c>
      <c r="U54" s="77">
        <v>77000</v>
      </c>
      <c r="V54" s="77">
        <v>88000</v>
      </c>
      <c r="W54" s="77">
        <v>99000</v>
      </c>
      <c r="X54" s="77">
        <v>77000</v>
      </c>
      <c r="Y54" s="77">
        <v>77000</v>
      </c>
      <c r="Z54" s="77">
        <v>143000</v>
      </c>
      <c r="AA54" s="77">
        <v>55000</v>
      </c>
      <c r="AB54" s="77">
        <v>104500</v>
      </c>
      <c r="AC54" s="80">
        <v>962350</v>
      </c>
      <c r="AD54" s="77">
        <v>165000</v>
      </c>
      <c r="AE54" s="77">
        <v>176000</v>
      </c>
      <c r="AF54" s="77">
        <v>231000</v>
      </c>
      <c r="AG54" s="77">
        <v>192500</v>
      </c>
      <c r="AH54" s="77"/>
      <c r="AI54" s="77"/>
      <c r="AJ54" s="77"/>
      <c r="AK54" s="77"/>
      <c r="AL54" s="77"/>
      <c r="AM54" s="77"/>
      <c r="AN54" s="77"/>
      <c r="AO54" s="77"/>
      <c r="AP54" s="80">
        <v>764500</v>
      </c>
      <c r="AQ54" s="77"/>
      <c r="AR54" s="77"/>
      <c r="AS54" s="77"/>
      <c r="AT54" s="77">
        <v>1399.175032742211</v>
      </c>
      <c r="AU54" s="77"/>
      <c r="AV54" s="77">
        <v>1389.1522638709623</v>
      </c>
      <c r="AW54" s="77">
        <v>1393.3134936676383</v>
      </c>
      <c r="AX54" s="77">
        <v>1409.0437671253171</v>
      </c>
      <c r="AY54" s="77">
        <v>1433.240016178228</v>
      </c>
      <c r="AZ54" s="77">
        <v>1415.3075757041745</v>
      </c>
      <c r="BA54" s="77">
        <v>1393.2675396221337</v>
      </c>
      <c r="BB54" s="77">
        <v>1391.2212636206275</v>
      </c>
      <c r="BC54" s="83">
        <v>1402.577218119952</v>
      </c>
      <c r="BD54" s="77">
        <v>1392.4109717956405</v>
      </c>
      <c r="BE54" s="77">
        <v>1407.0842790048584</v>
      </c>
      <c r="BF54" s="77">
        <v>1401.4169223246172</v>
      </c>
      <c r="BG54" s="77">
        <v>1348.8895790310251</v>
      </c>
      <c r="BH54" s="77">
        <v>1343.2524599058197</v>
      </c>
      <c r="BI54" s="77">
        <v>1336.1997818860627</v>
      </c>
      <c r="BJ54" s="77">
        <v>1353.2218261105145</v>
      </c>
      <c r="BK54" s="77">
        <v>1371.5527028385241</v>
      </c>
      <c r="BL54" s="77">
        <v>1367.4959606229309</v>
      </c>
      <c r="BM54" s="77">
        <v>1381.6862771512674</v>
      </c>
      <c r="BN54" s="77">
        <v>1388.3654519417257</v>
      </c>
      <c r="BO54" s="77">
        <v>1391.0743293132111</v>
      </c>
      <c r="BP54" s="83">
        <v>1374.6762863640736</v>
      </c>
      <c r="BQ54" s="77">
        <v>1363.3487193673211</v>
      </c>
      <c r="BR54" s="77">
        <v>1361.2591153846445</v>
      </c>
      <c r="BS54" s="77">
        <v>1347.7061555560228</v>
      </c>
      <c r="BT54" s="77">
        <v>1345.5379591836734</v>
      </c>
      <c r="BU54" s="77"/>
      <c r="BV54" s="77"/>
      <c r="BW54" s="77"/>
      <c r="BX54" s="77"/>
      <c r="BY54" s="77"/>
      <c r="BZ54" s="77"/>
      <c r="CA54" s="77"/>
      <c r="CB54" s="77"/>
      <c r="CC54" s="83">
        <v>1353.6564055979118</v>
      </c>
      <c r="CD54" s="77"/>
      <c r="CE54" s="77"/>
      <c r="CF54" s="77"/>
      <c r="CG54" s="77">
        <v>27275.996712535343</v>
      </c>
      <c r="CH54" s="77"/>
      <c r="CI54" s="77">
        <v>26308.111329545456</v>
      </c>
      <c r="CJ54" s="77">
        <v>26935.072798975674</v>
      </c>
      <c r="CK54" s="77">
        <v>27318.421264069264</v>
      </c>
      <c r="CL54" s="77">
        <v>27586.223522727272</v>
      </c>
      <c r="CM54" s="77">
        <v>27506.316072727273</v>
      </c>
      <c r="CN54" s="77">
        <v>27721.873863636363</v>
      </c>
      <c r="CO54" s="77">
        <v>27678.942531894012</v>
      </c>
      <c r="CP54" s="96">
        <v>27272.451695251344</v>
      </c>
      <c r="CQ54" s="77">
        <v>27886.388615237192</v>
      </c>
      <c r="CR54" s="77">
        <v>27938.279196172254</v>
      </c>
      <c r="CS54" s="77">
        <v>27963.684036772214</v>
      </c>
      <c r="CT54" s="77">
        <v>27869.928363636365</v>
      </c>
      <c r="CU54" s="77">
        <v>27477.289609339929</v>
      </c>
      <c r="CV54" s="77">
        <v>27372.334376940136</v>
      </c>
      <c r="CW54" s="77">
        <v>27311.250834879414</v>
      </c>
      <c r="CX54" s="77">
        <v>27111.256180971399</v>
      </c>
      <c r="CY54" s="77">
        <v>27065.021986696229</v>
      </c>
      <c r="CZ54" s="77">
        <v>26983.608548168264</v>
      </c>
      <c r="DA54" s="77">
        <v>27100.633378787883</v>
      </c>
      <c r="DB54" s="77">
        <v>27808.628163992878</v>
      </c>
      <c r="DC54" s="96">
        <v>27443.087245699619</v>
      </c>
      <c r="DD54" s="77">
        <v>29029.363466351831</v>
      </c>
      <c r="DE54" s="77">
        <v>29713.048821917801</v>
      </c>
      <c r="DF54" s="77">
        <v>30209.067625562555</v>
      </c>
      <c r="DG54" s="77">
        <v>30209.067622443228</v>
      </c>
      <c r="DH54" s="77"/>
      <c r="DI54" s="77"/>
      <c r="DJ54" s="77"/>
      <c r="DK54" s="77"/>
      <c r="DL54" s="77"/>
      <c r="DM54" s="77"/>
      <c r="DN54" s="77"/>
      <c r="DO54" s="77"/>
      <c r="DP54" s="96">
        <v>29840.26383705801</v>
      </c>
    </row>
    <row r="55" spans="2:120" hidden="1" collapsed="1" x14ac:dyDescent="0.35">
      <c r="B55" s="106" t="s">
        <v>55</v>
      </c>
      <c r="C55" s="76"/>
      <c r="D55" s="78">
        <v>170375</v>
      </c>
      <c r="E55" s="78">
        <v>100000</v>
      </c>
      <c r="F55" s="78">
        <v>122300</v>
      </c>
      <c r="G55" s="78">
        <v>132625</v>
      </c>
      <c r="H55" s="78">
        <v>135700</v>
      </c>
      <c r="I55" s="78">
        <v>88000</v>
      </c>
      <c r="J55" s="78">
        <v>97625</v>
      </c>
      <c r="K55" s="78">
        <v>86625</v>
      </c>
      <c r="L55" s="78">
        <v>88000</v>
      </c>
      <c r="M55" s="78">
        <v>110000</v>
      </c>
      <c r="N55" s="78">
        <v>88000</v>
      </c>
      <c r="O55" s="78">
        <v>101900</v>
      </c>
      <c r="P55" s="81">
        <v>1321150</v>
      </c>
      <c r="Q55" s="78">
        <v>104350</v>
      </c>
      <c r="R55" s="78">
        <v>104500</v>
      </c>
      <c r="S55" s="78">
        <v>122375</v>
      </c>
      <c r="T55" s="78">
        <v>46750</v>
      </c>
      <c r="U55" s="78">
        <v>111350</v>
      </c>
      <c r="V55" s="78">
        <v>112750</v>
      </c>
      <c r="W55" s="78">
        <v>134750</v>
      </c>
      <c r="X55" s="78">
        <v>112725</v>
      </c>
      <c r="Y55" s="78">
        <v>112750</v>
      </c>
      <c r="Z55" s="78">
        <v>184250</v>
      </c>
      <c r="AA55" s="78">
        <v>66000</v>
      </c>
      <c r="AB55" s="78">
        <v>140250</v>
      </c>
      <c r="AC55" s="81">
        <v>1352800</v>
      </c>
      <c r="AD55" s="78">
        <v>211750</v>
      </c>
      <c r="AE55" s="78">
        <v>200750</v>
      </c>
      <c r="AF55" s="78">
        <v>277750</v>
      </c>
      <c r="AG55" s="78">
        <v>202125</v>
      </c>
      <c r="AH55" s="78"/>
      <c r="AI55" s="78"/>
      <c r="AJ55" s="78"/>
      <c r="AK55" s="78"/>
      <c r="AL55" s="78"/>
      <c r="AM55" s="78"/>
      <c r="AN55" s="78"/>
      <c r="AO55" s="78"/>
      <c r="AP55" s="81">
        <v>892375</v>
      </c>
      <c r="AQ55" s="78">
        <v>1513.8194115775216</v>
      </c>
      <c r="AR55" s="78">
        <v>1505.3425104470089</v>
      </c>
      <c r="AS55" s="78">
        <v>1484.7558592420407</v>
      </c>
      <c r="AT55" s="78">
        <v>1414.6303410209416</v>
      </c>
      <c r="AU55" s="78">
        <v>1388.2279824464072</v>
      </c>
      <c r="AV55" s="78">
        <v>1389.1522638709623</v>
      </c>
      <c r="AW55" s="78">
        <v>1387.7073012997305</v>
      </c>
      <c r="AX55" s="78">
        <v>1395.8428310764702</v>
      </c>
      <c r="AY55" s="78">
        <v>1433.9945942097434</v>
      </c>
      <c r="AZ55" s="78">
        <v>1404.9846689761766</v>
      </c>
      <c r="BA55" s="78">
        <v>1386.0111859846334</v>
      </c>
      <c r="BB55" s="78">
        <v>1388.108202137166</v>
      </c>
      <c r="BC55" s="84">
        <v>1429.6840017164568</v>
      </c>
      <c r="BD55" s="78">
        <v>1393.1839862376739</v>
      </c>
      <c r="BE55" s="78">
        <v>1407.6857772299259</v>
      </c>
      <c r="BF55" s="78">
        <v>1402.2399192766954</v>
      </c>
      <c r="BG55" s="78">
        <v>1368.5816427931252</v>
      </c>
      <c r="BH55" s="78">
        <v>1344.6919447102007</v>
      </c>
      <c r="BI55" s="78">
        <v>1336.9955603002227</v>
      </c>
      <c r="BJ55" s="78">
        <v>1361.1362322708117</v>
      </c>
      <c r="BK55" s="78">
        <v>1372.6666078984613</v>
      </c>
      <c r="BL55" s="78">
        <v>1368.6444941613481</v>
      </c>
      <c r="BM55" s="78">
        <v>1383.9913961359657</v>
      </c>
      <c r="BN55" s="78">
        <v>1388.9866037743193</v>
      </c>
      <c r="BO55" s="78">
        <v>1391.9984287296027</v>
      </c>
      <c r="BP55" s="84">
        <v>1377.0718803081356</v>
      </c>
      <c r="BQ55" s="78">
        <v>1363.2917424405498</v>
      </c>
      <c r="BR55" s="78">
        <v>1356.4054309832534</v>
      </c>
      <c r="BS55" s="78">
        <v>1348.3902203660602</v>
      </c>
      <c r="BT55" s="78">
        <v>1342.5386459345641</v>
      </c>
      <c r="BU55" s="78"/>
      <c r="BV55" s="78"/>
      <c r="BW55" s="78"/>
      <c r="BX55" s="78"/>
      <c r="BY55" s="78"/>
      <c r="BZ55" s="78"/>
      <c r="CA55" s="78"/>
      <c r="CB55" s="78"/>
      <c r="CC55" s="84">
        <v>1352.4038932599758</v>
      </c>
      <c r="CD55" s="78">
        <v>28996.769044754219</v>
      </c>
      <c r="CE55" s="78">
        <v>27173.31119</v>
      </c>
      <c r="CF55" s="78">
        <v>27285.004349959116</v>
      </c>
      <c r="CG55" s="78">
        <v>27275.996712535343</v>
      </c>
      <c r="CH55" s="78">
        <v>26433.317789240951</v>
      </c>
      <c r="CI55" s="78">
        <v>26308.111329545456</v>
      </c>
      <c r="CJ55" s="78">
        <v>26935.072798975671</v>
      </c>
      <c r="CK55" s="78">
        <v>27318.42126406926</v>
      </c>
      <c r="CL55" s="78">
        <v>27586.223522727272</v>
      </c>
      <c r="CM55" s="78">
        <v>27506.316072727277</v>
      </c>
      <c r="CN55" s="78">
        <v>27721.873863636363</v>
      </c>
      <c r="CO55" s="78">
        <v>27678.942531894012</v>
      </c>
      <c r="CP55" s="97">
        <v>27418.152418726117</v>
      </c>
      <c r="CQ55" s="78">
        <v>27886.388615237182</v>
      </c>
      <c r="CR55" s="78">
        <v>27938.279196172243</v>
      </c>
      <c r="CS55" s="78">
        <v>27963.684036772207</v>
      </c>
      <c r="CT55" s="78">
        <v>27869.928363636365</v>
      </c>
      <c r="CU55" s="78">
        <v>27477.289609339929</v>
      </c>
      <c r="CV55" s="78">
        <v>27372.334376940129</v>
      </c>
      <c r="CW55" s="78">
        <v>27311.250834879414</v>
      </c>
      <c r="CX55" s="78">
        <v>27111.256180971399</v>
      </c>
      <c r="CY55" s="78">
        <v>27065.02198669624</v>
      </c>
      <c r="CZ55" s="78">
        <v>26983.60854816826</v>
      </c>
      <c r="DA55" s="78">
        <v>27100.633378787879</v>
      </c>
      <c r="DB55" s="78">
        <v>27808.628163992878</v>
      </c>
      <c r="DC55" s="97">
        <v>27460.612893258451</v>
      </c>
      <c r="DD55" s="78">
        <v>29029.363466351831</v>
      </c>
      <c r="DE55" s="78">
        <v>29713.048821917804</v>
      </c>
      <c r="DF55" s="78">
        <v>30209.067625562559</v>
      </c>
      <c r="DG55" s="78">
        <v>30209.067622443225</v>
      </c>
      <c r="DH55" s="78"/>
      <c r="DI55" s="78"/>
      <c r="DJ55" s="78"/>
      <c r="DK55" s="78"/>
      <c r="DL55" s="78"/>
      <c r="DM55" s="78"/>
      <c r="DN55" s="78"/>
      <c r="DO55" s="78"/>
      <c r="DP55" s="97">
        <v>29817.552700587039</v>
      </c>
    </row>
    <row r="56" spans="2:120" s="22" customFormat="1" hidden="1" outlineLevel="1" x14ac:dyDescent="0.35">
      <c r="B56" s="25" t="s">
        <v>56</v>
      </c>
      <c r="C56" s="75" t="s">
        <v>57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80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>
        <v>500</v>
      </c>
      <c r="AB56" s="77"/>
      <c r="AC56" s="80">
        <v>500</v>
      </c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80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83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>
        <v>748.42728452041183</v>
      </c>
      <c r="BO56" s="77"/>
      <c r="BP56" s="83">
        <v>748.42728452041183</v>
      </c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83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96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>
        <v>23809.436940948694</v>
      </c>
      <c r="DB56" s="77"/>
      <c r="DC56" s="96">
        <v>23809.436940948694</v>
      </c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96"/>
    </row>
    <row r="57" spans="2:120" s="22" customFormat="1" hidden="1" outlineLevel="1" x14ac:dyDescent="0.35">
      <c r="B57" s="25" t="s">
        <v>56</v>
      </c>
      <c r="C57" s="75" t="s">
        <v>58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80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>
        <v>250</v>
      </c>
      <c r="AC57" s="80">
        <v>250</v>
      </c>
      <c r="AD57" s="77">
        <v>500</v>
      </c>
      <c r="AE57" s="77"/>
      <c r="AF57" s="77">
        <v>1000</v>
      </c>
      <c r="AG57" s="77"/>
      <c r="AH57" s="77"/>
      <c r="AI57" s="77"/>
      <c r="AJ57" s="77"/>
      <c r="AK57" s="77"/>
      <c r="AL57" s="77"/>
      <c r="AM57" s="77"/>
      <c r="AN57" s="77"/>
      <c r="AO57" s="77"/>
      <c r="AP57" s="80">
        <v>1500</v>
      </c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83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>
        <v>841.70899269928373</v>
      </c>
      <c r="BP57" s="83">
        <v>841.70899269928373</v>
      </c>
      <c r="BQ57" s="77">
        <v>952.99085654083672</v>
      </c>
      <c r="BR57" s="77"/>
      <c r="BS57" s="77">
        <v>953.86497139521862</v>
      </c>
      <c r="BT57" s="77"/>
      <c r="BU57" s="77"/>
      <c r="BV57" s="77"/>
      <c r="BW57" s="77"/>
      <c r="BX57" s="77"/>
      <c r="BY57" s="77"/>
      <c r="BZ57" s="77"/>
      <c r="CA57" s="77"/>
      <c r="CB57" s="77"/>
      <c r="CC57" s="83">
        <v>953.57359977709132</v>
      </c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96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>
        <v>23937.371037593988</v>
      </c>
      <c r="DC57" s="96">
        <v>23937.371037593988</v>
      </c>
      <c r="DD57" s="77">
        <v>23615.011007999998</v>
      </c>
      <c r="DE57" s="77"/>
      <c r="DF57" s="77">
        <v>20349.584923076924</v>
      </c>
      <c r="DG57" s="77"/>
      <c r="DH57" s="77"/>
      <c r="DI57" s="77"/>
      <c r="DJ57" s="77"/>
      <c r="DK57" s="77"/>
      <c r="DL57" s="77"/>
      <c r="DM57" s="77"/>
      <c r="DN57" s="77"/>
      <c r="DO57" s="77"/>
      <c r="DP57" s="96">
        <v>21438.060284717947</v>
      </c>
    </row>
    <row r="58" spans="2:120" s="22" customFormat="1" hidden="1" outlineLevel="1" x14ac:dyDescent="0.35">
      <c r="B58" s="25" t="s">
        <v>56</v>
      </c>
      <c r="C58" s="75" t="s">
        <v>59</v>
      </c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80"/>
      <c r="Q58" s="77"/>
      <c r="R58" s="77"/>
      <c r="S58" s="77">
        <v>100</v>
      </c>
      <c r="T58" s="77">
        <v>1000</v>
      </c>
      <c r="U58" s="77"/>
      <c r="V58" s="77"/>
      <c r="W58" s="77"/>
      <c r="X58" s="77"/>
      <c r="Y58" s="77"/>
      <c r="Z58" s="77"/>
      <c r="AA58" s="77"/>
      <c r="AB58" s="77"/>
      <c r="AC58" s="80">
        <v>1100</v>
      </c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80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83"/>
      <c r="BD58" s="77"/>
      <c r="BE58" s="77"/>
      <c r="BF58" s="77">
        <v>669.96871989647047</v>
      </c>
      <c r="BG58" s="77">
        <v>662.22288191545522</v>
      </c>
      <c r="BH58" s="77"/>
      <c r="BI58" s="77"/>
      <c r="BJ58" s="77"/>
      <c r="BK58" s="77"/>
      <c r="BL58" s="77"/>
      <c r="BM58" s="77"/>
      <c r="BN58" s="77"/>
      <c r="BO58" s="77"/>
      <c r="BP58" s="83">
        <v>662.92704900463843</v>
      </c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83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96"/>
      <c r="CQ58" s="77"/>
      <c r="CR58" s="77"/>
      <c r="CS58" s="77">
        <v>23235.311531531537</v>
      </c>
      <c r="CT58" s="77">
        <v>22999.207333333332</v>
      </c>
      <c r="CU58" s="77"/>
      <c r="CV58" s="77"/>
      <c r="CW58" s="77"/>
      <c r="CX58" s="77"/>
      <c r="CY58" s="77"/>
      <c r="CZ58" s="77"/>
      <c r="DA58" s="77"/>
      <c r="DB58" s="77"/>
      <c r="DC58" s="96">
        <v>23020.671351351353</v>
      </c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96"/>
    </row>
    <row r="59" spans="2:120" s="22" customFormat="1" hidden="1" outlineLevel="1" x14ac:dyDescent="0.35">
      <c r="B59" s="25" t="s">
        <v>56</v>
      </c>
      <c r="C59" s="75" t="s">
        <v>60</v>
      </c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80"/>
      <c r="Q59" s="77"/>
      <c r="R59" s="77"/>
      <c r="S59" s="77"/>
      <c r="T59" s="77"/>
      <c r="U59" s="77"/>
      <c r="V59" s="77"/>
      <c r="W59" s="77"/>
      <c r="X59" s="77">
        <v>27000</v>
      </c>
      <c r="Y59" s="77"/>
      <c r="Z59" s="77"/>
      <c r="AA59" s="77">
        <v>108000</v>
      </c>
      <c r="AB59" s="77"/>
      <c r="AC59" s="80">
        <v>135000</v>
      </c>
      <c r="AD59" s="77"/>
      <c r="AE59" s="77"/>
      <c r="AF59" s="77">
        <v>108000</v>
      </c>
      <c r="AG59" s="77"/>
      <c r="AH59" s="77"/>
      <c r="AI59" s="77"/>
      <c r="AJ59" s="77"/>
      <c r="AK59" s="77"/>
      <c r="AL59" s="77"/>
      <c r="AM59" s="77"/>
      <c r="AN59" s="77"/>
      <c r="AO59" s="77"/>
      <c r="AP59" s="80">
        <v>108000</v>
      </c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83"/>
      <c r="BD59" s="77"/>
      <c r="BE59" s="77"/>
      <c r="BF59" s="77"/>
      <c r="BG59" s="77"/>
      <c r="BH59" s="77"/>
      <c r="BI59" s="77"/>
      <c r="BJ59" s="77"/>
      <c r="BK59" s="77">
        <v>645.02019033902366</v>
      </c>
      <c r="BL59" s="77"/>
      <c r="BM59" s="77"/>
      <c r="BN59" s="77">
        <v>667.46032301385355</v>
      </c>
      <c r="BO59" s="77"/>
      <c r="BP59" s="83">
        <v>662.97229647888753</v>
      </c>
      <c r="BQ59" s="77"/>
      <c r="BR59" s="77"/>
      <c r="BS59" s="77">
        <v>731.53213773567586</v>
      </c>
      <c r="BT59" s="77"/>
      <c r="BU59" s="77"/>
      <c r="BV59" s="77"/>
      <c r="BW59" s="77"/>
      <c r="BX59" s="77"/>
      <c r="BY59" s="77"/>
      <c r="BZ59" s="77"/>
      <c r="CA59" s="77"/>
      <c r="CB59" s="77"/>
      <c r="CC59" s="83">
        <v>731.53213773567586</v>
      </c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96"/>
      <c r="CQ59" s="77"/>
      <c r="CR59" s="77"/>
      <c r="CS59" s="77"/>
      <c r="CT59" s="77"/>
      <c r="CU59" s="77"/>
      <c r="CV59" s="77"/>
      <c r="CW59" s="77"/>
      <c r="CX59" s="77">
        <v>21546.945290322583</v>
      </c>
      <c r="CY59" s="77"/>
      <c r="CZ59" s="77"/>
      <c r="DA59" s="77">
        <v>23809.43694094869</v>
      </c>
      <c r="DB59" s="77"/>
      <c r="DC59" s="96">
        <v>23356.938610823468</v>
      </c>
      <c r="DD59" s="77"/>
      <c r="DE59" s="77"/>
      <c r="DF59" s="77">
        <v>20349.58492307692</v>
      </c>
      <c r="DG59" s="77"/>
      <c r="DH59" s="77"/>
      <c r="DI59" s="77"/>
      <c r="DJ59" s="77"/>
      <c r="DK59" s="77"/>
      <c r="DL59" s="77"/>
      <c r="DM59" s="77"/>
      <c r="DN59" s="77"/>
      <c r="DO59" s="77"/>
      <c r="DP59" s="96">
        <v>20349.58492307692</v>
      </c>
    </row>
    <row r="60" spans="2:120" s="22" customFormat="1" hidden="1" outlineLevel="1" x14ac:dyDescent="0.35">
      <c r="B60" s="25" t="s">
        <v>56</v>
      </c>
      <c r="C60" s="75" t="s">
        <v>61</v>
      </c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80"/>
      <c r="Q60" s="77"/>
      <c r="R60" s="77"/>
      <c r="S60" s="77"/>
      <c r="T60" s="77">
        <v>1000</v>
      </c>
      <c r="U60" s="77"/>
      <c r="V60" s="77">
        <v>28125</v>
      </c>
      <c r="W60" s="77">
        <v>22000</v>
      </c>
      <c r="X60" s="77">
        <v>23375</v>
      </c>
      <c r="Y60" s="77">
        <v>48125</v>
      </c>
      <c r="Z60" s="77">
        <v>47350</v>
      </c>
      <c r="AA60" s="77">
        <v>20625</v>
      </c>
      <c r="AB60" s="77">
        <v>33000</v>
      </c>
      <c r="AC60" s="80">
        <v>223600</v>
      </c>
      <c r="AD60" s="77">
        <v>15125</v>
      </c>
      <c r="AE60" s="77">
        <v>4125</v>
      </c>
      <c r="AF60" s="77">
        <v>27500</v>
      </c>
      <c r="AG60" s="77">
        <v>11000</v>
      </c>
      <c r="AH60" s="77"/>
      <c r="AI60" s="77"/>
      <c r="AJ60" s="77"/>
      <c r="AK60" s="77"/>
      <c r="AL60" s="77"/>
      <c r="AM60" s="77"/>
      <c r="AN60" s="77"/>
      <c r="AO60" s="77"/>
      <c r="AP60" s="80">
        <v>57750</v>
      </c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83"/>
      <c r="BD60" s="77"/>
      <c r="BE60" s="77"/>
      <c r="BF60" s="77"/>
      <c r="BG60" s="77">
        <v>650.53659576400605</v>
      </c>
      <c r="BH60" s="77"/>
      <c r="BI60" s="77">
        <v>610.86379087555702</v>
      </c>
      <c r="BJ60" s="77">
        <v>598.69510100239165</v>
      </c>
      <c r="BK60" s="77">
        <v>602.33273888139058</v>
      </c>
      <c r="BL60" s="77">
        <v>600.55117209352761</v>
      </c>
      <c r="BM60" s="77">
        <v>601.45336455779329</v>
      </c>
      <c r="BN60" s="77">
        <v>598.95988331736487</v>
      </c>
      <c r="BO60" s="77">
        <v>600.72567569848138</v>
      </c>
      <c r="BP60" s="83">
        <v>602.14551685074787</v>
      </c>
      <c r="BQ60" s="77">
        <v>600.03128331129437</v>
      </c>
      <c r="BR60" s="77">
        <v>605.81942641606031</v>
      </c>
      <c r="BS60" s="77">
        <v>609.41373295800292</v>
      </c>
      <c r="BT60" s="77">
        <v>617.28394805194796</v>
      </c>
      <c r="BU60" s="77"/>
      <c r="BV60" s="77"/>
      <c r="BW60" s="77"/>
      <c r="BX60" s="77"/>
      <c r="BY60" s="77"/>
      <c r="BZ60" s="77"/>
      <c r="CA60" s="77"/>
      <c r="CB60" s="77"/>
      <c r="CC60" s="83">
        <v>608.19877712495395</v>
      </c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96"/>
      <c r="CQ60" s="77"/>
      <c r="CR60" s="77"/>
      <c r="CS60" s="77"/>
      <c r="CT60" s="77">
        <v>22999.207333333332</v>
      </c>
      <c r="CU60" s="77"/>
      <c r="CV60" s="77">
        <v>21445.707413333334</v>
      </c>
      <c r="CW60" s="77">
        <v>21448.016256684485</v>
      </c>
      <c r="CX60" s="77">
        <v>21546.945290322579</v>
      </c>
      <c r="CY60" s="77">
        <v>21590.082451948048</v>
      </c>
      <c r="CZ60" s="77">
        <v>21146.302418879059</v>
      </c>
      <c r="DA60" s="77">
        <v>23809.436940948694</v>
      </c>
      <c r="DB60" s="77">
        <v>23937.371037593981</v>
      </c>
      <c r="DC60" s="96">
        <v>22016.900495631817</v>
      </c>
      <c r="DD60" s="77">
        <v>23615.011008000005</v>
      </c>
      <c r="DE60" s="77">
        <v>21457.540848484849</v>
      </c>
      <c r="DF60" s="77">
        <v>20349.584923076924</v>
      </c>
      <c r="DG60" s="77">
        <v>20349.584934034458</v>
      </c>
      <c r="DH60" s="77"/>
      <c r="DI60" s="77"/>
      <c r="DJ60" s="77"/>
      <c r="DK60" s="77"/>
      <c r="DL60" s="77"/>
      <c r="DM60" s="77"/>
      <c r="DN60" s="77"/>
      <c r="DO60" s="77"/>
      <c r="DP60" s="96">
        <v>21283.955275411161</v>
      </c>
    </row>
    <row r="61" spans="2:120" s="22" customFormat="1" hidden="1" outlineLevel="1" x14ac:dyDescent="0.35">
      <c r="B61" s="25" t="s">
        <v>56</v>
      </c>
      <c r="C61" s="75" t="s">
        <v>62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80"/>
      <c r="Q61" s="77"/>
      <c r="R61" s="77"/>
      <c r="S61" s="77"/>
      <c r="T61" s="77"/>
      <c r="U61" s="77"/>
      <c r="V61" s="77"/>
      <c r="W61" s="77"/>
      <c r="X61" s="77"/>
      <c r="Y61" s="77"/>
      <c r="Z61" s="77">
        <v>3500</v>
      </c>
      <c r="AA61" s="77"/>
      <c r="AB61" s="77"/>
      <c r="AC61" s="80">
        <v>3500</v>
      </c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80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83"/>
      <c r="BD61" s="77"/>
      <c r="BE61" s="77"/>
      <c r="BF61" s="77"/>
      <c r="BG61" s="77"/>
      <c r="BH61" s="77"/>
      <c r="BI61" s="77"/>
      <c r="BJ61" s="77"/>
      <c r="BK61" s="77"/>
      <c r="BL61" s="77"/>
      <c r="BM61" s="77">
        <v>760.84309241955793</v>
      </c>
      <c r="BN61" s="77"/>
      <c r="BO61" s="77"/>
      <c r="BP61" s="83">
        <v>760.84309241955793</v>
      </c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83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96"/>
      <c r="CQ61" s="77"/>
      <c r="CR61" s="77"/>
      <c r="CS61" s="77"/>
      <c r="CT61" s="77"/>
      <c r="CU61" s="77"/>
      <c r="CV61" s="77"/>
      <c r="CW61" s="77"/>
      <c r="CX61" s="77"/>
      <c r="CY61" s="77"/>
      <c r="CZ61" s="77">
        <v>21146.302418879059</v>
      </c>
      <c r="DA61" s="77"/>
      <c r="DB61" s="77"/>
      <c r="DC61" s="96">
        <v>21146.302418879059</v>
      </c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96"/>
    </row>
    <row r="62" spans="2:120" s="22" customFormat="1" hidden="1" outlineLevel="1" x14ac:dyDescent="0.35">
      <c r="B62" s="25" t="s">
        <v>56</v>
      </c>
      <c r="C62" s="75" t="s">
        <v>63</v>
      </c>
      <c r="D62" s="77"/>
      <c r="E62" s="77"/>
      <c r="F62" s="77"/>
      <c r="G62" s="77"/>
      <c r="H62" s="77"/>
      <c r="I62" s="77"/>
      <c r="J62" s="77"/>
      <c r="K62" s="77"/>
      <c r="L62" s="77">
        <v>1000</v>
      </c>
      <c r="M62" s="77"/>
      <c r="N62" s="77"/>
      <c r="O62" s="77"/>
      <c r="P62" s="80">
        <v>1000</v>
      </c>
      <c r="Q62" s="77"/>
      <c r="R62" s="77">
        <v>11000</v>
      </c>
      <c r="S62" s="77">
        <v>11000</v>
      </c>
      <c r="T62" s="77">
        <v>28000</v>
      </c>
      <c r="U62" s="77"/>
      <c r="V62" s="77"/>
      <c r="W62" s="77"/>
      <c r="X62" s="77"/>
      <c r="Y62" s="77"/>
      <c r="Z62" s="77"/>
      <c r="AA62" s="77"/>
      <c r="AB62" s="77"/>
      <c r="AC62" s="80">
        <v>50000</v>
      </c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80"/>
      <c r="AQ62" s="77"/>
      <c r="AR62" s="77"/>
      <c r="AS62" s="77"/>
      <c r="AT62" s="77"/>
      <c r="AU62" s="77"/>
      <c r="AV62" s="77"/>
      <c r="AW62" s="77"/>
      <c r="AX62" s="77"/>
      <c r="AY62" s="77">
        <v>857.64063200953979</v>
      </c>
      <c r="AZ62" s="77"/>
      <c r="BA62" s="77"/>
      <c r="BB62" s="77"/>
      <c r="BC62" s="83">
        <v>857.64063200953979</v>
      </c>
      <c r="BD62" s="77"/>
      <c r="BE62" s="77">
        <v>672.67808613843056</v>
      </c>
      <c r="BF62" s="77">
        <v>669.96871989647047</v>
      </c>
      <c r="BG62" s="77">
        <v>662.22288191545522</v>
      </c>
      <c r="BH62" s="77"/>
      <c r="BI62" s="77"/>
      <c r="BJ62" s="77"/>
      <c r="BK62" s="77"/>
      <c r="BL62" s="77"/>
      <c r="BM62" s="77"/>
      <c r="BN62" s="77"/>
      <c r="BO62" s="77"/>
      <c r="BP62" s="83">
        <v>666.22711120033318</v>
      </c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83"/>
      <c r="CD62" s="77"/>
      <c r="CE62" s="77"/>
      <c r="CF62" s="77"/>
      <c r="CG62" s="77"/>
      <c r="CH62" s="77"/>
      <c r="CI62" s="77"/>
      <c r="CJ62" s="77"/>
      <c r="CK62" s="77"/>
      <c r="CL62" s="77">
        <v>23091.334999999999</v>
      </c>
      <c r="CM62" s="77"/>
      <c r="CN62" s="77"/>
      <c r="CO62" s="77"/>
      <c r="CP62" s="96">
        <v>23091.334999999999</v>
      </c>
      <c r="CQ62" s="77"/>
      <c r="CR62" s="77">
        <v>23214.318818181819</v>
      </c>
      <c r="CS62" s="77">
        <v>23235.31153153153</v>
      </c>
      <c r="CT62" s="77">
        <v>22999.207333333332</v>
      </c>
      <c r="CU62" s="77"/>
      <c r="CV62" s="77"/>
      <c r="CW62" s="77"/>
      <c r="CX62" s="77"/>
      <c r="CY62" s="77"/>
      <c r="CZ62" s="77"/>
      <c r="DA62" s="77"/>
      <c r="DB62" s="77"/>
      <c r="DC62" s="96">
        <v>23098.4747836036</v>
      </c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96"/>
    </row>
    <row r="63" spans="2:120" s="22" customFormat="1" hidden="1" outlineLevel="1" x14ac:dyDescent="0.35">
      <c r="B63" s="25" t="s">
        <v>56</v>
      </c>
      <c r="C63" s="75" t="s">
        <v>64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80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80"/>
      <c r="AD63" s="77"/>
      <c r="AE63" s="77"/>
      <c r="AF63" s="77"/>
      <c r="AG63" s="77">
        <v>81000</v>
      </c>
      <c r="AH63" s="77"/>
      <c r="AI63" s="77"/>
      <c r="AJ63" s="77"/>
      <c r="AK63" s="77"/>
      <c r="AL63" s="77"/>
      <c r="AM63" s="77"/>
      <c r="AN63" s="77"/>
      <c r="AO63" s="77"/>
      <c r="AP63" s="80">
        <v>81000</v>
      </c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83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83"/>
      <c r="BQ63" s="77"/>
      <c r="BR63" s="77"/>
      <c r="BS63" s="77"/>
      <c r="BT63" s="77">
        <v>900</v>
      </c>
      <c r="BU63" s="77"/>
      <c r="BV63" s="77"/>
      <c r="BW63" s="77"/>
      <c r="BX63" s="77"/>
      <c r="BY63" s="77"/>
      <c r="BZ63" s="77"/>
      <c r="CA63" s="77"/>
      <c r="CB63" s="77"/>
      <c r="CC63" s="83">
        <v>900</v>
      </c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96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96"/>
      <c r="DD63" s="77"/>
      <c r="DE63" s="77"/>
      <c r="DF63" s="77"/>
      <c r="DG63" s="77">
        <v>20349.584934034461</v>
      </c>
      <c r="DH63" s="77"/>
      <c r="DI63" s="77"/>
      <c r="DJ63" s="77"/>
      <c r="DK63" s="77"/>
      <c r="DL63" s="77"/>
      <c r="DM63" s="77"/>
      <c r="DN63" s="77"/>
      <c r="DO63" s="77"/>
      <c r="DP63" s="96">
        <v>20349.584934034461</v>
      </c>
    </row>
    <row r="64" spans="2:120" s="22" customFormat="1" hidden="1" outlineLevel="1" x14ac:dyDescent="0.35">
      <c r="B64" s="25" t="s">
        <v>56</v>
      </c>
      <c r="C64" s="75" t="s">
        <v>65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80"/>
      <c r="Q64" s="77"/>
      <c r="R64" s="77"/>
      <c r="S64" s="77"/>
      <c r="T64" s="77"/>
      <c r="U64" s="77"/>
      <c r="V64" s="77"/>
      <c r="W64" s="77">
        <v>1375</v>
      </c>
      <c r="X64" s="77"/>
      <c r="Y64" s="77"/>
      <c r="Z64" s="77"/>
      <c r="AA64" s="77"/>
      <c r="AB64" s="77"/>
      <c r="AC64" s="80">
        <v>1375</v>
      </c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80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83"/>
      <c r="BD64" s="77"/>
      <c r="BE64" s="77"/>
      <c r="BF64" s="77"/>
      <c r="BG64" s="77"/>
      <c r="BH64" s="77"/>
      <c r="BI64" s="77"/>
      <c r="BJ64" s="77">
        <v>692.6258332238682</v>
      </c>
      <c r="BK64" s="77"/>
      <c r="BL64" s="77"/>
      <c r="BM64" s="77"/>
      <c r="BN64" s="77"/>
      <c r="BO64" s="77"/>
      <c r="BP64" s="83">
        <v>692.6258332238682</v>
      </c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83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96"/>
      <c r="CQ64" s="77"/>
      <c r="CR64" s="77"/>
      <c r="CS64" s="77"/>
      <c r="CT64" s="77"/>
      <c r="CU64" s="77"/>
      <c r="CV64" s="77"/>
      <c r="CW64" s="77">
        <v>21448.016256684492</v>
      </c>
      <c r="CX64" s="77"/>
      <c r="CY64" s="77"/>
      <c r="CZ64" s="77"/>
      <c r="DA64" s="77"/>
      <c r="DB64" s="77"/>
      <c r="DC64" s="96">
        <v>21448.016256684492</v>
      </c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96"/>
    </row>
    <row r="65" spans="2:120" hidden="1" collapsed="1" x14ac:dyDescent="0.35">
      <c r="B65" s="106" t="s">
        <v>66</v>
      </c>
      <c r="C65" s="76"/>
      <c r="D65" s="78"/>
      <c r="E65" s="78"/>
      <c r="F65" s="78"/>
      <c r="G65" s="78"/>
      <c r="H65" s="78"/>
      <c r="I65" s="78"/>
      <c r="J65" s="78"/>
      <c r="K65" s="78"/>
      <c r="L65" s="78">
        <v>1000</v>
      </c>
      <c r="M65" s="78"/>
      <c r="N65" s="78"/>
      <c r="O65" s="78"/>
      <c r="P65" s="81">
        <v>1000</v>
      </c>
      <c r="Q65" s="78"/>
      <c r="R65" s="78">
        <v>11000</v>
      </c>
      <c r="S65" s="78">
        <v>11100</v>
      </c>
      <c r="T65" s="78">
        <v>30000</v>
      </c>
      <c r="U65" s="78"/>
      <c r="V65" s="78">
        <v>28125</v>
      </c>
      <c r="W65" s="78">
        <v>23375</v>
      </c>
      <c r="X65" s="78">
        <v>50375</v>
      </c>
      <c r="Y65" s="78">
        <v>48125</v>
      </c>
      <c r="Z65" s="78">
        <v>50850</v>
      </c>
      <c r="AA65" s="78">
        <v>129125</v>
      </c>
      <c r="AB65" s="78">
        <v>33250</v>
      </c>
      <c r="AC65" s="81">
        <v>415325</v>
      </c>
      <c r="AD65" s="78">
        <v>15625</v>
      </c>
      <c r="AE65" s="78">
        <v>4125</v>
      </c>
      <c r="AF65" s="78">
        <v>136500</v>
      </c>
      <c r="AG65" s="78">
        <v>92000</v>
      </c>
      <c r="AH65" s="78"/>
      <c r="AI65" s="78"/>
      <c r="AJ65" s="78"/>
      <c r="AK65" s="78"/>
      <c r="AL65" s="78"/>
      <c r="AM65" s="78"/>
      <c r="AN65" s="78"/>
      <c r="AO65" s="78"/>
      <c r="AP65" s="81">
        <v>248250</v>
      </c>
      <c r="AQ65" s="78"/>
      <c r="AR65" s="78"/>
      <c r="AS65" s="78"/>
      <c r="AT65" s="78"/>
      <c r="AU65" s="78"/>
      <c r="AV65" s="78"/>
      <c r="AW65" s="78"/>
      <c r="AX65" s="78"/>
      <c r="AY65" s="78">
        <v>857.64063200953979</v>
      </c>
      <c r="AZ65" s="78"/>
      <c r="BA65" s="78"/>
      <c r="BB65" s="78"/>
      <c r="BC65" s="84">
        <v>857.64063200953979</v>
      </c>
      <c r="BD65" s="78"/>
      <c r="BE65" s="78">
        <v>672.67808613843056</v>
      </c>
      <c r="BF65" s="78">
        <v>669.96871989647047</v>
      </c>
      <c r="BG65" s="78">
        <v>661.83333904374024</v>
      </c>
      <c r="BH65" s="78"/>
      <c r="BI65" s="78">
        <v>610.86379087555702</v>
      </c>
      <c r="BJ65" s="78">
        <v>604.22043819189025</v>
      </c>
      <c r="BK65" s="78">
        <v>625.21236546910461</v>
      </c>
      <c r="BL65" s="78">
        <v>600.55117209352761</v>
      </c>
      <c r="BM65" s="78">
        <v>612.42414228672487</v>
      </c>
      <c r="BN65" s="78">
        <v>656.83234169352977</v>
      </c>
      <c r="BO65" s="78">
        <v>602.53758033758504</v>
      </c>
      <c r="BP65" s="84">
        <v>631.74989500026527</v>
      </c>
      <c r="BQ65" s="78">
        <v>611.32598965463967</v>
      </c>
      <c r="BR65" s="78">
        <v>605.81942641606031</v>
      </c>
      <c r="BS65" s="78">
        <v>708.55834068273464</v>
      </c>
      <c r="BT65" s="78">
        <v>866.19699378881978</v>
      </c>
      <c r="BU65" s="78"/>
      <c r="BV65" s="78"/>
      <c r="BW65" s="78"/>
      <c r="BX65" s="78"/>
      <c r="BY65" s="78"/>
      <c r="BZ65" s="78"/>
      <c r="CA65" s="78"/>
      <c r="CB65" s="78"/>
      <c r="CC65" s="84">
        <v>759.15130172843783</v>
      </c>
      <c r="CD65" s="78"/>
      <c r="CE65" s="78"/>
      <c r="CF65" s="78"/>
      <c r="CG65" s="78"/>
      <c r="CH65" s="78"/>
      <c r="CI65" s="78"/>
      <c r="CJ65" s="78"/>
      <c r="CK65" s="78"/>
      <c r="CL65" s="78">
        <v>23091.334999999999</v>
      </c>
      <c r="CM65" s="78"/>
      <c r="CN65" s="78"/>
      <c r="CO65" s="78"/>
      <c r="CP65" s="97">
        <v>23091.334999999999</v>
      </c>
      <c r="CQ65" s="78"/>
      <c r="CR65" s="78">
        <v>23214.318818181819</v>
      </c>
      <c r="CS65" s="78">
        <v>23235.31153153153</v>
      </c>
      <c r="CT65" s="78">
        <v>22999.207333333332</v>
      </c>
      <c r="CU65" s="78"/>
      <c r="CV65" s="78">
        <v>21445.707413333334</v>
      </c>
      <c r="CW65" s="78">
        <v>21448.016256684485</v>
      </c>
      <c r="CX65" s="78">
        <v>21546.945290322579</v>
      </c>
      <c r="CY65" s="78">
        <v>21590.082451948048</v>
      </c>
      <c r="CZ65" s="78">
        <v>21146.302418879055</v>
      </c>
      <c r="DA65" s="78">
        <v>23809.436940948694</v>
      </c>
      <c r="DB65" s="78">
        <v>23937.371037593981</v>
      </c>
      <c r="DC65" s="97">
        <v>22579.436063323908</v>
      </c>
      <c r="DD65" s="78">
        <v>23615.011008000005</v>
      </c>
      <c r="DE65" s="78">
        <v>21457.540848484849</v>
      </c>
      <c r="DF65" s="78">
        <v>20349.584923076924</v>
      </c>
      <c r="DG65" s="78">
        <v>20349.584934034461</v>
      </c>
      <c r="DH65" s="78"/>
      <c r="DI65" s="78"/>
      <c r="DJ65" s="78"/>
      <c r="DK65" s="78"/>
      <c r="DL65" s="78"/>
      <c r="DM65" s="78"/>
      <c r="DN65" s="78"/>
      <c r="DO65" s="78"/>
      <c r="DP65" s="97">
        <v>20573.522895996655</v>
      </c>
    </row>
    <row r="66" spans="2:120" s="22" customFormat="1" hidden="1" outlineLevel="1" x14ac:dyDescent="0.35">
      <c r="B66" s="25" t="s">
        <v>67</v>
      </c>
      <c r="C66" s="75" t="s">
        <v>44</v>
      </c>
      <c r="D66" s="77"/>
      <c r="E66" s="77"/>
      <c r="F66" s="77">
        <v>1000</v>
      </c>
      <c r="G66" s="77"/>
      <c r="H66" s="77"/>
      <c r="I66" s="77"/>
      <c r="J66" s="77"/>
      <c r="K66" s="77"/>
      <c r="L66" s="77"/>
      <c r="M66" s="77"/>
      <c r="N66" s="77"/>
      <c r="O66" s="77"/>
      <c r="P66" s="80">
        <v>1000</v>
      </c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80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80"/>
      <c r="AQ66" s="77"/>
      <c r="AR66" s="77"/>
      <c r="AS66" s="77">
        <v>1364.1393519059638</v>
      </c>
      <c r="AT66" s="77"/>
      <c r="AU66" s="77"/>
      <c r="AV66" s="77"/>
      <c r="AW66" s="77"/>
      <c r="AX66" s="77"/>
      <c r="AY66" s="77"/>
      <c r="AZ66" s="77"/>
      <c r="BA66" s="77"/>
      <c r="BB66" s="77"/>
      <c r="BC66" s="83">
        <v>1364.1393519059638</v>
      </c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83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83"/>
      <c r="CD66" s="77"/>
      <c r="CE66" s="77"/>
      <c r="CF66" s="77">
        <v>3241.0459999999998</v>
      </c>
      <c r="CG66" s="77"/>
      <c r="CH66" s="77"/>
      <c r="CI66" s="77"/>
      <c r="CJ66" s="77"/>
      <c r="CK66" s="77"/>
      <c r="CL66" s="77"/>
      <c r="CM66" s="77"/>
      <c r="CN66" s="77"/>
      <c r="CO66" s="77"/>
      <c r="CP66" s="96">
        <v>3241.0459999999998</v>
      </c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96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96"/>
    </row>
    <row r="67" spans="2:120" hidden="1" collapsed="1" x14ac:dyDescent="0.35">
      <c r="B67" s="106" t="s">
        <v>68</v>
      </c>
      <c r="C67" s="76"/>
      <c r="D67" s="78"/>
      <c r="E67" s="78"/>
      <c r="F67" s="78">
        <v>1000</v>
      </c>
      <c r="G67" s="78"/>
      <c r="H67" s="78"/>
      <c r="I67" s="78"/>
      <c r="J67" s="78"/>
      <c r="K67" s="78"/>
      <c r="L67" s="78"/>
      <c r="M67" s="78"/>
      <c r="N67" s="78"/>
      <c r="O67" s="78"/>
      <c r="P67" s="81">
        <v>1000</v>
      </c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81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81"/>
      <c r="AQ67" s="78"/>
      <c r="AR67" s="78"/>
      <c r="AS67" s="78">
        <v>1364.1393519059638</v>
      </c>
      <c r="AT67" s="78"/>
      <c r="AU67" s="78"/>
      <c r="AV67" s="78"/>
      <c r="AW67" s="78"/>
      <c r="AX67" s="78"/>
      <c r="AY67" s="78"/>
      <c r="AZ67" s="78"/>
      <c r="BA67" s="78"/>
      <c r="BB67" s="78"/>
      <c r="BC67" s="84">
        <v>1364.1393519059638</v>
      </c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84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84"/>
      <c r="CD67" s="78"/>
      <c r="CE67" s="78"/>
      <c r="CF67" s="78">
        <v>3241.0459999999998</v>
      </c>
      <c r="CG67" s="78"/>
      <c r="CH67" s="78"/>
      <c r="CI67" s="78"/>
      <c r="CJ67" s="78"/>
      <c r="CK67" s="78"/>
      <c r="CL67" s="78"/>
      <c r="CM67" s="78"/>
      <c r="CN67" s="78"/>
      <c r="CO67" s="78"/>
      <c r="CP67" s="97">
        <v>3241.0459999999998</v>
      </c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97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97"/>
    </row>
    <row r="68" spans="2:120" s="22" customFormat="1" hidden="1" outlineLevel="1" x14ac:dyDescent="0.35">
      <c r="B68" s="25" t="s">
        <v>69</v>
      </c>
      <c r="C68" s="75" t="s">
        <v>44</v>
      </c>
      <c r="D68" s="77"/>
      <c r="E68" s="77"/>
      <c r="F68" s="77">
        <v>1000</v>
      </c>
      <c r="G68" s="77"/>
      <c r="H68" s="77"/>
      <c r="I68" s="77"/>
      <c r="J68" s="77"/>
      <c r="K68" s="77"/>
      <c r="L68" s="77"/>
      <c r="M68" s="77"/>
      <c r="N68" s="77"/>
      <c r="O68" s="77"/>
      <c r="P68" s="80">
        <v>1000</v>
      </c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80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80"/>
      <c r="AQ68" s="77"/>
      <c r="AR68" s="77"/>
      <c r="AS68" s="77">
        <v>1364.1393519059638</v>
      </c>
      <c r="AT68" s="77"/>
      <c r="AU68" s="77"/>
      <c r="AV68" s="77"/>
      <c r="AW68" s="77"/>
      <c r="AX68" s="77"/>
      <c r="AY68" s="77"/>
      <c r="AZ68" s="77"/>
      <c r="BA68" s="77"/>
      <c r="BB68" s="77"/>
      <c r="BC68" s="83">
        <v>1364.1393519059638</v>
      </c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83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83"/>
      <c r="CD68" s="77"/>
      <c r="CE68" s="77"/>
      <c r="CF68" s="77">
        <v>31915.292000000001</v>
      </c>
      <c r="CG68" s="77"/>
      <c r="CH68" s="77"/>
      <c r="CI68" s="77"/>
      <c r="CJ68" s="77"/>
      <c r="CK68" s="77"/>
      <c r="CL68" s="77"/>
      <c r="CM68" s="77"/>
      <c r="CN68" s="77"/>
      <c r="CO68" s="77"/>
      <c r="CP68" s="96">
        <v>31915.292000000001</v>
      </c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96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96"/>
    </row>
    <row r="69" spans="2:120" hidden="1" collapsed="1" x14ac:dyDescent="0.35">
      <c r="B69" s="106" t="s">
        <v>70</v>
      </c>
      <c r="C69" s="76"/>
      <c r="D69" s="78"/>
      <c r="E69" s="78"/>
      <c r="F69" s="78">
        <v>1000</v>
      </c>
      <c r="G69" s="78"/>
      <c r="H69" s="78"/>
      <c r="I69" s="78"/>
      <c r="J69" s="78"/>
      <c r="K69" s="78"/>
      <c r="L69" s="78"/>
      <c r="M69" s="78"/>
      <c r="N69" s="78"/>
      <c r="O69" s="78"/>
      <c r="P69" s="81">
        <v>1000</v>
      </c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81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81"/>
      <c r="AQ69" s="78"/>
      <c r="AR69" s="78"/>
      <c r="AS69" s="78">
        <v>1364.1393519059638</v>
      </c>
      <c r="AT69" s="78"/>
      <c r="AU69" s="78"/>
      <c r="AV69" s="78"/>
      <c r="AW69" s="78"/>
      <c r="AX69" s="78"/>
      <c r="AY69" s="78"/>
      <c r="AZ69" s="78"/>
      <c r="BA69" s="78"/>
      <c r="BB69" s="78"/>
      <c r="BC69" s="84">
        <v>1364.1393519059638</v>
      </c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84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84"/>
      <c r="CD69" s="78"/>
      <c r="CE69" s="78"/>
      <c r="CF69" s="78">
        <v>31915.292000000001</v>
      </c>
      <c r="CG69" s="78"/>
      <c r="CH69" s="78"/>
      <c r="CI69" s="78"/>
      <c r="CJ69" s="78"/>
      <c r="CK69" s="78"/>
      <c r="CL69" s="78"/>
      <c r="CM69" s="78"/>
      <c r="CN69" s="78"/>
      <c r="CO69" s="78"/>
      <c r="CP69" s="97">
        <v>31915.292000000001</v>
      </c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97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97"/>
    </row>
    <row r="70" spans="2:120" s="22" customFormat="1" hidden="1" outlineLevel="1" x14ac:dyDescent="0.35">
      <c r="B70" s="25" t="s">
        <v>71</v>
      </c>
      <c r="C70" s="75" t="s">
        <v>72</v>
      </c>
      <c r="D70" s="77"/>
      <c r="E70" s="77"/>
      <c r="F70" s="77"/>
      <c r="G70" s="77"/>
      <c r="H70" s="77"/>
      <c r="I70" s="77"/>
      <c r="J70" s="77"/>
      <c r="K70" s="77">
        <v>100</v>
      </c>
      <c r="L70" s="77">
        <v>3300</v>
      </c>
      <c r="M70" s="77"/>
      <c r="N70" s="77">
        <v>3300</v>
      </c>
      <c r="O70" s="77"/>
      <c r="P70" s="80">
        <v>6700</v>
      </c>
      <c r="Q70" s="77">
        <v>3300</v>
      </c>
      <c r="R70" s="77">
        <v>3300</v>
      </c>
      <c r="S70" s="77"/>
      <c r="T70" s="77">
        <v>4400</v>
      </c>
      <c r="U70" s="77">
        <v>5500</v>
      </c>
      <c r="V70" s="77">
        <v>4400</v>
      </c>
      <c r="W70" s="77"/>
      <c r="X70" s="77"/>
      <c r="Y70" s="77"/>
      <c r="Z70" s="77"/>
      <c r="AA70" s="77"/>
      <c r="AB70" s="77"/>
      <c r="AC70" s="80">
        <v>20900</v>
      </c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80"/>
      <c r="AQ70" s="77"/>
      <c r="AR70" s="77"/>
      <c r="AS70" s="77"/>
      <c r="AT70" s="77"/>
      <c r="AU70" s="77"/>
      <c r="AV70" s="77"/>
      <c r="AW70" s="77"/>
      <c r="AX70" s="77">
        <v>1328.6221946185635</v>
      </c>
      <c r="AY70" s="77">
        <v>1360.5555174950605</v>
      </c>
      <c r="AZ70" s="77"/>
      <c r="BA70" s="77">
        <v>1332.9782436494897</v>
      </c>
      <c r="BB70" s="77"/>
      <c r="BC70" s="83">
        <v>1346.4960643640109</v>
      </c>
      <c r="BD70" s="77">
        <v>1292.5003606151533</v>
      </c>
      <c r="BE70" s="77">
        <v>1240.8022226697913</v>
      </c>
      <c r="BF70" s="77"/>
      <c r="BG70" s="77">
        <v>1258.323757478267</v>
      </c>
      <c r="BH70" s="77">
        <v>1285.883196844693</v>
      </c>
      <c r="BI70" s="77">
        <v>1279.1317279309935</v>
      </c>
      <c r="BJ70" s="77"/>
      <c r="BK70" s="77"/>
      <c r="BL70" s="77"/>
      <c r="BM70" s="77"/>
      <c r="BN70" s="77"/>
      <c r="BO70" s="77"/>
      <c r="BP70" s="83">
        <v>1272.5866145113339</v>
      </c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83"/>
      <c r="CD70" s="77"/>
      <c r="CE70" s="77"/>
      <c r="CF70" s="77"/>
      <c r="CG70" s="77"/>
      <c r="CH70" s="77"/>
      <c r="CI70" s="77"/>
      <c r="CJ70" s="77"/>
      <c r="CK70" s="77">
        <v>24938.211103713569</v>
      </c>
      <c r="CL70" s="77">
        <v>24831.056095665597</v>
      </c>
      <c r="CM70" s="77"/>
      <c r="CN70" s="77">
        <v>23564.044527464619</v>
      </c>
      <c r="CO70" s="77"/>
      <c r="CP70" s="96">
        <v>24208.604950253892</v>
      </c>
      <c r="CQ70" s="77">
        <v>25581.320156198675</v>
      </c>
      <c r="CR70" s="77">
        <v>25060.438721749142</v>
      </c>
      <c r="CS70" s="77"/>
      <c r="CT70" s="77">
        <v>26870.734739040898</v>
      </c>
      <c r="CU70" s="77">
        <v>27142.56272839299</v>
      </c>
      <c r="CV70" s="77">
        <v>27964.308498693747</v>
      </c>
      <c r="CW70" s="77"/>
      <c r="CX70" s="77"/>
      <c r="CY70" s="77"/>
      <c r="CZ70" s="77"/>
      <c r="DA70" s="77"/>
      <c r="DB70" s="77"/>
      <c r="DC70" s="96">
        <v>26683.066485618263</v>
      </c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96"/>
    </row>
    <row r="71" spans="2:120" s="22" customFormat="1" hidden="1" outlineLevel="1" x14ac:dyDescent="0.35">
      <c r="B71" s="25" t="s">
        <v>71</v>
      </c>
      <c r="C71" s="75" t="s">
        <v>17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80"/>
      <c r="Q71" s="77"/>
      <c r="R71" s="77"/>
      <c r="S71" s="77"/>
      <c r="T71" s="77"/>
      <c r="U71" s="77"/>
      <c r="V71" s="77"/>
      <c r="W71" s="77"/>
      <c r="X71" s="77"/>
      <c r="Y71" s="77">
        <v>500</v>
      </c>
      <c r="Z71" s="77"/>
      <c r="AA71" s="77"/>
      <c r="AB71" s="77"/>
      <c r="AC71" s="80">
        <v>500</v>
      </c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80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83"/>
      <c r="BD71" s="77"/>
      <c r="BE71" s="77"/>
      <c r="BF71" s="77"/>
      <c r="BG71" s="77"/>
      <c r="BH71" s="77"/>
      <c r="BI71" s="77"/>
      <c r="BJ71" s="77"/>
      <c r="BK71" s="77"/>
      <c r="BL71" s="77">
        <v>1255.822574766172</v>
      </c>
      <c r="BM71" s="77"/>
      <c r="BN71" s="77"/>
      <c r="BO71" s="77"/>
      <c r="BP71" s="83">
        <v>1255.822574766172</v>
      </c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83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96"/>
      <c r="CQ71" s="77"/>
      <c r="CR71" s="77"/>
      <c r="CS71" s="77"/>
      <c r="CT71" s="77"/>
      <c r="CU71" s="77"/>
      <c r="CV71" s="77"/>
      <c r="CW71" s="77"/>
      <c r="CX71" s="77"/>
      <c r="CY71" s="77">
        <v>26804.87407246256</v>
      </c>
      <c r="CZ71" s="77"/>
      <c r="DA71" s="77"/>
      <c r="DB71" s="77"/>
      <c r="DC71" s="96">
        <v>26804.87407246256</v>
      </c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96"/>
    </row>
    <row r="72" spans="2:120" s="22" customFormat="1" hidden="1" outlineLevel="1" x14ac:dyDescent="0.35">
      <c r="B72" s="25" t="s">
        <v>71</v>
      </c>
      <c r="C72" s="75" t="s">
        <v>18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80"/>
      <c r="Q72" s="77"/>
      <c r="R72" s="77"/>
      <c r="S72" s="77">
        <v>11000</v>
      </c>
      <c r="T72" s="77"/>
      <c r="U72" s="77"/>
      <c r="V72" s="77"/>
      <c r="W72" s="77"/>
      <c r="X72" s="77"/>
      <c r="Y72" s="77"/>
      <c r="Z72" s="77"/>
      <c r="AA72" s="77"/>
      <c r="AB72" s="77"/>
      <c r="AC72" s="80">
        <v>11000</v>
      </c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80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83"/>
      <c r="BD72" s="77"/>
      <c r="BE72" s="77"/>
      <c r="BF72" s="77">
        <v>1216.851081911019</v>
      </c>
      <c r="BG72" s="77"/>
      <c r="BH72" s="77"/>
      <c r="BI72" s="77"/>
      <c r="BJ72" s="77"/>
      <c r="BK72" s="77"/>
      <c r="BL72" s="77"/>
      <c r="BM72" s="77"/>
      <c r="BN72" s="77"/>
      <c r="BO72" s="77"/>
      <c r="BP72" s="83">
        <v>1216.851081911019</v>
      </c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83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96"/>
      <c r="CQ72" s="77"/>
      <c r="CR72" s="77"/>
      <c r="CS72" s="77">
        <v>26237.511626098501</v>
      </c>
      <c r="CT72" s="77"/>
      <c r="CU72" s="77"/>
      <c r="CV72" s="77"/>
      <c r="CW72" s="77"/>
      <c r="CX72" s="77"/>
      <c r="CY72" s="77"/>
      <c r="CZ72" s="77"/>
      <c r="DA72" s="77"/>
      <c r="DB72" s="77"/>
      <c r="DC72" s="96">
        <v>26237.511626098501</v>
      </c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96"/>
    </row>
    <row r="73" spans="2:120" s="22" customFormat="1" hidden="1" outlineLevel="1" x14ac:dyDescent="0.35">
      <c r="B73" s="25" t="s">
        <v>71</v>
      </c>
      <c r="C73" s="75" t="s">
        <v>5</v>
      </c>
      <c r="D73" s="77"/>
      <c r="E73" s="77">
        <v>68200</v>
      </c>
      <c r="F73" s="77">
        <v>0</v>
      </c>
      <c r="G73" s="77"/>
      <c r="H73" s="77">
        <v>44000</v>
      </c>
      <c r="I73" s="77"/>
      <c r="J73" s="77">
        <v>16500</v>
      </c>
      <c r="K73" s="77">
        <v>33000</v>
      </c>
      <c r="L73" s="77"/>
      <c r="M73" s="77"/>
      <c r="N73" s="77"/>
      <c r="O73" s="77"/>
      <c r="P73" s="80">
        <v>161700</v>
      </c>
      <c r="Q73" s="77">
        <v>11000</v>
      </c>
      <c r="R73" s="77">
        <v>23100</v>
      </c>
      <c r="S73" s="77">
        <v>11000</v>
      </c>
      <c r="T73" s="77"/>
      <c r="U73" s="77">
        <v>11000</v>
      </c>
      <c r="V73" s="77">
        <v>22000</v>
      </c>
      <c r="W73" s="77"/>
      <c r="X73" s="77">
        <v>5500</v>
      </c>
      <c r="Y73" s="77">
        <v>16500</v>
      </c>
      <c r="Z73" s="77">
        <v>11000</v>
      </c>
      <c r="AA73" s="77">
        <v>24200</v>
      </c>
      <c r="AB73" s="77">
        <v>11000</v>
      </c>
      <c r="AC73" s="80">
        <v>146300</v>
      </c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80"/>
      <c r="AQ73" s="77"/>
      <c r="AR73" s="77">
        <v>1319.5117009744438</v>
      </c>
      <c r="AS73" s="77"/>
      <c r="AT73" s="77"/>
      <c r="AU73" s="77">
        <v>1284.6595263448328</v>
      </c>
      <c r="AV73" s="77"/>
      <c r="AW73" s="77">
        <v>1306.5681378595161</v>
      </c>
      <c r="AX73" s="77">
        <v>1323.4469628917175</v>
      </c>
      <c r="AY73" s="77"/>
      <c r="AZ73" s="77"/>
      <c r="BA73" s="77"/>
      <c r="BB73" s="77"/>
      <c r="BC73" s="83">
        <v>1309.5104589717898</v>
      </c>
      <c r="BD73" s="77">
        <v>1332.620273158791</v>
      </c>
      <c r="BE73" s="77">
        <v>1237.0762590104546</v>
      </c>
      <c r="BF73" s="77">
        <v>1220.2734291398415</v>
      </c>
      <c r="BG73" s="77"/>
      <c r="BH73" s="77">
        <v>1243.1440194090862</v>
      </c>
      <c r="BI73" s="77">
        <v>1256.3932140259913</v>
      </c>
      <c r="BJ73" s="77"/>
      <c r="BK73" s="77">
        <v>1244.5702799185658</v>
      </c>
      <c r="BL73" s="77">
        <v>1232.4010670033704</v>
      </c>
      <c r="BM73" s="77">
        <v>1230.1842475397905</v>
      </c>
      <c r="BN73" s="77">
        <v>1165.8935622417109</v>
      </c>
      <c r="BO73" s="77">
        <v>1207.1781987400416</v>
      </c>
      <c r="BP73" s="83">
        <v>1231.5713772449317</v>
      </c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83"/>
      <c r="CD73" s="77"/>
      <c r="CE73" s="77">
        <v>23776.436490935754</v>
      </c>
      <c r="CF73" s="77"/>
      <c r="CG73" s="77"/>
      <c r="CH73" s="77">
        <v>25017.428411241752</v>
      </c>
      <c r="CI73" s="77"/>
      <c r="CJ73" s="77">
        <v>24320.423956987353</v>
      </c>
      <c r="CK73" s="77">
        <v>24938.211103713566</v>
      </c>
      <c r="CL73" s="77"/>
      <c r="CM73" s="77"/>
      <c r="CN73" s="77"/>
      <c r="CO73" s="77"/>
      <c r="CP73" s="96">
        <v>24406.727152067371</v>
      </c>
      <c r="CQ73" s="77">
        <v>25581.320156198675</v>
      </c>
      <c r="CR73" s="77">
        <v>25060.438721749138</v>
      </c>
      <c r="CS73" s="77">
        <v>26237.511626098501</v>
      </c>
      <c r="CT73" s="77"/>
      <c r="CU73" s="77">
        <v>27142.56272839299</v>
      </c>
      <c r="CV73" s="77">
        <v>27964.308498693747</v>
      </c>
      <c r="CW73" s="77"/>
      <c r="CX73" s="77">
        <v>27773.820478179859</v>
      </c>
      <c r="CY73" s="77">
        <v>26804.87407246256</v>
      </c>
      <c r="CZ73" s="77">
        <v>26381.061969821469</v>
      </c>
      <c r="DA73" s="77">
        <v>26445.239753961632</v>
      </c>
      <c r="DB73" s="77">
        <v>26072.930230747261</v>
      </c>
      <c r="DC73" s="96">
        <v>26484.561942166834</v>
      </c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96"/>
    </row>
    <row r="74" spans="2:120" s="22" customFormat="1" hidden="1" outlineLevel="1" x14ac:dyDescent="0.35">
      <c r="B74" s="25" t="s">
        <v>71</v>
      </c>
      <c r="C74" s="75" t="s">
        <v>73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80"/>
      <c r="Q74" s="77"/>
      <c r="R74" s="77"/>
      <c r="S74" s="77"/>
      <c r="T74" s="77"/>
      <c r="U74" s="77"/>
      <c r="V74" s="77"/>
      <c r="W74" s="77"/>
      <c r="X74" s="77"/>
      <c r="Y74" s="77">
        <v>13200</v>
      </c>
      <c r="Z74" s="77"/>
      <c r="AA74" s="77"/>
      <c r="AB74" s="77">
        <v>4400</v>
      </c>
      <c r="AC74" s="80">
        <v>17600</v>
      </c>
      <c r="AD74" s="77"/>
      <c r="AE74" s="77"/>
      <c r="AF74" s="77">
        <v>31900</v>
      </c>
      <c r="AG74" s="77">
        <v>22000</v>
      </c>
      <c r="AH74" s="77"/>
      <c r="AI74" s="77"/>
      <c r="AJ74" s="77"/>
      <c r="AK74" s="77"/>
      <c r="AL74" s="77"/>
      <c r="AM74" s="77"/>
      <c r="AN74" s="77"/>
      <c r="AO74" s="77"/>
      <c r="AP74" s="80">
        <v>53900</v>
      </c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83"/>
      <c r="BD74" s="77"/>
      <c r="BE74" s="77"/>
      <c r="BF74" s="77"/>
      <c r="BG74" s="77"/>
      <c r="BH74" s="77"/>
      <c r="BI74" s="77"/>
      <c r="BJ74" s="77"/>
      <c r="BK74" s="77"/>
      <c r="BL74" s="77">
        <v>1219.9948385778753</v>
      </c>
      <c r="BM74" s="77"/>
      <c r="BN74" s="77"/>
      <c r="BO74" s="77">
        <v>1216.0542054301982</v>
      </c>
      <c r="BP74" s="83">
        <v>1219.0096802909559</v>
      </c>
      <c r="BQ74" s="77"/>
      <c r="BR74" s="77"/>
      <c r="BS74" s="77">
        <v>1160.92799680502</v>
      </c>
      <c r="BT74" s="77">
        <v>1315.3523809523811</v>
      </c>
      <c r="BU74" s="77"/>
      <c r="BV74" s="77"/>
      <c r="BW74" s="77"/>
      <c r="BX74" s="77"/>
      <c r="BY74" s="77"/>
      <c r="BZ74" s="77"/>
      <c r="CA74" s="77"/>
      <c r="CB74" s="77"/>
      <c r="CC74" s="83">
        <v>1223.9583576814939</v>
      </c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96"/>
      <c r="CQ74" s="77"/>
      <c r="CR74" s="77"/>
      <c r="CS74" s="77"/>
      <c r="CT74" s="77"/>
      <c r="CU74" s="77"/>
      <c r="CV74" s="77"/>
      <c r="CW74" s="77"/>
      <c r="CX74" s="77"/>
      <c r="CY74" s="77">
        <v>26804.874072462564</v>
      </c>
      <c r="CZ74" s="77"/>
      <c r="DA74" s="77"/>
      <c r="DB74" s="77">
        <v>26072.930230747261</v>
      </c>
      <c r="DC74" s="96">
        <v>26621.888112033739</v>
      </c>
      <c r="DD74" s="77"/>
      <c r="DE74" s="77"/>
      <c r="DF74" s="77">
        <v>25463.673251515156</v>
      </c>
      <c r="DG74" s="77">
        <v>25463.673253211953</v>
      </c>
      <c r="DH74" s="77"/>
      <c r="DI74" s="77"/>
      <c r="DJ74" s="77"/>
      <c r="DK74" s="77"/>
      <c r="DL74" s="77"/>
      <c r="DM74" s="77"/>
      <c r="DN74" s="77"/>
      <c r="DO74" s="77"/>
      <c r="DP74" s="96">
        <v>25463.673252207729</v>
      </c>
    </row>
    <row r="75" spans="2:120" s="22" customFormat="1" hidden="1" outlineLevel="1" x14ac:dyDescent="0.35">
      <c r="B75" s="25" t="s">
        <v>71</v>
      </c>
      <c r="C75" s="75" t="s">
        <v>19</v>
      </c>
      <c r="D75" s="77">
        <v>202400</v>
      </c>
      <c r="E75" s="77">
        <v>88000</v>
      </c>
      <c r="F75" s="77">
        <v>66000</v>
      </c>
      <c r="G75" s="77">
        <v>110000</v>
      </c>
      <c r="H75" s="77">
        <v>22000</v>
      </c>
      <c r="I75" s="77">
        <v>0</v>
      </c>
      <c r="J75" s="77"/>
      <c r="K75" s="77">
        <v>24200</v>
      </c>
      <c r="L75" s="77"/>
      <c r="M75" s="77">
        <v>42900</v>
      </c>
      <c r="N75" s="77">
        <v>71500</v>
      </c>
      <c r="O75" s="77">
        <v>0</v>
      </c>
      <c r="P75" s="80">
        <v>627000</v>
      </c>
      <c r="Q75" s="77">
        <v>24200</v>
      </c>
      <c r="R75" s="77">
        <v>33000</v>
      </c>
      <c r="S75" s="77">
        <v>45000</v>
      </c>
      <c r="T75" s="77">
        <v>11000</v>
      </c>
      <c r="U75" s="77">
        <v>28600</v>
      </c>
      <c r="V75" s="77"/>
      <c r="W75" s="77"/>
      <c r="X75" s="77"/>
      <c r="Y75" s="77">
        <v>66000</v>
      </c>
      <c r="Z75" s="77">
        <v>7700</v>
      </c>
      <c r="AA75" s="77"/>
      <c r="AB75" s="77"/>
      <c r="AC75" s="80">
        <v>215500</v>
      </c>
      <c r="AD75" s="77">
        <v>19800</v>
      </c>
      <c r="AE75" s="77">
        <v>20900</v>
      </c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80">
        <v>40700</v>
      </c>
      <c r="AQ75" s="77">
        <v>1189.7756763664713</v>
      </c>
      <c r="AR75" s="77">
        <v>1183.5365806304965</v>
      </c>
      <c r="AS75" s="77">
        <v>1197.6052352464333</v>
      </c>
      <c r="AT75" s="77">
        <v>1174.9785461759045</v>
      </c>
      <c r="AU75" s="77">
        <v>1236.618315538909</v>
      </c>
      <c r="AV75" s="77"/>
      <c r="AW75" s="77"/>
      <c r="AX75" s="77">
        <v>1262.7112979105179</v>
      </c>
      <c r="AY75" s="77"/>
      <c r="AZ75" s="77">
        <v>1257.2613147442737</v>
      </c>
      <c r="BA75" s="77">
        <v>1251.6589530594911</v>
      </c>
      <c r="BB75" s="77"/>
      <c r="BC75" s="83">
        <v>1202.3065099155986</v>
      </c>
      <c r="BD75" s="77">
        <v>1248.1488594019515</v>
      </c>
      <c r="BE75" s="77">
        <v>1221.377799047279</v>
      </c>
      <c r="BF75" s="77">
        <v>1249.1194453366834</v>
      </c>
      <c r="BG75" s="77">
        <v>1243.0242841267197</v>
      </c>
      <c r="BH75" s="77">
        <v>1310.9634868371295</v>
      </c>
      <c r="BI75" s="77"/>
      <c r="BJ75" s="77"/>
      <c r="BK75" s="77"/>
      <c r="BL75" s="77">
        <v>1217.7692666014302</v>
      </c>
      <c r="BM75" s="77">
        <v>1225.1497007984212</v>
      </c>
      <c r="BN75" s="77"/>
      <c r="BO75" s="77"/>
      <c r="BP75" s="83">
        <v>1242.2008907054117</v>
      </c>
      <c r="BQ75" s="77">
        <v>1175.8995001016456</v>
      </c>
      <c r="BR75" s="77">
        <v>1169.9323050688329</v>
      </c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83">
        <v>1172.8352648145255</v>
      </c>
      <c r="CD75" s="77">
        <v>22699.700262303479</v>
      </c>
      <c r="CE75" s="77">
        <v>23776.436490935754</v>
      </c>
      <c r="CF75" s="77">
        <v>23707.752316404298</v>
      </c>
      <c r="CG75" s="77">
        <v>23808.255373818185</v>
      </c>
      <c r="CH75" s="77">
        <v>25017.428411241752</v>
      </c>
      <c r="CI75" s="77"/>
      <c r="CJ75" s="77"/>
      <c r="CK75" s="77">
        <v>24938.211103713562</v>
      </c>
      <c r="CL75" s="77"/>
      <c r="CM75" s="77">
        <v>25016.991295182906</v>
      </c>
      <c r="CN75" s="77">
        <v>23564.044527464619</v>
      </c>
      <c r="CO75" s="77"/>
      <c r="CP75" s="96">
        <v>23576.254756506409</v>
      </c>
      <c r="CQ75" s="77">
        <v>25581.320156198675</v>
      </c>
      <c r="CR75" s="77">
        <v>25060.438721749138</v>
      </c>
      <c r="CS75" s="77">
        <v>26237.511626098501</v>
      </c>
      <c r="CT75" s="77">
        <v>26870.734739040894</v>
      </c>
      <c r="CU75" s="77">
        <v>27142.56272839299</v>
      </c>
      <c r="CV75" s="77"/>
      <c r="CW75" s="77"/>
      <c r="CX75" s="77"/>
      <c r="CY75" s="77">
        <v>26804.874072462557</v>
      </c>
      <c r="CZ75" s="77">
        <v>26381.061969821465</v>
      </c>
      <c r="DA75" s="77"/>
      <c r="DB75" s="77"/>
      <c r="DC75" s="96">
        <v>26314.903437975896</v>
      </c>
      <c r="DD75" s="77">
        <v>26175.497633753803</v>
      </c>
      <c r="DE75" s="77">
        <v>27525.027637130803</v>
      </c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96">
        <v>26868.499527379827</v>
      </c>
    </row>
    <row r="76" spans="2:120" s="22" customFormat="1" hidden="1" outlineLevel="1" x14ac:dyDescent="0.35">
      <c r="B76" s="25" t="s">
        <v>71</v>
      </c>
      <c r="C76" s="75" t="s">
        <v>74</v>
      </c>
      <c r="D76" s="77"/>
      <c r="E76" s="77">
        <v>2200</v>
      </c>
      <c r="F76" s="77"/>
      <c r="G76" s="77"/>
      <c r="H76" s="77">
        <v>1100</v>
      </c>
      <c r="I76" s="77"/>
      <c r="J76" s="77">
        <v>1100</v>
      </c>
      <c r="K76" s="77"/>
      <c r="L76" s="77"/>
      <c r="M76" s="77">
        <v>1100</v>
      </c>
      <c r="N76" s="77"/>
      <c r="O76" s="77"/>
      <c r="P76" s="80">
        <v>5500</v>
      </c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80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80"/>
      <c r="AQ76" s="77"/>
      <c r="AR76" s="77">
        <v>1321.1609652196144</v>
      </c>
      <c r="AS76" s="77"/>
      <c r="AT76" s="77"/>
      <c r="AU76" s="77">
        <v>1303.9249789696082</v>
      </c>
      <c r="AV76" s="77"/>
      <c r="AW76" s="77">
        <v>1306.1036206236383</v>
      </c>
      <c r="AX76" s="77"/>
      <c r="AY76" s="77"/>
      <c r="AZ76" s="77">
        <v>1355.196352851942</v>
      </c>
      <c r="BA76" s="77"/>
      <c r="BB76" s="77"/>
      <c r="BC76" s="83">
        <v>1321.5093765768836</v>
      </c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83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83"/>
      <c r="CD76" s="77"/>
      <c r="CE76" s="77">
        <v>23776.436490935746</v>
      </c>
      <c r="CF76" s="77"/>
      <c r="CG76" s="77"/>
      <c r="CH76" s="77">
        <v>25017.428411241752</v>
      </c>
      <c r="CI76" s="77"/>
      <c r="CJ76" s="77">
        <v>24320.423956987339</v>
      </c>
      <c r="CK76" s="77"/>
      <c r="CL76" s="77"/>
      <c r="CM76" s="77">
        <v>25016.991295182906</v>
      </c>
      <c r="CN76" s="77"/>
      <c r="CO76" s="77"/>
      <c r="CP76" s="96">
        <v>24381.543329056698</v>
      </c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96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96"/>
    </row>
    <row r="77" spans="2:120" s="22" customFormat="1" hidden="1" outlineLevel="1" x14ac:dyDescent="0.35">
      <c r="B77" s="25" t="s">
        <v>71</v>
      </c>
      <c r="C77" s="75" t="s">
        <v>75</v>
      </c>
      <c r="D77" s="77"/>
      <c r="E77" s="77"/>
      <c r="F77" s="77"/>
      <c r="G77" s="77"/>
      <c r="H77" s="77"/>
      <c r="I77" s="77"/>
      <c r="J77" s="77"/>
      <c r="K77" s="77">
        <v>1100</v>
      </c>
      <c r="L77" s="77"/>
      <c r="M77" s="77"/>
      <c r="N77" s="77"/>
      <c r="O77" s="77"/>
      <c r="P77" s="80">
        <v>1100</v>
      </c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80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80"/>
      <c r="AQ77" s="77"/>
      <c r="AR77" s="77"/>
      <c r="AS77" s="77"/>
      <c r="AT77" s="77"/>
      <c r="AU77" s="77"/>
      <c r="AV77" s="77"/>
      <c r="AW77" s="77"/>
      <c r="AX77" s="77">
        <v>1332.4166858431065</v>
      </c>
      <c r="AY77" s="77"/>
      <c r="AZ77" s="77"/>
      <c r="BA77" s="77"/>
      <c r="BB77" s="77"/>
      <c r="BC77" s="83">
        <v>1332.4166858431065</v>
      </c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83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83"/>
      <c r="CD77" s="77"/>
      <c r="CE77" s="77"/>
      <c r="CF77" s="77"/>
      <c r="CG77" s="77"/>
      <c r="CH77" s="77"/>
      <c r="CI77" s="77"/>
      <c r="CJ77" s="77"/>
      <c r="CK77" s="77">
        <v>24938.211103713562</v>
      </c>
      <c r="CL77" s="77"/>
      <c r="CM77" s="77"/>
      <c r="CN77" s="77"/>
      <c r="CO77" s="77"/>
      <c r="CP77" s="96">
        <v>24938.211103713562</v>
      </c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96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96"/>
    </row>
    <row r="78" spans="2:120" s="22" customFormat="1" hidden="1" outlineLevel="1" x14ac:dyDescent="0.35">
      <c r="B78" s="25" t="s">
        <v>71</v>
      </c>
      <c r="C78" s="75" t="s">
        <v>76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80"/>
      <c r="Q78" s="77"/>
      <c r="R78" s="77"/>
      <c r="S78" s="77"/>
      <c r="T78" s="77"/>
      <c r="U78" s="77">
        <v>3300</v>
      </c>
      <c r="V78" s="77"/>
      <c r="W78" s="77"/>
      <c r="X78" s="77"/>
      <c r="Y78" s="77"/>
      <c r="Z78" s="77"/>
      <c r="AA78" s="77"/>
      <c r="AB78" s="77">
        <v>5500</v>
      </c>
      <c r="AC78" s="80">
        <v>8800</v>
      </c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80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83"/>
      <c r="BD78" s="77"/>
      <c r="BE78" s="77"/>
      <c r="BF78" s="77"/>
      <c r="BG78" s="77"/>
      <c r="BH78" s="77">
        <v>1301.4749300585636</v>
      </c>
      <c r="BI78" s="77"/>
      <c r="BJ78" s="77"/>
      <c r="BK78" s="77"/>
      <c r="BL78" s="77"/>
      <c r="BM78" s="77"/>
      <c r="BN78" s="77"/>
      <c r="BO78" s="77">
        <v>1238.5892479675922</v>
      </c>
      <c r="BP78" s="83">
        <v>1262.1713787517065</v>
      </c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83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96"/>
      <c r="CQ78" s="77"/>
      <c r="CR78" s="77"/>
      <c r="CS78" s="77"/>
      <c r="CT78" s="77"/>
      <c r="CU78" s="77">
        <v>27142.562728392986</v>
      </c>
      <c r="CV78" s="77"/>
      <c r="CW78" s="77"/>
      <c r="CX78" s="77"/>
      <c r="CY78" s="77"/>
      <c r="CZ78" s="77"/>
      <c r="DA78" s="77"/>
      <c r="DB78" s="77">
        <v>26072.930230747261</v>
      </c>
      <c r="DC78" s="96">
        <v>26474.04241736441</v>
      </c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96"/>
    </row>
    <row r="79" spans="2:120" s="22" customFormat="1" hidden="1" outlineLevel="1" x14ac:dyDescent="0.35">
      <c r="B79" s="25" t="s">
        <v>71</v>
      </c>
      <c r="C79" s="75" t="s">
        <v>77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80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>
        <v>2200</v>
      </c>
      <c r="AB79" s="77"/>
      <c r="AC79" s="80">
        <v>2200</v>
      </c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80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83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>
        <v>1178.2349754231902</v>
      </c>
      <c r="BO79" s="77"/>
      <c r="BP79" s="83">
        <v>1178.2349754231902</v>
      </c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83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96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>
        <v>26445.239753961632</v>
      </c>
      <c r="DB79" s="77"/>
      <c r="DC79" s="96">
        <v>26445.239753961632</v>
      </c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96"/>
    </row>
    <row r="80" spans="2:120" s="22" customFormat="1" hidden="1" outlineLevel="1" x14ac:dyDescent="0.35">
      <c r="B80" s="25" t="s">
        <v>71</v>
      </c>
      <c r="C80" s="75" t="s">
        <v>44</v>
      </c>
      <c r="D80" s="77"/>
      <c r="E80" s="77"/>
      <c r="F80" s="77">
        <v>300</v>
      </c>
      <c r="G80" s="77"/>
      <c r="H80" s="77"/>
      <c r="I80" s="77"/>
      <c r="J80" s="77"/>
      <c r="K80" s="77"/>
      <c r="L80" s="77"/>
      <c r="M80" s="77"/>
      <c r="N80" s="77"/>
      <c r="O80" s="77"/>
      <c r="P80" s="80">
        <v>300</v>
      </c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80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80"/>
      <c r="AQ80" s="77"/>
      <c r="AR80" s="77"/>
      <c r="AS80" s="77">
        <v>1263.0919925055221</v>
      </c>
      <c r="AT80" s="77"/>
      <c r="AU80" s="77"/>
      <c r="AV80" s="77"/>
      <c r="AW80" s="77"/>
      <c r="AX80" s="77"/>
      <c r="AY80" s="77"/>
      <c r="AZ80" s="77"/>
      <c r="BA80" s="77"/>
      <c r="BB80" s="77"/>
      <c r="BC80" s="83">
        <v>1263.0919925055221</v>
      </c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83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83"/>
      <c r="CD80" s="77"/>
      <c r="CE80" s="77"/>
      <c r="CF80" s="77">
        <v>23707.752316404305</v>
      </c>
      <c r="CG80" s="77"/>
      <c r="CH80" s="77"/>
      <c r="CI80" s="77"/>
      <c r="CJ80" s="77"/>
      <c r="CK80" s="77"/>
      <c r="CL80" s="77"/>
      <c r="CM80" s="77"/>
      <c r="CN80" s="77"/>
      <c r="CO80" s="77"/>
      <c r="CP80" s="96">
        <v>23707.752316404305</v>
      </c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96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96"/>
    </row>
    <row r="81" spans="2:120" s="22" customFormat="1" hidden="1" outlineLevel="1" x14ac:dyDescent="0.35">
      <c r="B81" s="25" t="s">
        <v>71</v>
      </c>
      <c r="C81" s="75" t="s">
        <v>78</v>
      </c>
      <c r="D81" s="77"/>
      <c r="E81" s="77"/>
      <c r="F81" s="77"/>
      <c r="G81" s="77"/>
      <c r="H81" s="77"/>
      <c r="I81" s="77"/>
      <c r="J81" s="77">
        <v>200</v>
      </c>
      <c r="K81" s="77">
        <v>300</v>
      </c>
      <c r="L81" s="77"/>
      <c r="M81" s="77"/>
      <c r="N81" s="77"/>
      <c r="O81" s="77"/>
      <c r="P81" s="80">
        <v>500</v>
      </c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>
        <v>1100</v>
      </c>
      <c r="AC81" s="80">
        <v>1100</v>
      </c>
      <c r="AD81" s="77">
        <v>13200</v>
      </c>
      <c r="AE81" s="77"/>
      <c r="AF81" s="77">
        <v>45100</v>
      </c>
      <c r="AG81" s="77">
        <v>20900</v>
      </c>
      <c r="AH81" s="77"/>
      <c r="AI81" s="77"/>
      <c r="AJ81" s="77"/>
      <c r="AK81" s="77"/>
      <c r="AL81" s="77"/>
      <c r="AM81" s="77"/>
      <c r="AN81" s="77"/>
      <c r="AO81" s="77"/>
      <c r="AP81" s="80">
        <v>79200</v>
      </c>
      <c r="AQ81" s="77"/>
      <c r="AR81" s="77"/>
      <c r="AS81" s="77"/>
      <c r="AT81" s="77"/>
      <c r="AU81" s="77"/>
      <c r="AV81" s="77"/>
      <c r="AW81" s="77">
        <v>1318.1172847143553</v>
      </c>
      <c r="AX81" s="77">
        <v>1304.4244171647651</v>
      </c>
      <c r="AY81" s="77"/>
      <c r="AZ81" s="77"/>
      <c r="BA81" s="77"/>
      <c r="BB81" s="77"/>
      <c r="BC81" s="83">
        <v>1309.9015641846013</v>
      </c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>
        <v>1207.0251607413691</v>
      </c>
      <c r="BP81" s="83">
        <v>1207.0251607413691</v>
      </c>
      <c r="BQ81" s="77">
        <v>1100.9181795090128</v>
      </c>
      <c r="BR81" s="77"/>
      <c r="BS81" s="77">
        <v>1094.2452256805846</v>
      </c>
      <c r="BT81" s="77">
        <v>1179.4205513784459</v>
      </c>
      <c r="BU81" s="77"/>
      <c r="BV81" s="77"/>
      <c r="BW81" s="77"/>
      <c r="BX81" s="77"/>
      <c r="BY81" s="77"/>
      <c r="BZ81" s="77"/>
      <c r="CA81" s="77"/>
      <c r="CB81" s="77"/>
      <c r="CC81" s="83">
        <v>1117.8342067111471</v>
      </c>
      <c r="CD81" s="77"/>
      <c r="CE81" s="77"/>
      <c r="CF81" s="77"/>
      <c r="CG81" s="77"/>
      <c r="CH81" s="77"/>
      <c r="CI81" s="77"/>
      <c r="CJ81" s="77">
        <v>24320.423956987346</v>
      </c>
      <c r="CK81" s="77">
        <v>24938.211103713573</v>
      </c>
      <c r="CL81" s="77"/>
      <c r="CM81" s="77"/>
      <c r="CN81" s="77"/>
      <c r="CO81" s="77"/>
      <c r="CP81" s="96">
        <v>24691.09624502308</v>
      </c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>
        <v>26072.930230747261</v>
      </c>
      <c r="DC81" s="96">
        <v>26072.930230747261</v>
      </c>
      <c r="DD81" s="77">
        <v>26175.49763375381</v>
      </c>
      <c r="DE81" s="77"/>
      <c r="DF81" s="77">
        <v>25463.673251515149</v>
      </c>
      <c r="DG81" s="77">
        <v>25463.673253211953</v>
      </c>
      <c r="DH81" s="77"/>
      <c r="DI81" s="77"/>
      <c r="DJ81" s="77"/>
      <c r="DK81" s="77"/>
      <c r="DL81" s="77"/>
      <c r="DM81" s="77"/>
      <c r="DN81" s="77"/>
      <c r="DO81" s="77"/>
      <c r="DP81" s="96">
        <v>25582.310649002695</v>
      </c>
    </row>
    <row r="82" spans="2:120" s="22" customFormat="1" hidden="1" outlineLevel="1" x14ac:dyDescent="0.35">
      <c r="B82" s="25" t="s">
        <v>71</v>
      </c>
      <c r="C82" s="75" t="s">
        <v>79</v>
      </c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>
        <v>11000</v>
      </c>
      <c r="P82" s="80">
        <v>11000</v>
      </c>
      <c r="Q82" s="77">
        <v>22000</v>
      </c>
      <c r="R82" s="77"/>
      <c r="S82" s="77">
        <v>22000</v>
      </c>
      <c r="T82" s="77"/>
      <c r="U82" s="77"/>
      <c r="V82" s="77">
        <v>22000</v>
      </c>
      <c r="W82" s="77">
        <v>11000</v>
      </c>
      <c r="X82" s="77">
        <v>11000</v>
      </c>
      <c r="Y82" s="77"/>
      <c r="Z82" s="77"/>
      <c r="AA82" s="77">
        <v>22000</v>
      </c>
      <c r="AB82" s="77"/>
      <c r="AC82" s="80">
        <v>110000</v>
      </c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80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>
        <v>1276.5510477175533</v>
      </c>
      <c r="BC82" s="83">
        <v>1276.5510477175533</v>
      </c>
      <c r="BD82" s="77">
        <v>1275.8654606996674</v>
      </c>
      <c r="BE82" s="77"/>
      <c r="BF82" s="77">
        <v>1273.3113058008219</v>
      </c>
      <c r="BG82" s="77"/>
      <c r="BH82" s="77"/>
      <c r="BI82" s="77">
        <v>1269.9877034681533</v>
      </c>
      <c r="BJ82" s="77">
        <v>1279.3855015293859</v>
      </c>
      <c r="BK82" s="77">
        <v>1272.3818954486019</v>
      </c>
      <c r="BL82" s="77"/>
      <c r="BM82" s="77"/>
      <c r="BN82" s="77">
        <v>1179.0435441859311</v>
      </c>
      <c r="BO82" s="77"/>
      <c r="BP82" s="83">
        <v>1254.8183425287136</v>
      </c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83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>
        <v>24973.415133766233</v>
      </c>
      <c r="CP82" s="96">
        <v>24973.415133766233</v>
      </c>
      <c r="CQ82" s="77">
        <v>25581.320156198675</v>
      </c>
      <c r="CR82" s="77"/>
      <c r="CS82" s="77">
        <v>26237.511626098501</v>
      </c>
      <c r="CT82" s="77"/>
      <c r="CU82" s="77"/>
      <c r="CV82" s="77">
        <v>27964.308498693747</v>
      </c>
      <c r="CW82" s="77">
        <v>28505.692332205024</v>
      </c>
      <c r="CX82" s="77">
        <v>27773.820478179859</v>
      </c>
      <c r="CY82" s="77"/>
      <c r="CZ82" s="77"/>
      <c r="DA82" s="77">
        <v>26445.239753961632</v>
      </c>
      <c r="DB82" s="77"/>
      <c r="DC82" s="96">
        <v>26873.627288029002</v>
      </c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96"/>
    </row>
    <row r="83" spans="2:120" s="22" customFormat="1" hidden="1" outlineLevel="1" x14ac:dyDescent="0.35">
      <c r="B83" s="25" t="s">
        <v>71</v>
      </c>
      <c r="C83" s="75" t="s">
        <v>80</v>
      </c>
      <c r="D83" s="77"/>
      <c r="E83" s="77"/>
      <c r="F83" s="77">
        <v>6600</v>
      </c>
      <c r="G83" s="77"/>
      <c r="H83" s="77">
        <v>11000</v>
      </c>
      <c r="I83" s="77"/>
      <c r="J83" s="77"/>
      <c r="K83" s="77"/>
      <c r="L83" s="77"/>
      <c r="M83" s="77">
        <v>5500</v>
      </c>
      <c r="N83" s="77"/>
      <c r="O83" s="77"/>
      <c r="P83" s="80">
        <v>23100</v>
      </c>
      <c r="Q83" s="77">
        <v>5500</v>
      </c>
      <c r="R83" s="77">
        <v>1100</v>
      </c>
      <c r="S83" s="77"/>
      <c r="T83" s="77"/>
      <c r="U83" s="77"/>
      <c r="V83" s="77">
        <v>3300</v>
      </c>
      <c r="W83" s="77"/>
      <c r="X83" s="77"/>
      <c r="Y83" s="77"/>
      <c r="Z83" s="77"/>
      <c r="AA83" s="77"/>
      <c r="AB83" s="77">
        <v>3300</v>
      </c>
      <c r="AC83" s="80">
        <v>13200</v>
      </c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80"/>
      <c r="AQ83" s="77"/>
      <c r="AR83" s="77"/>
      <c r="AS83" s="77">
        <v>1253.7629967811797</v>
      </c>
      <c r="AT83" s="77"/>
      <c r="AU83" s="77">
        <v>1302.9982499762109</v>
      </c>
      <c r="AV83" s="77"/>
      <c r="AW83" s="77"/>
      <c r="AX83" s="77"/>
      <c r="AY83" s="77"/>
      <c r="AZ83" s="77">
        <v>1316.6793543066096</v>
      </c>
      <c r="BA83" s="77"/>
      <c r="BB83" s="77"/>
      <c r="BC83" s="83">
        <v>1292.1884405705825</v>
      </c>
      <c r="BD83" s="77">
        <v>1332.620276765756</v>
      </c>
      <c r="BE83" s="77">
        <v>1225.0709336378427</v>
      </c>
      <c r="BF83" s="77"/>
      <c r="BG83" s="77"/>
      <c r="BH83" s="77"/>
      <c r="BI83" s="77">
        <v>1256.3932140259913</v>
      </c>
      <c r="BJ83" s="77"/>
      <c r="BK83" s="77"/>
      <c r="BL83" s="77"/>
      <c r="BM83" s="77"/>
      <c r="BN83" s="77"/>
      <c r="BO83" s="77">
        <v>1221.9079746237096</v>
      </c>
      <c r="BP83" s="83">
        <v>1276.9229902846437</v>
      </c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83"/>
      <c r="CD83" s="77"/>
      <c r="CE83" s="77"/>
      <c r="CF83" s="77">
        <v>23707.752316404298</v>
      </c>
      <c r="CG83" s="77"/>
      <c r="CH83" s="77">
        <v>25017.428411241752</v>
      </c>
      <c r="CI83" s="77"/>
      <c r="CJ83" s="77"/>
      <c r="CK83" s="77"/>
      <c r="CL83" s="77"/>
      <c r="CM83" s="77">
        <v>25016.99129518291</v>
      </c>
      <c r="CN83" s="77"/>
      <c r="CO83" s="77"/>
      <c r="CP83" s="96">
        <v>24643.131166036088</v>
      </c>
      <c r="CQ83" s="77">
        <v>25581.320156198675</v>
      </c>
      <c r="CR83" s="77">
        <v>25060.438721749135</v>
      </c>
      <c r="CS83" s="77"/>
      <c r="CT83" s="77"/>
      <c r="CU83" s="77"/>
      <c r="CV83" s="77">
        <v>27964.308498693747</v>
      </c>
      <c r="CW83" s="77"/>
      <c r="CX83" s="77"/>
      <c r="CY83" s="77"/>
      <c r="CZ83" s="77"/>
      <c r="DA83" s="77"/>
      <c r="DB83" s="77">
        <v>26072.930230747264</v>
      </c>
      <c r="DC83" s="96">
        <v>26256.562974255459</v>
      </c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96"/>
    </row>
    <row r="84" spans="2:120" s="22" customFormat="1" hidden="1" outlineLevel="1" x14ac:dyDescent="0.35">
      <c r="B84" s="25" t="s">
        <v>71</v>
      </c>
      <c r="C84" s="75" t="s">
        <v>81</v>
      </c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80"/>
      <c r="Q84" s="77"/>
      <c r="R84" s="77"/>
      <c r="S84" s="77"/>
      <c r="T84" s="77"/>
      <c r="U84" s="77">
        <v>22000</v>
      </c>
      <c r="V84" s="77"/>
      <c r="W84" s="77"/>
      <c r="X84" s="77">
        <v>44000</v>
      </c>
      <c r="Y84" s="77">
        <v>64900</v>
      </c>
      <c r="Z84" s="77">
        <v>44000</v>
      </c>
      <c r="AA84" s="77"/>
      <c r="AB84" s="77"/>
      <c r="AC84" s="80">
        <v>174900</v>
      </c>
      <c r="AD84" s="77"/>
      <c r="AE84" s="77">
        <v>22000</v>
      </c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80">
        <v>22000</v>
      </c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83"/>
      <c r="BD84" s="77"/>
      <c r="BE84" s="77"/>
      <c r="BF84" s="77"/>
      <c r="BG84" s="77"/>
      <c r="BH84" s="77">
        <v>1244.0077721228922</v>
      </c>
      <c r="BI84" s="77"/>
      <c r="BJ84" s="77"/>
      <c r="BK84" s="77">
        <v>1218.7746612088354</v>
      </c>
      <c r="BL84" s="77">
        <v>1188.5205125584887</v>
      </c>
      <c r="BM84" s="77">
        <v>1151.3639073675233</v>
      </c>
      <c r="BN84" s="77"/>
      <c r="BO84" s="77"/>
      <c r="BP84" s="83">
        <v>1193.7635750092013</v>
      </c>
      <c r="BQ84" s="77"/>
      <c r="BR84" s="77">
        <v>1134.2436195522071</v>
      </c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83">
        <v>1134.2436195522071</v>
      </c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96"/>
      <c r="CQ84" s="77"/>
      <c r="CR84" s="77"/>
      <c r="CS84" s="77"/>
      <c r="CT84" s="77"/>
      <c r="CU84" s="77">
        <v>27142.56272839299</v>
      </c>
      <c r="CV84" s="77"/>
      <c r="CW84" s="77"/>
      <c r="CX84" s="77">
        <v>27773.820478179859</v>
      </c>
      <c r="CY84" s="77">
        <v>26804.87407246256</v>
      </c>
      <c r="CZ84" s="77">
        <v>26381.061969821469</v>
      </c>
      <c r="DA84" s="77"/>
      <c r="DB84" s="77"/>
      <c r="DC84" s="96">
        <v>26984.491338133361</v>
      </c>
      <c r="DD84" s="77"/>
      <c r="DE84" s="77">
        <v>27525.027637130806</v>
      </c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96">
        <v>27525.027637130806</v>
      </c>
    </row>
    <row r="85" spans="2:120" s="22" customFormat="1" hidden="1" outlineLevel="1" x14ac:dyDescent="0.35">
      <c r="B85" s="25" t="s">
        <v>71</v>
      </c>
      <c r="C85" s="75" t="s">
        <v>82</v>
      </c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80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80"/>
      <c r="AD85" s="77"/>
      <c r="AE85" s="77"/>
      <c r="AF85" s="77">
        <v>22000</v>
      </c>
      <c r="AG85" s="77">
        <v>22000</v>
      </c>
      <c r="AH85" s="77"/>
      <c r="AI85" s="77"/>
      <c r="AJ85" s="77"/>
      <c r="AK85" s="77"/>
      <c r="AL85" s="77"/>
      <c r="AM85" s="77"/>
      <c r="AN85" s="77"/>
      <c r="AO85" s="77"/>
      <c r="AP85" s="80">
        <v>44000</v>
      </c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83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83"/>
      <c r="BQ85" s="77"/>
      <c r="BR85" s="77"/>
      <c r="BS85" s="77">
        <v>1176.1720711939367</v>
      </c>
      <c r="BT85" s="77">
        <v>1171.3636363636365</v>
      </c>
      <c r="BU85" s="77"/>
      <c r="BV85" s="77"/>
      <c r="BW85" s="77"/>
      <c r="BX85" s="77"/>
      <c r="BY85" s="77"/>
      <c r="BZ85" s="77"/>
      <c r="CA85" s="77"/>
      <c r="CB85" s="77"/>
      <c r="CC85" s="83">
        <v>1173.7678537787865</v>
      </c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96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96"/>
      <c r="DD85" s="77"/>
      <c r="DE85" s="77"/>
      <c r="DF85" s="77">
        <v>25463.67325151516</v>
      </c>
      <c r="DG85" s="77">
        <v>25463.673253211953</v>
      </c>
      <c r="DH85" s="77"/>
      <c r="DI85" s="77"/>
      <c r="DJ85" s="77"/>
      <c r="DK85" s="77"/>
      <c r="DL85" s="77"/>
      <c r="DM85" s="77"/>
      <c r="DN85" s="77"/>
      <c r="DO85" s="77"/>
      <c r="DP85" s="96">
        <v>25463.673252363558</v>
      </c>
    </row>
    <row r="86" spans="2:120" s="22" customFormat="1" hidden="1" outlineLevel="1" x14ac:dyDescent="0.35">
      <c r="B86" s="25" t="s">
        <v>71</v>
      </c>
      <c r="C86" s="75" t="s">
        <v>25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>
        <v>1100</v>
      </c>
      <c r="P86" s="80">
        <v>1100</v>
      </c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80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80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>
        <v>1214.5181351594649</v>
      </c>
      <c r="BC86" s="83">
        <v>1214.5181351594649</v>
      </c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83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83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>
        <v>24973.415133766233</v>
      </c>
      <c r="CP86" s="96">
        <v>24973.415133766233</v>
      </c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96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96"/>
    </row>
    <row r="87" spans="2:120" s="22" customFormat="1" hidden="1" outlineLevel="1" x14ac:dyDescent="0.35">
      <c r="B87" s="25" t="s">
        <v>71</v>
      </c>
      <c r="C87" s="75" t="s">
        <v>83</v>
      </c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80"/>
      <c r="Q87" s="77"/>
      <c r="R87" s="77"/>
      <c r="S87" s="77"/>
      <c r="T87" s="77"/>
      <c r="U87" s="77"/>
      <c r="V87" s="77">
        <v>25</v>
      </c>
      <c r="W87" s="77">
        <v>1100</v>
      </c>
      <c r="X87" s="77"/>
      <c r="Y87" s="77"/>
      <c r="Z87" s="77"/>
      <c r="AA87" s="77"/>
      <c r="AB87" s="77"/>
      <c r="AC87" s="80">
        <v>1125</v>
      </c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80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83"/>
      <c r="BD87" s="77"/>
      <c r="BE87" s="77"/>
      <c r="BF87" s="77"/>
      <c r="BG87" s="77"/>
      <c r="BH87" s="77"/>
      <c r="BI87" s="77">
        <v>1289.6049876725785</v>
      </c>
      <c r="BJ87" s="77">
        <v>1280.085823205201</v>
      </c>
      <c r="BK87" s="77"/>
      <c r="BL87" s="77"/>
      <c r="BM87" s="77"/>
      <c r="BN87" s="77"/>
      <c r="BO87" s="77"/>
      <c r="BP87" s="83">
        <v>1280.2973601933652</v>
      </c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83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96"/>
      <c r="CQ87" s="77"/>
      <c r="CR87" s="77"/>
      <c r="CS87" s="77"/>
      <c r="CT87" s="77"/>
      <c r="CU87" s="77"/>
      <c r="CV87" s="77">
        <v>27964.30849869375</v>
      </c>
      <c r="CW87" s="77">
        <v>28505.692332205024</v>
      </c>
      <c r="CX87" s="77"/>
      <c r="CY87" s="77"/>
      <c r="CZ87" s="77"/>
      <c r="DA87" s="77"/>
      <c r="DB87" s="77"/>
      <c r="DC87" s="96">
        <v>28493.661580349217</v>
      </c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96"/>
    </row>
    <row r="88" spans="2:120" s="22" customFormat="1" hidden="1" outlineLevel="1" x14ac:dyDescent="0.35">
      <c r="B88" s="25" t="s">
        <v>71</v>
      </c>
      <c r="C88" s="75" t="s">
        <v>84</v>
      </c>
      <c r="D88" s="77"/>
      <c r="E88" s="77">
        <v>220000</v>
      </c>
      <c r="F88" s="77">
        <v>220000</v>
      </c>
      <c r="G88" s="77"/>
      <c r="H88" s="77">
        <v>220000</v>
      </c>
      <c r="I88" s="77"/>
      <c r="J88" s="77"/>
      <c r="K88" s="77"/>
      <c r="L88" s="77"/>
      <c r="M88" s="77"/>
      <c r="N88" s="77"/>
      <c r="O88" s="77"/>
      <c r="P88" s="80">
        <v>660000</v>
      </c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80"/>
      <c r="AD88" s="77"/>
      <c r="AE88" s="77">
        <v>154000</v>
      </c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80">
        <v>154000</v>
      </c>
      <c r="AQ88" s="77"/>
      <c r="AR88" s="77">
        <v>1162.7527847376668</v>
      </c>
      <c r="AS88" s="77">
        <v>1164.0621475198232</v>
      </c>
      <c r="AT88" s="77"/>
      <c r="AU88" s="77">
        <v>1164.5324655775796</v>
      </c>
      <c r="AV88" s="77"/>
      <c r="AW88" s="77"/>
      <c r="AX88" s="77"/>
      <c r="AY88" s="77"/>
      <c r="AZ88" s="77"/>
      <c r="BA88" s="77"/>
      <c r="BB88" s="77"/>
      <c r="BC88" s="83">
        <v>1163.782465945023</v>
      </c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83"/>
      <c r="BQ88" s="77"/>
      <c r="BR88" s="77">
        <v>1083.9521783268983</v>
      </c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83">
        <v>1083.9521783268983</v>
      </c>
      <c r="CD88" s="77"/>
      <c r="CE88" s="77">
        <v>23776.436490935754</v>
      </c>
      <c r="CF88" s="77">
        <v>23707.752316404298</v>
      </c>
      <c r="CG88" s="77"/>
      <c r="CH88" s="77">
        <v>25017.428411241752</v>
      </c>
      <c r="CI88" s="77"/>
      <c r="CJ88" s="77"/>
      <c r="CK88" s="77"/>
      <c r="CL88" s="77"/>
      <c r="CM88" s="77"/>
      <c r="CN88" s="77"/>
      <c r="CO88" s="77"/>
      <c r="CP88" s="96">
        <v>24167.205739527286</v>
      </c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96"/>
      <c r="DD88" s="77"/>
      <c r="DE88" s="77">
        <v>27525.027637130806</v>
      </c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96">
        <v>27525.027637130806</v>
      </c>
    </row>
    <row r="89" spans="2:120" s="22" customFormat="1" hidden="1" outlineLevel="1" x14ac:dyDescent="0.35">
      <c r="B89" s="25" t="s">
        <v>71</v>
      </c>
      <c r="C89" s="75" t="s">
        <v>85</v>
      </c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80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374000</v>
      </c>
      <c r="AC89" s="80">
        <v>374000</v>
      </c>
      <c r="AD89" s="77">
        <v>66000</v>
      </c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80">
        <v>66000</v>
      </c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83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>
        <v>1163.1146144534</v>
      </c>
      <c r="BP89" s="83">
        <v>1163.1146144534</v>
      </c>
      <c r="BQ89" s="77">
        <v>1165.3777141982237</v>
      </c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83">
        <v>1165.3777141982237</v>
      </c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96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>
        <v>26072.930230747257</v>
      </c>
      <c r="DC89" s="96">
        <v>26072.930230747257</v>
      </c>
      <c r="DD89" s="77">
        <v>26072.930230747261</v>
      </c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96">
        <v>26072.930230747261</v>
      </c>
    </row>
    <row r="90" spans="2:120" s="22" customFormat="1" hidden="1" outlineLevel="1" x14ac:dyDescent="0.35">
      <c r="B90" s="25" t="s">
        <v>71</v>
      </c>
      <c r="C90" s="75" t="s">
        <v>86</v>
      </c>
      <c r="D90" s="77">
        <v>616000</v>
      </c>
      <c r="E90" s="77">
        <v>704000</v>
      </c>
      <c r="F90" s="77">
        <v>594000</v>
      </c>
      <c r="G90" s="77">
        <v>924000</v>
      </c>
      <c r="H90" s="77">
        <v>352000</v>
      </c>
      <c r="I90" s="77">
        <v>88000</v>
      </c>
      <c r="J90" s="77">
        <v>836000</v>
      </c>
      <c r="K90" s="77">
        <v>1540000</v>
      </c>
      <c r="L90" s="77">
        <v>1650000</v>
      </c>
      <c r="M90" s="77">
        <v>968000</v>
      </c>
      <c r="N90" s="77">
        <v>374000</v>
      </c>
      <c r="O90" s="77">
        <v>1012000</v>
      </c>
      <c r="P90" s="80">
        <v>9658000</v>
      </c>
      <c r="Q90" s="77">
        <v>2464000</v>
      </c>
      <c r="R90" s="77">
        <v>1672000</v>
      </c>
      <c r="S90" s="77">
        <v>1078000</v>
      </c>
      <c r="T90" s="77">
        <v>1408000</v>
      </c>
      <c r="U90" s="77">
        <v>1320000</v>
      </c>
      <c r="V90" s="77">
        <v>748000</v>
      </c>
      <c r="W90" s="77">
        <v>1672000</v>
      </c>
      <c r="X90" s="77">
        <v>1210000</v>
      </c>
      <c r="Y90" s="77">
        <v>638000</v>
      </c>
      <c r="Z90" s="77">
        <v>660000</v>
      </c>
      <c r="AA90" s="77">
        <v>330000</v>
      </c>
      <c r="AB90" s="77">
        <v>330000</v>
      </c>
      <c r="AC90" s="80">
        <v>13530000</v>
      </c>
      <c r="AD90" s="77">
        <v>1232000</v>
      </c>
      <c r="AE90" s="77">
        <v>704000</v>
      </c>
      <c r="AF90" s="77">
        <v>572000</v>
      </c>
      <c r="AG90" s="77">
        <v>880000</v>
      </c>
      <c r="AH90" s="77"/>
      <c r="AI90" s="77"/>
      <c r="AJ90" s="77"/>
      <c r="AK90" s="77"/>
      <c r="AL90" s="77"/>
      <c r="AM90" s="77"/>
      <c r="AN90" s="77"/>
      <c r="AO90" s="77"/>
      <c r="AP90" s="80">
        <v>3388000</v>
      </c>
      <c r="AQ90" s="77">
        <v>1163.8757473340731</v>
      </c>
      <c r="AR90" s="77">
        <v>1163.7732096684476</v>
      </c>
      <c r="AS90" s="77">
        <v>1163.7610674397292</v>
      </c>
      <c r="AT90" s="77">
        <v>1163.6572574984773</v>
      </c>
      <c r="AU90" s="77">
        <v>1163.1067973519771</v>
      </c>
      <c r="AV90" s="77">
        <v>1163.3364262905454</v>
      </c>
      <c r="AW90" s="77">
        <v>1166.6156119539896</v>
      </c>
      <c r="AX90" s="77">
        <v>1175.5497302329773</v>
      </c>
      <c r="AY90" s="77">
        <v>1200.8189418189356</v>
      </c>
      <c r="AZ90" s="77">
        <v>1224.3715826519508</v>
      </c>
      <c r="BA90" s="77">
        <v>1230.470160414467</v>
      </c>
      <c r="BB90" s="77">
        <v>1245.4707695765178</v>
      </c>
      <c r="BC90" s="83">
        <v>1189.4094863430059</v>
      </c>
      <c r="BD90" s="77">
        <v>1185.2369506289488</v>
      </c>
      <c r="BE90" s="77">
        <v>1241.658448154129</v>
      </c>
      <c r="BF90" s="77">
        <v>1214.3585887667361</v>
      </c>
      <c r="BG90" s="77">
        <v>1188.9136319730985</v>
      </c>
      <c r="BH90" s="77">
        <v>1184.9669641700186</v>
      </c>
      <c r="BI90" s="77">
        <v>1186.5499595466033</v>
      </c>
      <c r="BJ90" s="77">
        <v>1187.1824297039229</v>
      </c>
      <c r="BK90" s="77">
        <v>1129.8111164027769</v>
      </c>
      <c r="BL90" s="77">
        <v>1172.0444810921606</v>
      </c>
      <c r="BM90" s="77">
        <v>1161.6713821196977</v>
      </c>
      <c r="BN90" s="77">
        <v>1164.0046430967943</v>
      </c>
      <c r="BO90" s="77">
        <v>1097.3801070952909</v>
      </c>
      <c r="BP90" s="83">
        <v>1185.8097870383517</v>
      </c>
      <c r="BQ90" s="77">
        <v>1054.2302447047648</v>
      </c>
      <c r="BR90" s="77">
        <v>1015.6955082074375</v>
      </c>
      <c r="BS90" s="77">
        <v>1024.3150954846358</v>
      </c>
      <c r="BT90" s="77">
        <v>1182.6849999999997</v>
      </c>
      <c r="BU90" s="77"/>
      <c r="BV90" s="77"/>
      <c r="BW90" s="77"/>
      <c r="BX90" s="77"/>
      <c r="BY90" s="77"/>
      <c r="BZ90" s="77"/>
      <c r="CA90" s="77"/>
      <c r="CB90" s="77"/>
      <c r="CC90" s="83">
        <v>1074.5372886279549</v>
      </c>
      <c r="CD90" s="77">
        <v>22699.700262303464</v>
      </c>
      <c r="CE90" s="77">
        <v>23776.436490935757</v>
      </c>
      <c r="CF90" s="77">
        <v>23707.752316404316</v>
      </c>
      <c r="CG90" s="77">
        <v>23808.255373818189</v>
      </c>
      <c r="CH90" s="77">
        <v>25017.428411241752</v>
      </c>
      <c r="CI90" s="77">
        <v>24420.325410101006</v>
      </c>
      <c r="CJ90" s="77">
        <v>24320.423956987364</v>
      </c>
      <c r="CK90" s="77">
        <v>24938.211103713602</v>
      </c>
      <c r="CL90" s="77">
        <v>24831.056095665634</v>
      </c>
      <c r="CM90" s="77">
        <v>25016.991295182896</v>
      </c>
      <c r="CN90" s="77">
        <v>23564.044527464612</v>
      </c>
      <c r="CO90" s="77">
        <v>24973.415133766219</v>
      </c>
      <c r="CP90" s="96">
        <v>24411.725135368149</v>
      </c>
      <c r="CQ90" s="77">
        <v>25559.609262540373</v>
      </c>
      <c r="CR90" s="77">
        <v>25060.438721749157</v>
      </c>
      <c r="CS90" s="77">
        <v>26237.511626098472</v>
      </c>
      <c r="CT90" s="77">
        <v>26870.734739040883</v>
      </c>
      <c r="CU90" s="77">
        <v>27142.562728393019</v>
      </c>
      <c r="CV90" s="77">
        <v>27964.308498693747</v>
      </c>
      <c r="CW90" s="77">
        <v>28505.692332205002</v>
      </c>
      <c r="CX90" s="77">
        <v>27773.820478179892</v>
      </c>
      <c r="CY90" s="77">
        <v>26804.874072462579</v>
      </c>
      <c r="CZ90" s="77">
        <v>26381.06196982148</v>
      </c>
      <c r="DA90" s="77">
        <v>26445.23975396164</v>
      </c>
      <c r="DB90" s="77">
        <v>26072.930230747268</v>
      </c>
      <c r="DC90" s="96">
        <v>26670.753538875219</v>
      </c>
      <c r="DD90" s="77">
        <v>26131.540175322411</v>
      </c>
      <c r="DE90" s="77">
        <v>27525.027637130806</v>
      </c>
      <c r="DF90" s="77">
        <v>25463.673251515153</v>
      </c>
      <c r="DG90" s="77">
        <v>25463.673253211968</v>
      </c>
      <c r="DH90" s="77"/>
      <c r="DI90" s="77"/>
      <c r="DJ90" s="77"/>
      <c r="DK90" s="77"/>
      <c r="DL90" s="77"/>
      <c r="DM90" s="77"/>
      <c r="DN90" s="77"/>
      <c r="DO90" s="77"/>
      <c r="DP90" s="96">
        <v>26134.867330351444</v>
      </c>
    </row>
    <row r="91" spans="2:120" s="22" customFormat="1" hidden="1" outlineLevel="1" x14ac:dyDescent="0.35">
      <c r="B91" s="25" t="s">
        <v>71</v>
      </c>
      <c r="C91" s="75" t="s">
        <v>87</v>
      </c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80"/>
      <c r="Q91" s="77"/>
      <c r="R91" s="77"/>
      <c r="S91" s="77">
        <v>11000</v>
      </c>
      <c r="T91" s="77"/>
      <c r="U91" s="77"/>
      <c r="V91" s="77"/>
      <c r="W91" s="77"/>
      <c r="X91" s="77"/>
      <c r="Y91" s="77"/>
      <c r="Z91" s="77"/>
      <c r="AA91" s="77"/>
      <c r="AB91" s="77"/>
      <c r="AC91" s="80">
        <v>11000</v>
      </c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80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83"/>
      <c r="BD91" s="77"/>
      <c r="BE91" s="77"/>
      <c r="BF91" s="77">
        <v>1141.8663981588036</v>
      </c>
      <c r="BG91" s="77"/>
      <c r="BH91" s="77"/>
      <c r="BI91" s="77"/>
      <c r="BJ91" s="77"/>
      <c r="BK91" s="77"/>
      <c r="BL91" s="77"/>
      <c r="BM91" s="77"/>
      <c r="BN91" s="77"/>
      <c r="BO91" s="77"/>
      <c r="BP91" s="83">
        <v>1141.8663981588036</v>
      </c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83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96"/>
      <c r="CQ91" s="77"/>
      <c r="CR91" s="77"/>
      <c r="CS91" s="77">
        <v>26237.511626098501</v>
      </c>
      <c r="CT91" s="77"/>
      <c r="CU91" s="77"/>
      <c r="CV91" s="77"/>
      <c r="CW91" s="77"/>
      <c r="CX91" s="77"/>
      <c r="CY91" s="77"/>
      <c r="CZ91" s="77"/>
      <c r="DA91" s="77"/>
      <c r="DB91" s="77"/>
      <c r="DC91" s="96">
        <v>26237.511626098501</v>
      </c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96"/>
    </row>
    <row r="92" spans="2:120" s="22" customFormat="1" hidden="1" outlineLevel="1" x14ac:dyDescent="0.35">
      <c r="B92" s="25" t="s">
        <v>71</v>
      </c>
      <c r="C92" s="75" t="s">
        <v>88</v>
      </c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80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80"/>
      <c r="AD92" s="77">
        <v>55000</v>
      </c>
      <c r="AE92" s="77">
        <v>44000</v>
      </c>
      <c r="AF92" s="77">
        <v>33000</v>
      </c>
      <c r="AG92" s="77">
        <v>200</v>
      </c>
      <c r="AH92" s="77"/>
      <c r="AI92" s="77"/>
      <c r="AJ92" s="77"/>
      <c r="AK92" s="77"/>
      <c r="AL92" s="77"/>
      <c r="AM92" s="77"/>
      <c r="AN92" s="77"/>
      <c r="AO92" s="77"/>
      <c r="AP92" s="80">
        <v>132200</v>
      </c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83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83"/>
      <c r="BQ92" s="77">
        <v>1251.7956919165581</v>
      </c>
      <c r="BR92" s="77">
        <v>1229.0969853008169</v>
      </c>
      <c r="BS92" s="77">
        <v>1205.570193142139</v>
      </c>
      <c r="BT92" s="77">
        <v>1209.0666666666668</v>
      </c>
      <c r="BU92" s="77"/>
      <c r="BV92" s="77"/>
      <c r="BW92" s="77"/>
      <c r="BX92" s="77"/>
      <c r="BY92" s="77"/>
      <c r="BZ92" s="77"/>
      <c r="CA92" s="77"/>
      <c r="CB92" s="77"/>
      <c r="CC92" s="83">
        <v>1232.6373684997768</v>
      </c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96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96"/>
      <c r="DD92" s="77">
        <v>26175.497633753803</v>
      </c>
      <c r="DE92" s="77">
        <v>27525.027637130806</v>
      </c>
      <c r="DF92" s="77">
        <v>25463.67325151516</v>
      </c>
      <c r="DG92" s="77">
        <v>25463.673253211957</v>
      </c>
      <c r="DH92" s="77"/>
      <c r="DI92" s="77"/>
      <c r="DJ92" s="77"/>
      <c r="DK92" s="77"/>
      <c r="DL92" s="77"/>
      <c r="DM92" s="77"/>
      <c r="DN92" s="77"/>
      <c r="DO92" s="77"/>
      <c r="DP92" s="96">
        <v>26445.896655377139</v>
      </c>
    </row>
    <row r="93" spans="2:120" s="22" customFormat="1" hidden="1" outlineLevel="1" x14ac:dyDescent="0.35">
      <c r="B93" s="25" t="s">
        <v>71</v>
      </c>
      <c r="C93" s="75" t="s">
        <v>89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80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80"/>
      <c r="AD93" s="77">
        <v>1100</v>
      </c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80">
        <v>1100</v>
      </c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83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83"/>
      <c r="BQ93" s="77">
        <v>1222.0290398396114</v>
      </c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83">
        <v>1222.0290398396114</v>
      </c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96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96"/>
      <c r="DD93" s="77">
        <v>26175.497633753806</v>
      </c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96">
        <v>26175.497633753806</v>
      </c>
    </row>
    <row r="94" spans="2:120" s="22" customFormat="1" hidden="1" outlineLevel="1" x14ac:dyDescent="0.35">
      <c r="B94" s="25" t="s">
        <v>71</v>
      </c>
      <c r="C94" s="75" t="s">
        <v>90</v>
      </c>
      <c r="D94" s="77"/>
      <c r="E94" s="77"/>
      <c r="F94" s="77"/>
      <c r="G94" s="77"/>
      <c r="H94" s="77"/>
      <c r="I94" s="77"/>
      <c r="J94" s="77"/>
      <c r="K94" s="77"/>
      <c r="L94" s="77"/>
      <c r="M94" s="77">
        <v>44000</v>
      </c>
      <c r="N94" s="77">
        <v>44000</v>
      </c>
      <c r="O94" s="77"/>
      <c r="P94" s="80">
        <v>88000</v>
      </c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80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80"/>
      <c r="AQ94" s="77"/>
      <c r="AR94" s="77"/>
      <c r="AS94" s="77"/>
      <c r="AT94" s="77"/>
      <c r="AU94" s="77"/>
      <c r="AV94" s="77"/>
      <c r="AW94" s="77"/>
      <c r="AX94" s="77"/>
      <c r="AY94" s="77"/>
      <c r="AZ94" s="77">
        <v>1331.3702947023294</v>
      </c>
      <c r="BA94" s="77">
        <v>1335.8056782831834</v>
      </c>
      <c r="BB94" s="77"/>
      <c r="BC94" s="83">
        <v>1333.5879864927563</v>
      </c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83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83"/>
      <c r="CD94" s="77"/>
      <c r="CE94" s="77"/>
      <c r="CF94" s="77"/>
      <c r="CG94" s="77"/>
      <c r="CH94" s="77"/>
      <c r="CI94" s="77"/>
      <c r="CJ94" s="77"/>
      <c r="CK94" s="77"/>
      <c r="CL94" s="77"/>
      <c r="CM94" s="77">
        <v>25016.99129518291</v>
      </c>
      <c r="CN94" s="77">
        <v>23564.044527464619</v>
      </c>
      <c r="CO94" s="77"/>
      <c r="CP94" s="96">
        <v>24290.517911323765</v>
      </c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96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96"/>
    </row>
    <row r="95" spans="2:120" s="22" customFormat="1" hidden="1" outlineLevel="1" x14ac:dyDescent="0.35">
      <c r="B95" s="25" t="s">
        <v>71</v>
      </c>
      <c r="C95" s="75" t="s">
        <v>8</v>
      </c>
      <c r="D95" s="77"/>
      <c r="E95" s="77"/>
      <c r="F95" s="77"/>
      <c r="G95" s="77"/>
      <c r="H95" s="77"/>
      <c r="I95" s="77">
        <v>99000</v>
      </c>
      <c r="J95" s="77">
        <v>67100</v>
      </c>
      <c r="K95" s="77">
        <v>99000</v>
      </c>
      <c r="L95" s="77">
        <v>66000</v>
      </c>
      <c r="M95" s="77">
        <v>55000</v>
      </c>
      <c r="N95" s="77">
        <v>77000</v>
      </c>
      <c r="O95" s="77">
        <v>22000</v>
      </c>
      <c r="P95" s="80">
        <v>485100</v>
      </c>
      <c r="Q95" s="77">
        <v>44000</v>
      </c>
      <c r="R95" s="77">
        <v>77000</v>
      </c>
      <c r="S95" s="77">
        <v>110000</v>
      </c>
      <c r="T95" s="77">
        <v>56100</v>
      </c>
      <c r="U95" s="77">
        <v>64900</v>
      </c>
      <c r="V95" s="77">
        <v>66000</v>
      </c>
      <c r="W95" s="77">
        <v>99000</v>
      </c>
      <c r="X95" s="77"/>
      <c r="Y95" s="77"/>
      <c r="Z95" s="77">
        <v>55000</v>
      </c>
      <c r="AA95" s="77">
        <v>22000</v>
      </c>
      <c r="AB95" s="77">
        <v>55000</v>
      </c>
      <c r="AC95" s="80">
        <v>649000</v>
      </c>
      <c r="AD95" s="77">
        <v>66000</v>
      </c>
      <c r="AE95" s="77">
        <v>44000</v>
      </c>
      <c r="AF95" s="77">
        <v>110000</v>
      </c>
      <c r="AG95" s="77">
        <v>44000</v>
      </c>
      <c r="AH95" s="77"/>
      <c r="AI95" s="77"/>
      <c r="AJ95" s="77"/>
      <c r="AK95" s="77"/>
      <c r="AL95" s="77"/>
      <c r="AM95" s="77"/>
      <c r="AN95" s="77"/>
      <c r="AO95" s="77"/>
      <c r="AP95" s="80">
        <v>264000</v>
      </c>
      <c r="AQ95" s="77"/>
      <c r="AR95" s="77"/>
      <c r="AS95" s="77"/>
      <c r="AT95" s="77"/>
      <c r="AU95" s="77"/>
      <c r="AV95" s="77">
        <v>1252.7959344253759</v>
      </c>
      <c r="AW95" s="77">
        <v>1276.2673212422274</v>
      </c>
      <c r="AX95" s="77">
        <v>1290.1883339289889</v>
      </c>
      <c r="AY95" s="77">
        <v>1313.5833568804999</v>
      </c>
      <c r="AZ95" s="77">
        <v>1276.2736345417445</v>
      </c>
      <c r="BA95" s="77">
        <v>1254.1643490852946</v>
      </c>
      <c r="BB95" s="77">
        <v>1288.1103069463129</v>
      </c>
      <c r="BC95" s="83">
        <v>1276.4246813208226</v>
      </c>
      <c r="BD95" s="77">
        <v>1289.1609341995484</v>
      </c>
      <c r="BE95" s="77">
        <v>1232.2741288614097</v>
      </c>
      <c r="BF95" s="77">
        <v>1224.4422109745854</v>
      </c>
      <c r="BG95" s="77">
        <v>1248.2440209701363</v>
      </c>
      <c r="BH95" s="77">
        <v>1253.2528197629988</v>
      </c>
      <c r="BI95" s="77">
        <v>1256.3932140259913</v>
      </c>
      <c r="BJ95" s="77">
        <v>1251.4188095523248</v>
      </c>
      <c r="BK95" s="77"/>
      <c r="BL95" s="77"/>
      <c r="BM95" s="77">
        <v>1260.5703506864691</v>
      </c>
      <c r="BN95" s="77">
        <v>1156.0360875733975</v>
      </c>
      <c r="BO95" s="77">
        <v>1156.9483310710061</v>
      </c>
      <c r="BP95" s="83">
        <v>1237.0850007827855</v>
      </c>
      <c r="BQ95" s="77">
        <v>1109.5078037626338</v>
      </c>
      <c r="BR95" s="77">
        <v>1111.5469936933766</v>
      </c>
      <c r="BS95" s="77">
        <v>1096.3755466767</v>
      </c>
      <c r="BT95" s="77">
        <v>1099.1619047619047</v>
      </c>
      <c r="BU95" s="77"/>
      <c r="BV95" s="77"/>
      <c r="BW95" s="77"/>
      <c r="BX95" s="77"/>
      <c r="BY95" s="77"/>
      <c r="BZ95" s="77"/>
      <c r="CA95" s="77"/>
      <c r="CB95" s="77"/>
      <c r="CC95" s="83">
        <v>1102.6515784651638</v>
      </c>
      <c r="CD95" s="77"/>
      <c r="CE95" s="77"/>
      <c r="CF95" s="77"/>
      <c r="CG95" s="77"/>
      <c r="CH95" s="77"/>
      <c r="CI95" s="77">
        <v>24420.32541010101</v>
      </c>
      <c r="CJ95" s="77">
        <v>24320.423956987353</v>
      </c>
      <c r="CK95" s="77">
        <v>24938.211103713562</v>
      </c>
      <c r="CL95" s="77">
        <v>24831.056095665608</v>
      </c>
      <c r="CM95" s="77">
        <v>25016.991295182914</v>
      </c>
      <c r="CN95" s="77">
        <v>23564.044527464612</v>
      </c>
      <c r="CO95" s="77">
        <v>24973.415133766233</v>
      </c>
      <c r="CP95" s="96">
        <v>24524.894552645059</v>
      </c>
      <c r="CQ95" s="77">
        <v>25581.320156198675</v>
      </c>
      <c r="CR95" s="77">
        <v>25060.438721749135</v>
      </c>
      <c r="CS95" s="77">
        <v>26237.511626098501</v>
      </c>
      <c r="CT95" s="77">
        <v>26870.734739040894</v>
      </c>
      <c r="CU95" s="77">
        <v>27142.56272839299</v>
      </c>
      <c r="CV95" s="77">
        <v>27964.308498693747</v>
      </c>
      <c r="CW95" s="77">
        <v>28505.692332205032</v>
      </c>
      <c r="CX95" s="77"/>
      <c r="CY95" s="77"/>
      <c r="CZ95" s="77">
        <v>26381.061969821469</v>
      </c>
      <c r="DA95" s="77">
        <v>26445.239753961632</v>
      </c>
      <c r="DB95" s="77">
        <v>26072.930230747261</v>
      </c>
      <c r="DC95" s="96">
        <v>26725.472164363131</v>
      </c>
      <c r="DD95" s="77">
        <v>26175.497633753803</v>
      </c>
      <c r="DE95" s="77">
        <v>27525.027637130806</v>
      </c>
      <c r="DF95" s="77">
        <v>25463.673251515167</v>
      </c>
      <c r="DG95" s="77">
        <v>25463.673253211953</v>
      </c>
      <c r="DH95" s="77"/>
      <c r="DI95" s="77"/>
      <c r="DJ95" s="77"/>
      <c r="DK95" s="77"/>
      <c r="DL95" s="77"/>
      <c r="DM95" s="77"/>
      <c r="DN95" s="77"/>
      <c r="DO95" s="77"/>
      <c r="DP95" s="96">
        <v>25985.188411626885</v>
      </c>
    </row>
    <row r="96" spans="2:120" s="22" customFormat="1" hidden="1" outlineLevel="1" x14ac:dyDescent="0.35">
      <c r="B96" s="25" t="s">
        <v>71</v>
      </c>
      <c r="C96" s="75" t="s">
        <v>91</v>
      </c>
      <c r="D96" s="77">
        <v>154000</v>
      </c>
      <c r="E96" s="77">
        <v>66000</v>
      </c>
      <c r="F96" s="77">
        <v>110000</v>
      </c>
      <c r="G96" s="77">
        <v>110000</v>
      </c>
      <c r="H96" s="77">
        <v>88000</v>
      </c>
      <c r="I96" s="77">
        <v>88000</v>
      </c>
      <c r="J96" s="77"/>
      <c r="K96" s="77">
        <v>132000</v>
      </c>
      <c r="L96" s="77">
        <v>88000</v>
      </c>
      <c r="M96" s="77"/>
      <c r="N96" s="77">
        <v>22000</v>
      </c>
      <c r="O96" s="77">
        <v>110000</v>
      </c>
      <c r="P96" s="80">
        <v>968000</v>
      </c>
      <c r="Q96" s="77"/>
      <c r="R96" s="77"/>
      <c r="S96" s="77">
        <v>44000</v>
      </c>
      <c r="T96" s="77">
        <v>44000</v>
      </c>
      <c r="U96" s="77">
        <v>88000</v>
      </c>
      <c r="V96" s="77">
        <v>44000</v>
      </c>
      <c r="W96" s="77">
        <v>64900</v>
      </c>
      <c r="X96" s="77">
        <v>66000</v>
      </c>
      <c r="Y96" s="77"/>
      <c r="Z96" s="77">
        <v>88000</v>
      </c>
      <c r="AA96" s="77">
        <v>66000</v>
      </c>
      <c r="AB96" s="77"/>
      <c r="AC96" s="80">
        <v>504900</v>
      </c>
      <c r="AD96" s="77"/>
      <c r="AE96" s="77"/>
      <c r="AF96" s="77">
        <v>88000</v>
      </c>
      <c r="AG96" s="77">
        <v>44000</v>
      </c>
      <c r="AH96" s="77"/>
      <c r="AI96" s="77"/>
      <c r="AJ96" s="77"/>
      <c r="AK96" s="77"/>
      <c r="AL96" s="77"/>
      <c r="AM96" s="77"/>
      <c r="AN96" s="77"/>
      <c r="AO96" s="77"/>
      <c r="AP96" s="80">
        <v>132000</v>
      </c>
      <c r="AQ96" s="77">
        <v>1259.3806905923079</v>
      </c>
      <c r="AR96" s="77">
        <v>1228.8864471925128</v>
      </c>
      <c r="AS96" s="77">
        <v>1200.9591283464499</v>
      </c>
      <c r="AT96" s="77">
        <v>1170.0707841975477</v>
      </c>
      <c r="AU96" s="77">
        <v>1187.741459510019</v>
      </c>
      <c r="AV96" s="77">
        <v>1196.5573568667464</v>
      </c>
      <c r="AW96" s="77"/>
      <c r="AX96" s="77">
        <v>1194.7480315440548</v>
      </c>
      <c r="AY96" s="77">
        <v>1194.8101727736052</v>
      </c>
      <c r="AZ96" s="77"/>
      <c r="BA96" s="77">
        <v>1259.974551929675</v>
      </c>
      <c r="BB96" s="77">
        <v>1260.8351793874861</v>
      </c>
      <c r="BC96" s="83">
        <v>1213.7851893903774</v>
      </c>
      <c r="BD96" s="77"/>
      <c r="BE96" s="77"/>
      <c r="BF96" s="77">
        <v>1229.2802952755906</v>
      </c>
      <c r="BG96" s="77">
        <v>1237.2183847688284</v>
      </c>
      <c r="BH96" s="77">
        <v>1228.9231313719947</v>
      </c>
      <c r="BI96" s="77">
        <v>1228.7999671283278</v>
      </c>
      <c r="BJ96" s="77">
        <v>1228.2011136852559</v>
      </c>
      <c r="BK96" s="77">
        <v>1215.2246131069878</v>
      </c>
      <c r="BL96" s="77"/>
      <c r="BM96" s="77">
        <v>1079.5743837517957</v>
      </c>
      <c r="BN96" s="77">
        <v>1080.5383265646155</v>
      </c>
      <c r="BO96" s="77"/>
      <c r="BP96" s="83">
        <v>1182.3559677223079</v>
      </c>
      <c r="BQ96" s="77"/>
      <c r="BR96" s="77"/>
      <c r="BS96" s="77">
        <v>1078.0528979427872</v>
      </c>
      <c r="BT96" s="77">
        <v>1079.9999999999998</v>
      </c>
      <c r="BU96" s="77"/>
      <c r="BV96" s="77"/>
      <c r="BW96" s="77"/>
      <c r="BX96" s="77"/>
      <c r="BY96" s="77"/>
      <c r="BZ96" s="77"/>
      <c r="CA96" s="77"/>
      <c r="CB96" s="77"/>
      <c r="CC96" s="83">
        <v>1078.7019319618582</v>
      </c>
      <c r="CD96" s="77">
        <v>22536.166159942601</v>
      </c>
      <c r="CE96" s="77">
        <v>23776.436490935754</v>
      </c>
      <c r="CF96" s="77">
        <v>23707.752316404298</v>
      </c>
      <c r="CG96" s="77">
        <v>23808.255373818185</v>
      </c>
      <c r="CH96" s="77">
        <v>25017.428411241752</v>
      </c>
      <c r="CI96" s="77">
        <v>24420.325410101006</v>
      </c>
      <c r="CJ96" s="77"/>
      <c r="CK96" s="77">
        <v>24938.211103713562</v>
      </c>
      <c r="CL96" s="77">
        <v>24831.056095665608</v>
      </c>
      <c r="CM96" s="77"/>
      <c r="CN96" s="77">
        <v>23564.044527464619</v>
      </c>
      <c r="CO96" s="77">
        <v>24973.415133766233</v>
      </c>
      <c r="CP96" s="96">
        <v>24131.775852957478</v>
      </c>
      <c r="CQ96" s="77"/>
      <c r="CR96" s="77"/>
      <c r="CS96" s="77">
        <v>26237.511626098501</v>
      </c>
      <c r="CT96" s="77">
        <v>26870.734739040894</v>
      </c>
      <c r="CU96" s="77">
        <v>27142.562728392986</v>
      </c>
      <c r="CV96" s="77">
        <v>27964.308498693747</v>
      </c>
      <c r="CW96" s="77">
        <v>28505.692332205028</v>
      </c>
      <c r="CX96" s="77">
        <v>27773.820478179859</v>
      </c>
      <c r="CY96" s="77"/>
      <c r="CZ96" s="77">
        <v>26381.061969821469</v>
      </c>
      <c r="DA96" s="77">
        <v>26445.239753961636</v>
      </c>
      <c r="DB96" s="77"/>
      <c r="DC96" s="96">
        <v>27145.47196500887</v>
      </c>
      <c r="DD96" s="77"/>
      <c r="DE96" s="77"/>
      <c r="DF96" s="77">
        <v>25463.67325151516</v>
      </c>
      <c r="DG96" s="77">
        <v>25463.673253211953</v>
      </c>
      <c r="DH96" s="77"/>
      <c r="DI96" s="77"/>
      <c r="DJ96" s="77"/>
      <c r="DK96" s="77"/>
      <c r="DL96" s="77"/>
      <c r="DM96" s="77"/>
      <c r="DN96" s="77"/>
      <c r="DO96" s="77"/>
      <c r="DP96" s="96">
        <v>25463.67325208076</v>
      </c>
    </row>
    <row r="97" spans="1:120" s="22" customFormat="1" hidden="1" outlineLevel="1" x14ac:dyDescent="0.35">
      <c r="B97" s="25" t="s">
        <v>71</v>
      </c>
      <c r="C97" s="75" t="s">
        <v>92</v>
      </c>
      <c r="D97" s="77"/>
      <c r="E97" s="77"/>
      <c r="F97" s="77">
        <v>44000</v>
      </c>
      <c r="G97" s="77"/>
      <c r="H97" s="77">
        <v>44000</v>
      </c>
      <c r="I97" s="77"/>
      <c r="J97" s="77"/>
      <c r="K97" s="77"/>
      <c r="L97" s="77">
        <v>44000</v>
      </c>
      <c r="M97" s="77"/>
      <c r="N97" s="77"/>
      <c r="O97" s="77"/>
      <c r="P97" s="80">
        <v>132000</v>
      </c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80"/>
      <c r="AD97" s="77"/>
      <c r="AE97" s="77"/>
      <c r="AF97" s="77">
        <v>22000</v>
      </c>
      <c r="AG97" s="77"/>
      <c r="AH97" s="77"/>
      <c r="AI97" s="77"/>
      <c r="AJ97" s="77"/>
      <c r="AK97" s="77"/>
      <c r="AL97" s="77"/>
      <c r="AM97" s="77"/>
      <c r="AN97" s="77"/>
      <c r="AO97" s="77"/>
      <c r="AP97" s="80">
        <v>22000</v>
      </c>
      <c r="AQ97" s="77"/>
      <c r="AR97" s="77"/>
      <c r="AS97" s="77">
        <v>1222.4057726350727</v>
      </c>
      <c r="AT97" s="77"/>
      <c r="AU97" s="77">
        <v>1210.275713467252</v>
      </c>
      <c r="AV97" s="77"/>
      <c r="AW97" s="77"/>
      <c r="AX97" s="77"/>
      <c r="AY97" s="77">
        <v>1190.4656199115509</v>
      </c>
      <c r="AZ97" s="77"/>
      <c r="BA97" s="77"/>
      <c r="BB97" s="77"/>
      <c r="BC97" s="83">
        <v>1207.7157020046252</v>
      </c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83"/>
      <c r="BQ97" s="77"/>
      <c r="BR97" s="77"/>
      <c r="BS97" s="77">
        <v>1134.58594551282</v>
      </c>
      <c r="BT97" s="77"/>
      <c r="BU97" s="77"/>
      <c r="BV97" s="77"/>
      <c r="BW97" s="77"/>
      <c r="BX97" s="77"/>
      <c r="BY97" s="77"/>
      <c r="BZ97" s="77"/>
      <c r="CA97" s="77"/>
      <c r="CB97" s="77"/>
      <c r="CC97" s="83">
        <v>1134.58594551282</v>
      </c>
      <c r="CD97" s="77"/>
      <c r="CE97" s="77"/>
      <c r="CF97" s="77">
        <v>23707.752316404298</v>
      </c>
      <c r="CG97" s="77"/>
      <c r="CH97" s="77">
        <v>25017.428411241752</v>
      </c>
      <c r="CI97" s="77"/>
      <c r="CJ97" s="77"/>
      <c r="CK97" s="77"/>
      <c r="CL97" s="77">
        <v>24831.056095665608</v>
      </c>
      <c r="CM97" s="77"/>
      <c r="CN97" s="77"/>
      <c r="CO97" s="77"/>
      <c r="CP97" s="96">
        <v>24518.74560777055</v>
      </c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96"/>
      <c r="DD97" s="77"/>
      <c r="DE97" s="77"/>
      <c r="DF97" s="77">
        <v>25463.67325151516</v>
      </c>
      <c r="DG97" s="77"/>
      <c r="DH97" s="77"/>
      <c r="DI97" s="77"/>
      <c r="DJ97" s="77"/>
      <c r="DK97" s="77"/>
      <c r="DL97" s="77"/>
      <c r="DM97" s="77"/>
      <c r="DN97" s="77"/>
      <c r="DO97" s="77"/>
      <c r="DP97" s="96">
        <v>25463.67325151516</v>
      </c>
    </row>
    <row r="98" spans="1:120" s="22" customFormat="1" hidden="1" outlineLevel="1" x14ac:dyDescent="0.35">
      <c r="B98" s="25" t="s">
        <v>71</v>
      </c>
      <c r="C98" s="75" t="s">
        <v>93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80"/>
      <c r="Q98" s="77"/>
      <c r="R98" s="77"/>
      <c r="S98" s="77"/>
      <c r="T98" s="77"/>
      <c r="U98" s="77"/>
      <c r="V98" s="77"/>
      <c r="W98" s="77"/>
      <c r="X98" s="77">
        <v>300</v>
      </c>
      <c r="Y98" s="77"/>
      <c r="Z98" s="77"/>
      <c r="AA98" s="77"/>
      <c r="AB98" s="77"/>
      <c r="AC98" s="80">
        <v>300</v>
      </c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80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83"/>
      <c r="BD98" s="77"/>
      <c r="BE98" s="77"/>
      <c r="BF98" s="77"/>
      <c r="BG98" s="77"/>
      <c r="BH98" s="77"/>
      <c r="BI98" s="77"/>
      <c r="BJ98" s="77"/>
      <c r="BK98" s="77">
        <v>723.18643092728337</v>
      </c>
      <c r="BL98" s="77"/>
      <c r="BM98" s="77"/>
      <c r="BN98" s="77"/>
      <c r="BO98" s="77"/>
      <c r="BP98" s="83">
        <v>723.18643092728337</v>
      </c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83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96"/>
      <c r="CQ98" s="77"/>
      <c r="CR98" s="77"/>
      <c r="CS98" s="77"/>
      <c r="CT98" s="77"/>
      <c r="CU98" s="77"/>
      <c r="CV98" s="77"/>
      <c r="CW98" s="77"/>
      <c r="CX98" s="77">
        <v>27773.820478179863</v>
      </c>
      <c r="CY98" s="77"/>
      <c r="CZ98" s="77"/>
      <c r="DA98" s="77"/>
      <c r="DB98" s="77"/>
      <c r="DC98" s="96">
        <v>27773.820478179863</v>
      </c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96"/>
    </row>
    <row r="99" spans="1:120" s="22" customFormat="1" hidden="1" outlineLevel="1" x14ac:dyDescent="0.35">
      <c r="B99" s="25" t="s">
        <v>71</v>
      </c>
      <c r="C99" s="75" t="s">
        <v>94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80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80"/>
      <c r="AD99" s="77">
        <v>880000</v>
      </c>
      <c r="AE99" s="77">
        <v>616000</v>
      </c>
      <c r="AF99" s="77">
        <v>726000</v>
      </c>
      <c r="AG99" s="77">
        <v>440000</v>
      </c>
      <c r="AH99" s="77"/>
      <c r="AI99" s="77"/>
      <c r="AJ99" s="77"/>
      <c r="AK99" s="77"/>
      <c r="AL99" s="77"/>
      <c r="AM99" s="77"/>
      <c r="AN99" s="77"/>
      <c r="AO99" s="77"/>
      <c r="AP99" s="80">
        <v>2662000</v>
      </c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83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83"/>
      <c r="BQ99" s="77">
        <v>1091.160699295317</v>
      </c>
      <c r="BR99" s="77">
        <v>1077.5681948054455</v>
      </c>
      <c r="BS99" s="77">
        <v>1061.3386178321873</v>
      </c>
      <c r="BT99" s="77">
        <v>1100.7453125</v>
      </c>
      <c r="BU99" s="77"/>
      <c r="BV99" s="77"/>
      <c r="BW99" s="77"/>
      <c r="BX99" s="77"/>
      <c r="BY99" s="77"/>
      <c r="BZ99" s="77"/>
      <c r="CA99" s="77"/>
      <c r="CB99" s="77"/>
      <c r="CC99" s="83">
        <v>1081.4662649985728</v>
      </c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96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96"/>
      <c r="DD99" s="77">
        <v>26175.49763375381</v>
      </c>
      <c r="DE99" s="77">
        <v>27525.027637130817</v>
      </c>
      <c r="DF99" s="77">
        <v>25463.673251515149</v>
      </c>
      <c r="DG99" s="77">
        <v>25463.673253211968</v>
      </c>
      <c r="DH99" s="77"/>
      <c r="DI99" s="77"/>
      <c r="DJ99" s="77"/>
      <c r="DK99" s="77"/>
      <c r="DL99" s="77"/>
      <c r="DM99" s="77"/>
      <c r="DN99" s="77"/>
      <c r="DO99" s="77"/>
      <c r="DP99" s="96">
        <v>26175.994723587221</v>
      </c>
    </row>
    <row r="100" spans="1:120" s="22" customFormat="1" hidden="1" outlineLevel="1" x14ac:dyDescent="0.35">
      <c r="B100" s="25" t="s">
        <v>71</v>
      </c>
      <c r="C100" s="75" t="s">
        <v>9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>
        <v>9900</v>
      </c>
      <c r="P100" s="80">
        <v>9900</v>
      </c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80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80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>
        <v>1277.6531150546666</v>
      </c>
      <c r="BC100" s="83">
        <v>1277.6531150546666</v>
      </c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83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83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>
        <v>24973.415133766237</v>
      </c>
      <c r="CP100" s="96">
        <v>24973.415133766237</v>
      </c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96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96"/>
    </row>
    <row r="101" spans="1:120" s="22" customFormat="1" hidden="1" outlineLevel="1" x14ac:dyDescent="0.35">
      <c r="B101" s="25" t="s">
        <v>71</v>
      </c>
      <c r="C101" s="75" t="s">
        <v>95</v>
      </c>
      <c r="D101" s="77"/>
      <c r="E101" s="77"/>
      <c r="F101" s="77"/>
      <c r="G101" s="77"/>
      <c r="H101" s="77"/>
      <c r="I101" s="77"/>
      <c r="J101" s="77"/>
      <c r="K101" s="77"/>
      <c r="L101" s="77">
        <v>500</v>
      </c>
      <c r="M101" s="77"/>
      <c r="N101" s="77"/>
      <c r="O101" s="77"/>
      <c r="P101" s="80">
        <v>500</v>
      </c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80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80"/>
      <c r="AQ101" s="77"/>
      <c r="AR101" s="77"/>
      <c r="AS101" s="77"/>
      <c r="AT101" s="77"/>
      <c r="AU101" s="77"/>
      <c r="AV101" s="77"/>
      <c r="AW101" s="77"/>
      <c r="AX101" s="77"/>
      <c r="AY101" s="77">
        <v>1307.8194404880624</v>
      </c>
      <c r="AZ101" s="77"/>
      <c r="BA101" s="77"/>
      <c r="BB101" s="77"/>
      <c r="BC101" s="83">
        <v>1307.8194404880624</v>
      </c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83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83"/>
      <c r="CD101" s="77"/>
      <c r="CE101" s="77"/>
      <c r="CF101" s="77"/>
      <c r="CG101" s="77"/>
      <c r="CH101" s="77"/>
      <c r="CI101" s="77"/>
      <c r="CJ101" s="77"/>
      <c r="CK101" s="77"/>
      <c r="CL101" s="77">
        <v>24831.056095665601</v>
      </c>
      <c r="CM101" s="77"/>
      <c r="CN101" s="77"/>
      <c r="CO101" s="77"/>
      <c r="CP101" s="96">
        <v>24831.056095665601</v>
      </c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96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96"/>
    </row>
    <row r="102" spans="1:120" s="22" customFormat="1" hidden="1" outlineLevel="1" x14ac:dyDescent="0.35">
      <c r="B102" s="25" t="s">
        <v>71</v>
      </c>
      <c r="C102" s="75" t="s">
        <v>96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80"/>
      <c r="Q102" s="77">
        <v>1100</v>
      </c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80">
        <v>1100</v>
      </c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80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83"/>
      <c r="BD102" s="77">
        <v>1372.4458937377678</v>
      </c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83">
        <v>1372.4458937377678</v>
      </c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83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96"/>
      <c r="CQ102" s="77">
        <v>25581.320156198672</v>
      </c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96">
        <v>25581.320156198672</v>
      </c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96"/>
    </row>
    <row r="103" spans="1:120" s="22" customFormat="1" hidden="1" outlineLevel="1" x14ac:dyDescent="0.35">
      <c r="B103" s="25" t="s">
        <v>71</v>
      </c>
      <c r="C103" s="75" t="s">
        <v>33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80"/>
      <c r="Q103" s="77"/>
      <c r="R103" s="77"/>
      <c r="S103" s="77"/>
      <c r="T103" s="77"/>
      <c r="U103" s="77"/>
      <c r="V103" s="77">
        <v>22000</v>
      </c>
      <c r="W103" s="77"/>
      <c r="X103" s="77"/>
      <c r="Y103" s="77"/>
      <c r="Z103" s="77"/>
      <c r="AA103" s="77"/>
      <c r="AB103" s="77"/>
      <c r="AC103" s="80">
        <v>22000</v>
      </c>
      <c r="AD103" s="77"/>
      <c r="AE103" s="77">
        <v>22000</v>
      </c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80">
        <v>22000</v>
      </c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83"/>
      <c r="BD103" s="77"/>
      <c r="BE103" s="77"/>
      <c r="BF103" s="77"/>
      <c r="BG103" s="77"/>
      <c r="BH103" s="77"/>
      <c r="BI103" s="77">
        <v>1231.0046600280355</v>
      </c>
      <c r="BJ103" s="77"/>
      <c r="BK103" s="77"/>
      <c r="BL103" s="77"/>
      <c r="BM103" s="77"/>
      <c r="BN103" s="77"/>
      <c r="BO103" s="77"/>
      <c r="BP103" s="83">
        <v>1231.0046600280355</v>
      </c>
      <c r="BQ103" s="77"/>
      <c r="BR103" s="77">
        <v>1180.8116981462836</v>
      </c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83">
        <v>1180.8116981462836</v>
      </c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96"/>
      <c r="CQ103" s="77"/>
      <c r="CR103" s="77"/>
      <c r="CS103" s="77"/>
      <c r="CT103" s="77"/>
      <c r="CU103" s="77"/>
      <c r="CV103" s="77">
        <v>27964.308498693747</v>
      </c>
      <c r="CW103" s="77"/>
      <c r="CX103" s="77"/>
      <c r="CY103" s="77"/>
      <c r="CZ103" s="77"/>
      <c r="DA103" s="77"/>
      <c r="DB103" s="77"/>
      <c r="DC103" s="96">
        <v>27964.308498693747</v>
      </c>
      <c r="DD103" s="77"/>
      <c r="DE103" s="77">
        <v>27525.027637130806</v>
      </c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96">
        <v>27525.027637130806</v>
      </c>
    </row>
    <row r="104" spans="1:120" s="22" customFormat="1" hidden="1" outlineLevel="1" x14ac:dyDescent="0.35">
      <c r="B104" s="25" t="s">
        <v>71</v>
      </c>
      <c r="C104" s="75" t="s">
        <v>97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80"/>
      <c r="Q104" s="77"/>
      <c r="R104" s="77"/>
      <c r="S104" s="77"/>
      <c r="T104" s="77"/>
      <c r="U104" s="77"/>
      <c r="V104" s="77">
        <v>44000</v>
      </c>
      <c r="W104" s="77">
        <v>44000</v>
      </c>
      <c r="X104" s="77">
        <v>88000</v>
      </c>
      <c r="Y104" s="77">
        <v>66000</v>
      </c>
      <c r="Z104" s="77">
        <v>132000</v>
      </c>
      <c r="AA104" s="77">
        <v>66000</v>
      </c>
      <c r="AB104" s="77"/>
      <c r="AC104" s="80">
        <v>440000</v>
      </c>
      <c r="AD104" s="77">
        <v>66000</v>
      </c>
      <c r="AE104" s="77">
        <v>44000</v>
      </c>
      <c r="AF104" s="77">
        <v>88000</v>
      </c>
      <c r="AG104" s="77">
        <v>132000</v>
      </c>
      <c r="AH104" s="77"/>
      <c r="AI104" s="77"/>
      <c r="AJ104" s="77"/>
      <c r="AK104" s="77"/>
      <c r="AL104" s="77"/>
      <c r="AM104" s="77"/>
      <c r="AN104" s="77"/>
      <c r="AO104" s="77"/>
      <c r="AP104" s="80">
        <v>330000</v>
      </c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83"/>
      <c r="BD104" s="77"/>
      <c r="BE104" s="77"/>
      <c r="BF104" s="77"/>
      <c r="BG104" s="77"/>
      <c r="BH104" s="77"/>
      <c r="BI104" s="77">
        <v>1225.9281291137384</v>
      </c>
      <c r="BJ104" s="77">
        <v>1222.4824414087495</v>
      </c>
      <c r="BK104" s="77">
        <v>1257.0066792681278</v>
      </c>
      <c r="BL104" s="77">
        <v>1257.3335775655466</v>
      </c>
      <c r="BM104" s="77">
        <v>1267.2379919005623</v>
      </c>
      <c r="BN104" s="77">
        <v>1276.9051847701671</v>
      </c>
      <c r="BO104" s="77"/>
      <c r="BP104" s="83">
        <v>1256.5496048264001</v>
      </c>
      <c r="BQ104" s="77">
        <v>1256.4081676622154</v>
      </c>
      <c r="BR104" s="77">
        <v>1268.5368981762279</v>
      </c>
      <c r="BS104" s="77">
        <v>1257.1742880946199</v>
      </c>
      <c r="BT104" s="77">
        <v>1220.7125551001307</v>
      </c>
      <c r="BU104" s="77"/>
      <c r="BV104" s="77"/>
      <c r="BW104" s="77"/>
      <c r="BX104" s="77"/>
      <c r="BY104" s="77"/>
      <c r="BZ104" s="77"/>
      <c r="CA104" s="77"/>
      <c r="CB104" s="77"/>
      <c r="CC104" s="83">
        <v>1243.951385487891</v>
      </c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96"/>
      <c r="CQ104" s="77"/>
      <c r="CR104" s="77"/>
      <c r="CS104" s="77"/>
      <c r="CT104" s="77"/>
      <c r="CU104" s="77"/>
      <c r="CV104" s="77">
        <v>27964.308498693747</v>
      </c>
      <c r="CW104" s="77">
        <v>28505.692332205024</v>
      </c>
      <c r="CX104" s="77">
        <v>27773.820478179859</v>
      </c>
      <c r="CY104" s="77">
        <v>26804.87407246256</v>
      </c>
      <c r="CZ104" s="77">
        <v>26381.061969821472</v>
      </c>
      <c r="DA104" s="77">
        <v>26445.239753961636</v>
      </c>
      <c r="DB104" s="77"/>
      <c r="DC104" s="96">
        <v>27103.599843635922</v>
      </c>
      <c r="DD104" s="77">
        <v>26175.497633753806</v>
      </c>
      <c r="DE104" s="77">
        <v>27525.027637130806</v>
      </c>
      <c r="DF104" s="77">
        <v>25463.67325151516</v>
      </c>
      <c r="DG104" s="77">
        <v>25463.673253211953</v>
      </c>
      <c r="DH104" s="77"/>
      <c r="DI104" s="77"/>
      <c r="DJ104" s="77"/>
      <c r="DK104" s="77"/>
      <c r="DL104" s="77"/>
      <c r="DM104" s="77"/>
      <c r="DN104" s="77"/>
      <c r="DO104" s="77"/>
      <c r="DP104" s="96">
        <v>25880.885380057032</v>
      </c>
    </row>
    <row r="105" spans="1:120" s="22" customFormat="1" hidden="1" outlineLevel="1" x14ac:dyDescent="0.35">
      <c r="B105" s="25" t="s">
        <v>71</v>
      </c>
      <c r="C105" s="75" t="s">
        <v>54</v>
      </c>
      <c r="D105" s="77"/>
      <c r="E105" s="77"/>
      <c r="F105" s="77">
        <v>33000</v>
      </c>
      <c r="G105" s="77">
        <v>33000</v>
      </c>
      <c r="H105" s="77"/>
      <c r="I105" s="77"/>
      <c r="J105" s="77">
        <v>11000</v>
      </c>
      <c r="K105" s="77">
        <v>22000</v>
      </c>
      <c r="L105" s="77"/>
      <c r="M105" s="77">
        <v>22000</v>
      </c>
      <c r="N105" s="77"/>
      <c r="O105" s="77"/>
      <c r="P105" s="80">
        <v>121000</v>
      </c>
      <c r="Q105" s="77">
        <v>11000</v>
      </c>
      <c r="R105" s="77">
        <v>11000</v>
      </c>
      <c r="S105" s="77">
        <v>22000</v>
      </c>
      <c r="T105" s="77"/>
      <c r="U105" s="77">
        <v>22000</v>
      </c>
      <c r="V105" s="77">
        <v>11000</v>
      </c>
      <c r="W105" s="77"/>
      <c r="X105" s="77">
        <v>16500</v>
      </c>
      <c r="Y105" s="77"/>
      <c r="Z105" s="77">
        <v>11000</v>
      </c>
      <c r="AA105" s="77">
        <v>11000</v>
      </c>
      <c r="AB105" s="77"/>
      <c r="AC105" s="80">
        <v>115500</v>
      </c>
      <c r="AD105" s="77">
        <v>11000</v>
      </c>
      <c r="AE105" s="77">
        <v>11000</v>
      </c>
      <c r="AF105" s="77"/>
      <c r="AG105" s="77">
        <v>22000</v>
      </c>
      <c r="AH105" s="77"/>
      <c r="AI105" s="77"/>
      <c r="AJ105" s="77"/>
      <c r="AK105" s="77"/>
      <c r="AL105" s="77"/>
      <c r="AM105" s="77"/>
      <c r="AN105" s="77"/>
      <c r="AO105" s="77"/>
      <c r="AP105" s="80">
        <v>44000</v>
      </c>
      <c r="AQ105" s="77"/>
      <c r="AR105" s="77"/>
      <c r="AS105" s="77">
        <v>1315.6158590872872</v>
      </c>
      <c r="AT105" s="77">
        <v>1295.3609991676408</v>
      </c>
      <c r="AU105" s="77"/>
      <c r="AV105" s="77"/>
      <c r="AW105" s="77">
        <v>1286.1947581630538</v>
      </c>
      <c r="AX105" s="77">
        <v>1296.8191989811558</v>
      </c>
      <c r="AY105" s="77"/>
      <c r="AZ105" s="77">
        <v>1310.0078633728433</v>
      </c>
      <c r="BA105" s="77"/>
      <c r="BB105" s="77"/>
      <c r="BC105" s="83">
        <v>1302.9799506941663</v>
      </c>
      <c r="BD105" s="77">
        <v>1286.5985972028811</v>
      </c>
      <c r="BE105" s="77">
        <v>1300.2921713877931</v>
      </c>
      <c r="BF105" s="77">
        <v>1295.1916959941468</v>
      </c>
      <c r="BG105" s="77"/>
      <c r="BH105" s="77">
        <v>1237.8295847254649</v>
      </c>
      <c r="BI105" s="77">
        <v>1231.3111301843642</v>
      </c>
      <c r="BJ105" s="77"/>
      <c r="BK105" s="77">
        <v>1236.2211829357459</v>
      </c>
      <c r="BL105" s="77"/>
      <c r="BM105" s="77">
        <v>1264.7902606903913</v>
      </c>
      <c r="BN105" s="77">
        <v>1282.2572035557992</v>
      </c>
      <c r="BO105" s="77"/>
      <c r="BP105" s="83">
        <v>1265.2974951299113</v>
      </c>
      <c r="BQ105" s="77">
        <v>1261.744916458844</v>
      </c>
      <c r="BR105" s="77">
        <v>1273.9251273077796</v>
      </c>
      <c r="BS105" s="77"/>
      <c r="BT105" s="77">
        <v>1266.3238095238094</v>
      </c>
      <c r="BU105" s="77"/>
      <c r="BV105" s="77"/>
      <c r="BW105" s="77"/>
      <c r="BX105" s="77"/>
      <c r="BY105" s="77"/>
      <c r="BZ105" s="77"/>
      <c r="CA105" s="77"/>
      <c r="CB105" s="77"/>
      <c r="CC105" s="83">
        <v>1267.0794157035607</v>
      </c>
      <c r="CD105" s="77"/>
      <c r="CE105" s="77"/>
      <c r="CF105" s="77">
        <v>23707.752316404298</v>
      </c>
      <c r="CG105" s="77">
        <v>23808.255373818185</v>
      </c>
      <c r="CH105" s="77"/>
      <c r="CI105" s="77"/>
      <c r="CJ105" s="77">
        <v>24320.42395698735</v>
      </c>
      <c r="CK105" s="77">
        <v>24938.211103713566</v>
      </c>
      <c r="CL105" s="77"/>
      <c r="CM105" s="77">
        <v>25016.99129518291</v>
      </c>
      <c r="CN105" s="77"/>
      <c r="CO105" s="77"/>
      <c r="CP105" s="96">
        <v>24252.622893222524</v>
      </c>
      <c r="CQ105" s="77">
        <v>25581.320156198675</v>
      </c>
      <c r="CR105" s="77">
        <v>25060.438721749138</v>
      </c>
      <c r="CS105" s="77">
        <v>26237.511626098501</v>
      </c>
      <c r="CT105" s="77"/>
      <c r="CU105" s="77">
        <v>27142.56272839299</v>
      </c>
      <c r="CV105" s="77">
        <v>27964.308498693747</v>
      </c>
      <c r="CW105" s="77"/>
      <c r="CX105" s="77">
        <v>27773.820478179859</v>
      </c>
      <c r="CY105" s="77"/>
      <c r="CZ105" s="77">
        <v>26381.061969821469</v>
      </c>
      <c r="DA105" s="77">
        <v>26445.239753961632</v>
      </c>
      <c r="DB105" s="77"/>
      <c r="DC105" s="96">
        <v>26652.690335874042</v>
      </c>
      <c r="DD105" s="77">
        <v>24731.708181818183</v>
      </c>
      <c r="DE105" s="77">
        <v>24731.708090909091</v>
      </c>
      <c r="DF105" s="77"/>
      <c r="DG105" s="77">
        <v>25463.673253211953</v>
      </c>
      <c r="DH105" s="77"/>
      <c r="DI105" s="77"/>
      <c r="DJ105" s="77"/>
      <c r="DK105" s="77"/>
      <c r="DL105" s="77"/>
      <c r="DM105" s="77"/>
      <c r="DN105" s="77"/>
      <c r="DO105" s="77"/>
      <c r="DP105" s="96">
        <v>25097.690694787794</v>
      </c>
    </row>
    <row r="106" spans="1:120" s="22" customFormat="1" hidden="1" outlineLevel="1" x14ac:dyDescent="0.35">
      <c r="B106" s="25" t="s">
        <v>71</v>
      </c>
      <c r="C106" s="75" t="s">
        <v>98</v>
      </c>
      <c r="D106" s="77">
        <v>242000</v>
      </c>
      <c r="E106" s="77">
        <v>352000</v>
      </c>
      <c r="F106" s="77">
        <v>330000</v>
      </c>
      <c r="G106" s="77">
        <v>198000</v>
      </c>
      <c r="H106" s="77">
        <v>264000</v>
      </c>
      <c r="I106" s="77">
        <v>220000</v>
      </c>
      <c r="J106" s="77">
        <v>198000</v>
      </c>
      <c r="K106" s="77">
        <v>176000</v>
      </c>
      <c r="L106" s="77">
        <v>220000</v>
      </c>
      <c r="M106" s="77">
        <v>242000</v>
      </c>
      <c r="N106" s="77">
        <v>242000</v>
      </c>
      <c r="O106" s="77">
        <v>286000</v>
      </c>
      <c r="P106" s="80">
        <v>2970000</v>
      </c>
      <c r="Q106" s="77">
        <v>242000</v>
      </c>
      <c r="R106" s="77">
        <v>352000</v>
      </c>
      <c r="S106" s="77">
        <v>227700</v>
      </c>
      <c r="T106" s="77">
        <v>176000</v>
      </c>
      <c r="U106" s="77">
        <v>220000</v>
      </c>
      <c r="V106" s="77">
        <v>286000</v>
      </c>
      <c r="W106" s="77">
        <v>176000</v>
      </c>
      <c r="X106" s="77">
        <v>330000</v>
      </c>
      <c r="Y106" s="77">
        <v>330000</v>
      </c>
      <c r="Z106" s="77">
        <v>330000</v>
      </c>
      <c r="AA106" s="77">
        <v>176000</v>
      </c>
      <c r="AB106" s="77">
        <v>198000</v>
      </c>
      <c r="AC106" s="80">
        <v>3043700</v>
      </c>
      <c r="AD106" s="77">
        <v>264000</v>
      </c>
      <c r="AE106" s="77">
        <v>154000</v>
      </c>
      <c r="AF106" s="77">
        <v>242000</v>
      </c>
      <c r="AG106" s="77">
        <v>242000</v>
      </c>
      <c r="AH106" s="77"/>
      <c r="AI106" s="77"/>
      <c r="AJ106" s="77"/>
      <c r="AK106" s="77"/>
      <c r="AL106" s="77"/>
      <c r="AM106" s="77"/>
      <c r="AN106" s="77"/>
      <c r="AO106" s="77"/>
      <c r="AP106" s="80">
        <v>902000</v>
      </c>
      <c r="AQ106" s="77">
        <v>1319.5669564081086</v>
      </c>
      <c r="AR106" s="77">
        <v>1315.9763188453496</v>
      </c>
      <c r="AS106" s="77">
        <v>1309.9207583159257</v>
      </c>
      <c r="AT106" s="77">
        <v>1285.6079640251753</v>
      </c>
      <c r="AU106" s="77">
        <v>1273.6478714716559</v>
      </c>
      <c r="AV106" s="77">
        <v>1273.003440856849</v>
      </c>
      <c r="AW106" s="77">
        <v>1276.7834515043146</v>
      </c>
      <c r="AX106" s="77">
        <v>1291.1981205233697</v>
      </c>
      <c r="AY106" s="77">
        <v>1314.3246034267365</v>
      </c>
      <c r="AZ106" s="77">
        <v>1298.5578299871929</v>
      </c>
      <c r="BA106" s="77">
        <v>1277.9208713366165</v>
      </c>
      <c r="BB106" s="77">
        <v>1275.4428815019837</v>
      </c>
      <c r="BC106" s="83">
        <v>1293.998924261402</v>
      </c>
      <c r="BD106" s="77">
        <v>1281.2223365337693</v>
      </c>
      <c r="BE106" s="77">
        <v>1294.7524695019474</v>
      </c>
      <c r="BF106" s="77">
        <v>1287.3274169623865</v>
      </c>
      <c r="BG106" s="77">
        <v>1234.8117947426431</v>
      </c>
      <c r="BH106" s="77">
        <v>1232.3987755597204</v>
      </c>
      <c r="BI106" s="77">
        <v>1225.9281291137379</v>
      </c>
      <c r="BJ106" s="77">
        <v>1233.8530488375081</v>
      </c>
      <c r="BK106" s="77">
        <v>1261.0245929041403</v>
      </c>
      <c r="BL106" s="77">
        <v>1257.3335775655469</v>
      </c>
      <c r="BM106" s="77">
        <v>1274.0661150235333</v>
      </c>
      <c r="BN106" s="77">
        <v>1276.9051847701671</v>
      </c>
      <c r="BO106" s="77">
        <v>1279.4247777062558</v>
      </c>
      <c r="BP106" s="83">
        <v>1263.1740146158038</v>
      </c>
      <c r="BQ106" s="77">
        <v>1256.4883520261994</v>
      </c>
      <c r="BR106" s="77">
        <v>1268.5368981762279</v>
      </c>
      <c r="BS106" s="77">
        <v>1256.7667276068421</v>
      </c>
      <c r="BT106" s="77">
        <v>1206.0498653066286</v>
      </c>
      <c r="BU106" s="77"/>
      <c r="BV106" s="77"/>
      <c r="BW106" s="77"/>
      <c r="BX106" s="77"/>
      <c r="BY106" s="77"/>
      <c r="BZ106" s="77"/>
      <c r="CA106" s="77"/>
      <c r="CB106" s="77"/>
      <c r="CC106" s="83">
        <v>1245.0878300877116</v>
      </c>
      <c r="CD106" s="77">
        <v>22699.700262303479</v>
      </c>
      <c r="CE106" s="77">
        <v>23776.436490935757</v>
      </c>
      <c r="CF106" s="77">
        <v>23707.752316404298</v>
      </c>
      <c r="CG106" s="77">
        <v>23808.255373818185</v>
      </c>
      <c r="CH106" s="77">
        <v>25017.428411241752</v>
      </c>
      <c r="CI106" s="77">
        <v>24420.32541010101</v>
      </c>
      <c r="CJ106" s="77">
        <v>24320.423956987353</v>
      </c>
      <c r="CK106" s="77">
        <v>24938.211103713562</v>
      </c>
      <c r="CL106" s="77">
        <v>24831.056095665601</v>
      </c>
      <c r="CM106" s="77">
        <v>25016.991295182917</v>
      </c>
      <c r="CN106" s="77">
        <v>23564.044527464612</v>
      </c>
      <c r="CO106" s="77">
        <v>24973.415133766226</v>
      </c>
      <c r="CP106" s="96">
        <v>24223.470526473975</v>
      </c>
      <c r="CQ106" s="77">
        <v>25581.320156198675</v>
      </c>
      <c r="CR106" s="77">
        <v>25060.438721749138</v>
      </c>
      <c r="CS106" s="77">
        <v>26237.511626098505</v>
      </c>
      <c r="CT106" s="77">
        <v>26870.734739040894</v>
      </c>
      <c r="CU106" s="77">
        <v>27142.56272839299</v>
      </c>
      <c r="CV106" s="77">
        <v>27964.308498693739</v>
      </c>
      <c r="CW106" s="77">
        <v>28505.692332205032</v>
      </c>
      <c r="CX106" s="77">
        <v>27773.820478179856</v>
      </c>
      <c r="CY106" s="77">
        <v>26804.874072462557</v>
      </c>
      <c r="CZ106" s="77">
        <v>26381.061969821461</v>
      </c>
      <c r="DA106" s="77">
        <v>26445.239753961632</v>
      </c>
      <c r="DB106" s="77">
        <v>26072.930230747261</v>
      </c>
      <c r="DC106" s="96">
        <v>26689.609532696715</v>
      </c>
      <c r="DD106" s="77">
        <v>26175.49763375381</v>
      </c>
      <c r="DE106" s="77">
        <v>27525.027637130806</v>
      </c>
      <c r="DF106" s="77">
        <v>25463.673251515167</v>
      </c>
      <c r="DG106" s="77">
        <v>25463.67325321196</v>
      </c>
      <c r="DH106" s="77"/>
      <c r="DI106" s="77"/>
      <c r="DJ106" s="77"/>
      <c r="DK106" s="77"/>
      <c r="DL106" s="77"/>
      <c r="DM106" s="77"/>
      <c r="DN106" s="77"/>
      <c r="DO106" s="77"/>
      <c r="DP106" s="96">
        <v>26023.950649194125</v>
      </c>
    </row>
    <row r="107" spans="1:120" hidden="1" collapsed="1" x14ac:dyDescent="0.35">
      <c r="A107" t="s">
        <v>364</v>
      </c>
      <c r="B107" s="106" t="s">
        <v>99</v>
      </c>
      <c r="C107" s="76"/>
      <c r="D107" s="78">
        <v>1214400</v>
      </c>
      <c r="E107" s="78">
        <v>1500400</v>
      </c>
      <c r="F107" s="78">
        <v>1403900</v>
      </c>
      <c r="G107" s="78">
        <v>1375000</v>
      </c>
      <c r="H107" s="78">
        <v>1046100</v>
      </c>
      <c r="I107" s="78">
        <v>495000</v>
      </c>
      <c r="J107" s="78">
        <v>1129900</v>
      </c>
      <c r="K107" s="78">
        <v>2027700</v>
      </c>
      <c r="L107" s="78">
        <v>2071800</v>
      </c>
      <c r="M107" s="78">
        <v>1380500</v>
      </c>
      <c r="N107" s="78">
        <v>833800</v>
      </c>
      <c r="O107" s="78">
        <v>1452000</v>
      </c>
      <c r="P107" s="81">
        <v>15930500</v>
      </c>
      <c r="Q107" s="78">
        <v>2828100</v>
      </c>
      <c r="R107" s="78">
        <v>2172500</v>
      </c>
      <c r="S107" s="78">
        <v>1581700</v>
      </c>
      <c r="T107" s="78">
        <v>1699500</v>
      </c>
      <c r="U107" s="78">
        <v>1785300</v>
      </c>
      <c r="V107" s="78">
        <v>1272725</v>
      </c>
      <c r="W107" s="78">
        <v>2068000</v>
      </c>
      <c r="X107" s="78">
        <v>1771300</v>
      </c>
      <c r="Y107" s="78">
        <v>1195100</v>
      </c>
      <c r="Z107" s="78">
        <v>1338700</v>
      </c>
      <c r="AA107" s="78">
        <v>719400</v>
      </c>
      <c r="AB107" s="78">
        <v>982300</v>
      </c>
      <c r="AC107" s="81">
        <v>19414625</v>
      </c>
      <c r="AD107" s="78">
        <v>2674100</v>
      </c>
      <c r="AE107" s="78">
        <v>1835900</v>
      </c>
      <c r="AF107" s="78">
        <v>1980000</v>
      </c>
      <c r="AG107" s="78">
        <v>1869100</v>
      </c>
      <c r="AH107" s="78"/>
      <c r="AI107" s="78"/>
      <c r="AJ107" s="78"/>
      <c r="AK107" s="78"/>
      <c r="AL107" s="78"/>
      <c r="AM107" s="78"/>
      <c r="AN107" s="78"/>
      <c r="AO107" s="78"/>
      <c r="AP107" s="81">
        <v>8359100</v>
      </c>
      <c r="AQ107" s="78">
        <v>1211.3289583797264</v>
      </c>
      <c r="AR107" s="78">
        <v>1210.6642183568154</v>
      </c>
      <c r="AS107" s="78">
        <v>1208.5219653283855</v>
      </c>
      <c r="AT107" s="78">
        <v>1185.7978342685017</v>
      </c>
      <c r="AU107" s="78">
        <v>1203.6373896573514</v>
      </c>
      <c r="AV107" s="78">
        <v>1234.6659507803963</v>
      </c>
      <c r="AW107" s="78">
        <v>1195.8033156039016</v>
      </c>
      <c r="AX107" s="78">
        <v>1197.3093023894901</v>
      </c>
      <c r="AY107" s="78">
        <v>1216.2692797168647</v>
      </c>
      <c r="AZ107" s="78">
        <v>1245.7132673409944</v>
      </c>
      <c r="BA107" s="78">
        <v>1254.9900204758326</v>
      </c>
      <c r="BB107" s="78">
        <v>1253.6158241866776</v>
      </c>
      <c r="BC107" s="84">
        <v>1215.9113751802458</v>
      </c>
      <c r="BD107" s="78">
        <v>1197.7627156741044</v>
      </c>
      <c r="BE107" s="78">
        <v>1249.8588127500557</v>
      </c>
      <c r="BF107" s="78">
        <v>1228.4670473624285</v>
      </c>
      <c r="BG107" s="78">
        <v>1197.405860463301</v>
      </c>
      <c r="BH107" s="78">
        <v>1199.7430423628871</v>
      </c>
      <c r="BI107" s="78">
        <v>1206.1507595899714</v>
      </c>
      <c r="BJ107" s="78">
        <v>1196.8077542691233</v>
      </c>
      <c r="BK107" s="78">
        <v>1168.1324488662431</v>
      </c>
      <c r="BL107" s="78">
        <v>1205.1231606356473</v>
      </c>
      <c r="BM107" s="78">
        <v>1199.8899263138906</v>
      </c>
      <c r="BN107" s="78">
        <v>1196.457379454527</v>
      </c>
      <c r="BO107" s="78">
        <v>1165.5303154725525</v>
      </c>
      <c r="BP107" s="84">
        <v>1202.9100082233438</v>
      </c>
      <c r="BQ107" s="78">
        <v>1101.5663229475324</v>
      </c>
      <c r="BR107" s="78">
        <v>1083.5638655269142</v>
      </c>
      <c r="BS107" s="78">
        <v>1092.7694329633728</v>
      </c>
      <c r="BT107" s="78">
        <v>1167.1021160101466</v>
      </c>
      <c r="BU107" s="78"/>
      <c r="BV107" s="78"/>
      <c r="BW107" s="78"/>
      <c r="BX107" s="78"/>
      <c r="BY107" s="78"/>
      <c r="BZ107" s="78"/>
      <c r="CA107" s="78"/>
      <c r="CB107" s="78"/>
      <c r="CC107" s="84">
        <v>1110.1826090388793</v>
      </c>
      <c r="CD107" s="78">
        <v>22678.962242076534</v>
      </c>
      <c r="CE107" s="78">
        <v>23776.436490935746</v>
      </c>
      <c r="CF107" s="78">
        <v>23707.75231640433</v>
      </c>
      <c r="CG107" s="78">
        <v>23808.25537381817</v>
      </c>
      <c r="CH107" s="78">
        <v>25017.428411241748</v>
      </c>
      <c r="CI107" s="78">
        <v>24420.325410101013</v>
      </c>
      <c r="CJ107" s="78">
        <v>24320.423956987357</v>
      </c>
      <c r="CK107" s="78">
        <v>24938.211103713598</v>
      </c>
      <c r="CL107" s="78">
        <v>24831.056095665645</v>
      </c>
      <c r="CM107" s="78">
        <v>25016.991295182888</v>
      </c>
      <c r="CN107" s="78">
        <v>23564.04452746463</v>
      </c>
      <c r="CO107" s="78">
        <v>24973.415133766212</v>
      </c>
      <c r="CP107" s="97">
        <v>24320.068415932179</v>
      </c>
      <c r="CQ107" s="78">
        <v>25562.404402875218</v>
      </c>
      <c r="CR107" s="78">
        <v>25060.438721749131</v>
      </c>
      <c r="CS107" s="78">
        <v>26237.511626098498</v>
      </c>
      <c r="CT107" s="78">
        <v>26870.734739040869</v>
      </c>
      <c r="CU107" s="78">
        <v>27142.562728392975</v>
      </c>
      <c r="CV107" s="78">
        <v>27964.308498693772</v>
      </c>
      <c r="CW107" s="78">
        <v>28505.692332204999</v>
      </c>
      <c r="CX107" s="78">
        <v>27773.820478179907</v>
      </c>
      <c r="CY107" s="78">
        <v>26804.874072462586</v>
      </c>
      <c r="CZ107" s="78">
        <v>26381.06196982144</v>
      </c>
      <c r="DA107" s="78">
        <v>26445.239753961636</v>
      </c>
      <c r="DB107" s="78">
        <v>26072.930230747235</v>
      </c>
      <c r="DC107" s="97">
        <v>26685.271236474302</v>
      </c>
      <c r="DD107" s="78">
        <v>26146.775177092783</v>
      </c>
      <c r="DE107" s="78">
        <v>27508.29115093411</v>
      </c>
      <c r="DF107" s="78">
        <v>25463.673251515134</v>
      </c>
      <c r="DG107" s="78">
        <v>25463.673253211968</v>
      </c>
      <c r="DH107" s="78"/>
      <c r="DI107" s="78"/>
      <c r="DJ107" s="78"/>
      <c r="DK107" s="78"/>
      <c r="DL107" s="78"/>
      <c r="DM107" s="78"/>
      <c r="DN107" s="78"/>
      <c r="DO107" s="78"/>
      <c r="DP107" s="97">
        <v>26131.256707138626</v>
      </c>
    </row>
    <row r="108" spans="1:120" s="22" customFormat="1" hidden="1" outlineLevel="1" x14ac:dyDescent="0.35">
      <c r="B108" s="25" t="s">
        <v>100</v>
      </c>
      <c r="C108" s="75" t="s">
        <v>101</v>
      </c>
      <c r="D108" s="77">
        <v>330000</v>
      </c>
      <c r="E108" s="77"/>
      <c r="F108" s="77">
        <v>660000</v>
      </c>
      <c r="G108" s="77"/>
      <c r="H108" s="77"/>
      <c r="I108" s="77"/>
      <c r="J108" s="77"/>
      <c r="K108" s="77">
        <v>660000</v>
      </c>
      <c r="L108" s="77"/>
      <c r="M108" s="77"/>
      <c r="N108" s="77"/>
      <c r="O108" s="77"/>
      <c r="P108" s="80">
        <v>1650000</v>
      </c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80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80"/>
      <c r="AQ108" s="77">
        <v>1158.1534670383226</v>
      </c>
      <c r="AR108" s="77"/>
      <c r="AS108" s="77">
        <v>1265.4244027033942</v>
      </c>
      <c r="AT108" s="77"/>
      <c r="AU108" s="77"/>
      <c r="AV108" s="77"/>
      <c r="AW108" s="77"/>
      <c r="AX108" s="77">
        <v>1221.6203651561091</v>
      </c>
      <c r="AY108" s="77"/>
      <c r="AZ108" s="77"/>
      <c r="BA108" s="77"/>
      <c r="BB108" s="77"/>
      <c r="BC108" s="83">
        <v>1226.4486005514639</v>
      </c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83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83"/>
      <c r="CD108" s="77">
        <v>21776.55554040405</v>
      </c>
      <c r="CE108" s="77"/>
      <c r="CF108" s="77">
        <v>22381.843084308446</v>
      </c>
      <c r="CG108" s="77"/>
      <c r="CH108" s="77"/>
      <c r="CI108" s="77"/>
      <c r="CJ108" s="77"/>
      <c r="CK108" s="77">
        <v>23973.138883433625</v>
      </c>
      <c r="CL108" s="77"/>
      <c r="CM108" s="77"/>
      <c r="CN108" s="77"/>
      <c r="CO108" s="77"/>
      <c r="CP108" s="96">
        <v>22897.303895177633</v>
      </c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96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96"/>
    </row>
    <row r="109" spans="1:120" s="22" customFormat="1" hidden="1" outlineLevel="1" x14ac:dyDescent="0.35">
      <c r="B109" s="25" t="s">
        <v>100</v>
      </c>
      <c r="C109" s="75" t="s">
        <v>102</v>
      </c>
      <c r="D109" s="77"/>
      <c r="E109" s="77"/>
      <c r="F109" s="77"/>
      <c r="G109" s="77"/>
      <c r="H109" s="77"/>
      <c r="I109" s="77"/>
      <c r="J109" s="77"/>
      <c r="K109" s="77">
        <v>2200</v>
      </c>
      <c r="L109" s="77"/>
      <c r="M109" s="77"/>
      <c r="N109" s="77"/>
      <c r="O109" s="77"/>
      <c r="P109" s="80">
        <v>2200</v>
      </c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80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80"/>
      <c r="AQ109" s="77"/>
      <c r="AR109" s="77"/>
      <c r="AS109" s="77"/>
      <c r="AT109" s="77"/>
      <c r="AU109" s="77"/>
      <c r="AV109" s="77"/>
      <c r="AW109" s="77"/>
      <c r="AX109" s="77">
        <v>1337.2508133168026</v>
      </c>
      <c r="AY109" s="77"/>
      <c r="AZ109" s="77"/>
      <c r="BA109" s="77"/>
      <c r="BB109" s="77"/>
      <c r="BC109" s="83">
        <v>1337.2508133168026</v>
      </c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83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83"/>
      <c r="CD109" s="77"/>
      <c r="CE109" s="77"/>
      <c r="CF109" s="77"/>
      <c r="CG109" s="77"/>
      <c r="CH109" s="77"/>
      <c r="CI109" s="77"/>
      <c r="CJ109" s="77"/>
      <c r="CK109" s="77">
        <v>23973.138883433643</v>
      </c>
      <c r="CL109" s="77"/>
      <c r="CM109" s="77"/>
      <c r="CN109" s="77"/>
      <c r="CO109" s="77"/>
      <c r="CP109" s="96">
        <v>23973.138883433643</v>
      </c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96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96"/>
    </row>
    <row r="110" spans="1:120" s="22" customFormat="1" hidden="1" outlineLevel="1" x14ac:dyDescent="0.35">
      <c r="B110" s="25" t="s">
        <v>100</v>
      </c>
      <c r="C110" s="75" t="s">
        <v>17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>
        <v>2200</v>
      </c>
      <c r="O110" s="77"/>
      <c r="P110" s="80">
        <v>2200</v>
      </c>
      <c r="Q110" s="77">
        <v>3300</v>
      </c>
      <c r="R110" s="77"/>
      <c r="S110" s="77"/>
      <c r="T110" s="77"/>
      <c r="U110" s="77"/>
      <c r="V110" s="77">
        <v>-589.20000000000005</v>
      </c>
      <c r="W110" s="77"/>
      <c r="X110" s="77"/>
      <c r="Y110" s="77"/>
      <c r="Z110" s="77"/>
      <c r="AA110" s="77"/>
      <c r="AB110" s="77"/>
      <c r="AC110" s="80">
        <v>2710.8</v>
      </c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80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>
        <v>1419.8917131240657</v>
      </c>
      <c r="BB110" s="77"/>
      <c r="BC110" s="83">
        <v>1419.8917131240657</v>
      </c>
      <c r="BD110" s="77">
        <v>1388.6942349803128</v>
      </c>
      <c r="BE110" s="77"/>
      <c r="BF110" s="77"/>
      <c r="BG110" s="77"/>
      <c r="BH110" s="77"/>
      <c r="BI110" s="77">
        <v>1356.9407358320234</v>
      </c>
      <c r="BJ110" s="77"/>
      <c r="BK110" s="77"/>
      <c r="BL110" s="77"/>
      <c r="BM110" s="77"/>
      <c r="BN110" s="77"/>
      <c r="BO110" s="77"/>
      <c r="BP110" s="83">
        <v>1395.595947278591</v>
      </c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83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>
        <v>24783.769907407404</v>
      </c>
      <c r="CO110" s="77"/>
      <c r="CP110" s="96">
        <v>24783.769907407404</v>
      </c>
      <c r="CQ110" s="77">
        <v>25862.348937062943</v>
      </c>
      <c r="CR110" s="77"/>
      <c r="CS110" s="77"/>
      <c r="CT110" s="77"/>
      <c r="CU110" s="77"/>
      <c r="CV110" s="77">
        <v>26907.28922874105</v>
      </c>
      <c r="CW110" s="77"/>
      <c r="CX110" s="77"/>
      <c r="CY110" s="77"/>
      <c r="CZ110" s="77"/>
      <c r="DA110" s="77"/>
      <c r="DB110" s="77"/>
      <c r="DC110" s="96">
        <v>25635.228227362211</v>
      </c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96"/>
    </row>
    <row r="111" spans="1:120" s="22" customFormat="1" hidden="1" outlineLevel="1" x14ac:dyDescent="0.35">
      <c r="B111" s="25" t="s">
        <v>100</v>
      </c>
      <c r="C111" s="75" t="s">
        <v>103</v>
      </c>
      <c r="D111" s="77"/>
      <c r="E111" s="77"/>
      <c r="F111" s="77"/>
      <c r="G111" s="77"/>
      <c r="H111" s="77">
        <v>1100</v>
      </c>
      <c r="I111" s="77"/>
      <c r="J111" s="77">
        <v>4400</v>
      </c>
      <c r="K111" s="77"/>
      <c r="L111" s="77"/>
      <c r="M111" s="77"/>
      <c r="N111" s="77"/>
      <c r="O111" s="77"/>
      <c r="P111" s="80">
        <v>5500</v>
      </c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80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80"/>
      <c r="AQ111" s="77"/>
      <c r="AR111" s="77"/>
      <c r="AS111" s="77"/>
      <c r="AT111" s="77"/>
      <c r="AU111" s="77">
        <v>1302.1230059268917</v>
      </c>
      <c r="AV111" s="77"/>
      <c r="AW111" s="77">
        <v>1337.2103944963399</v>
      </c>
      <c r="AX111" s="77"/>
      <c r="AY111" s="77"/>
      <c r="AZ111" s="77"/>
      <c r="BA111" s="77"/>
      <c r="BB111" s="77"/>
      <c r="BC111" s="83">
        <v>1330.1929167824503</v>
      </c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83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83"/>
      <c r="CD111" s="77"/>
      <c r="CE111" s="77"/>
      <c r="CF111" s="77"/>
      <c r="CG111" s="77"/>
      <c r="CH111" s="77">
        <v>24247.445974025974</v>
      </c>
      <c r="CI111" s="77"/>
      <c r="CJ111" s="77">
        <v>23390.034393939397</v>
      </c>
      <c r="CK111" s="77"/>
      <c r="CL111" s="77"/>
      <c r="CM111" s="77"/>
      <c r="CN111" s="77"/>
      <c r="CO111" s="77"/>
      <c r="CP111" s="96">
        <v>23561.516709956712</v>
      </c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96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96"/>
    </row>
    <row r="112" spans="1:120" s="22" customFormat="1" hidden="1" outlineLevel="1" x14ac:dyDescent="0.35">
      <c r="B112" s="25" t="s">
        <v>100</v>
      </c>
      <c r="C112" s="75" t="s">
        <v>18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80"/>
      <c r="Q112" s="77"/>
      <c r="R112" s="77"/>
      <c r="S112" s="77">
        <v>9900</v>
      </c>
      <c r="T112" s="77"/>
      <c r="U112" s="77"/>
      <c r="V112" s="77"/>
      <c r="W112" s="77"/>
      <c r="X112" s="77"/>
      <c r="Y112" s="77"/>
      <c r="Z112" s="77"/>
      <c r="AA112" s="77"/>
      <c r="AB112" s="77"/>
      <c r="AC112" s="80">
        <v>9900</v>
      </c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80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83"/>
      <c r="BD112" s="77"/>
      <c r="BE112" s="77"/>
      <c r="BF112" s="77">
        <v>1256.851081911019</v>
      </c>
      <c r="BG112" s="77"/>
      <c r="BH112" s="77"/>
      <c r="BI112" s="77"/>
      <c r="BJ112" s="77"/>
      <c r="BK112" s="77"/>
      <c r="BL112" s="77"/>
      <c r="BM112" s="77"/>
      <c r="BN112" s="77"/>
      <c r="BO112" s="77"/>
      <c r="BP112" s="83">
        <v>1256.851081911019</v>
      </c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83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96"/>
      <c r="CQ112" s="77"/>
      <c r="CR112" s="77"/>
      <c r="CS112" s="77">
        <v>25341.010729959693</v>
      </c>
      <c r="CT112" s="77"/>
      <c r="CU112" s="77"/>
      <c r="CV112" s="77"/>
      <c r="CW112" s="77"/>
      <c r="CX112" s="77"/>
      <c r="CY112" s="77"/>
      <c r="CZ112" s="77"/>
      <c r="DA112" s="77"/>
      <c r="DB112" s="77"/>
      <c r="DC112" s="96">
        <v>25341.010729959693</v>
      </c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96"/>
    </row>
    <row r="113" spans="2:120" s="22" customFormat="1" hidden="1" outlineLevel="1" x14ac:dyDescent="0.35">
      <c r="B113" s="25" t="s">
        <v>100</v>
      </c>
      <c r="C113" s="75" t="s">
        <v>19</v>
      </c>
      <c r="D113" s="77"/>
      <c r="E113" s="77"/>
      <c r="F113" s="77">
        <v>6600</v>
      </c>
      <c r="G113" s="77"/>
      <c r="H113" s="77"/>
      <c r="I113" s="77"/>
      <c r="J113" s="77"/>
      <c r="K113" s="77"/>
      <c r="L113" s="77"/>
      <c r="M113" s="77"/>
      <c r="N113" s="77">
        <v>2200</v>
      </c>
      <c r="O113" s="77">
        <v>1100</v>
      </c>
      <c r="P113" s="80">
        <v>9900</v>
      </c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80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80"/>
      <c r="AQ113" s="77"/>
      <c r="AR113" s="77"/>
      <c r="AS113" s="77">
        <v>1343.6845700318545</v>
      </c>
      <c r="AT113" s="77"/>
      <c r="AU113" s="77"/>
      <c r="AV113" s="77"/>
      <c r="AW113" s="77"/>
      <c r="AX113" s="77"/>
      <c r="AY113" s="77"/>
      <c r="AZ113" s="77"/>
      <c r="BA113" s="77">
        <v>1419.8520121056688</v>
      </c>
      <c r="BB113" s="77">
        <v>1417.8059518759001</v>
      </c>
      <c r="BC113" s="83">
        <v>1368.8463773642629</v>
      </c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83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83"/>
      <c r="CD113" s="77"/>
      <c r="CE113" s="77"/>
      <c r="CF113" s="77">
        <v>22381.843084308432</v>
      </c>
      <c r="CG113" s="77"/>
      <c r="CH113" s="77"/>
      <c r="CI113" s="77"/>
      <c r="CJ113" s="77"/>
      <c r="CK113" s="77"/>
      <c r="CL113" s="77"/>
      <c r="CM113" s="77"/>
      <c r="CN113" s="77">
        <v>24783.769907407404</v>
      </c>
      <c r="CO113" s="77">
        <v>24825.723506493508</v>
      </c>
      <c r="CP113" s="96">
        <v>23187.146869684326</v>
      </c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96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96"/>
    </row>
    <row r="114" spans="2:120" s="22" customFormat="1" hidden="1" outlineLevel="1" x14ac:dyDescent="0.35">
      <c r="B114" s="25" t="s">
        <v>100</v>
      </c>
      <c r="C114" s="75" t="s">
        <v>104</v>
      </c>
      <c r="D114" s="77"/>
      <c r="E114" s="77">
        <v>44000</v>
      </c>
      <c r="F114" s="77"/>
      <c r="G114" s="77"/>
      <c r="H114" s="77"/>
      <c r="I114" s="77"/>
      <c r="J114" s="77"/>
      <c r="K114" s="77"/>
      <c r="L114" s="77">
        <v>22000</v>
      </c>
      <c r="M114" s="77"/>
      <c r="N114" s="77"/>
      <c r="O114" s="77"/>
      <c r="P114" s="80">
        <v>66000</v>
      </c>
      <c r="Q114" s="77"/>
      <c r="R114" s="77"/>
      <c r="S114" s="77"/>
      <c r="T114" s="77"/>
      <c r="U114" s="77"/>
      <c r="V114" s="77"/>
      <c r="W114" s="77"/>
      <c r="X114" s="77">
        <v>22000</v>
      </c>
      <c r="Y114" s="77"/>
      <c r="Z114" s="77"/>
      <c r="AA114" s="77"/>
      <c r="AB114" s="77"/>
      <c r="AC114" s="80">
        <v>22000</v>
      </c>
      <c r="AD114" s="77"/>
      <c r="AE114" s="77"/>
      <c r="AF114" s="77"/>
      <c r="AG114" s="77">
        <v>88000</v>
      </c>
      <c r="AH114" s="77"/>
      <c r="AI114" s="77"/>
      <c r="AJ114" s="77"/>
      <c r="AK114" s="77"/>
      <c r="AL114" s="77"/>
      <c r="AM114" s="77"/>
      <c r="AN114" s="77"/>
      <c r="AO114" s="77"/>
      <c r="AP114" s="80">
        <v>88000</v>
      </c>
      <c r="AQ114" s="77"/>
      <c r="AR114" s="77">
        <v>1252.8995509362153</v>
      </c>
      <c r="AS114" s="77"/>
      <c r="AT114" s="77"/>
      <c r="AU114" s="77"/>
      <c r="AV114" s="77"/>
      <c r="AW114" s="77"/>
      <c r="AX114" s="77"/>
      <c r="AY114" s="77">
        <v>1254.4263174578593</v>
      </c>
      <c r="AZ114" s="77"/>
      <c r="BA114" s="77"/>
      <c r="BB114" s="77"/>
      <c r="BC114" s="83">
        <v>1253.4084731100966</v>
      </c>
      <c r="BD114" s="77"/>
      <c r="BE114" s="77"/>
      <c r="BF114" s="77"/>
      <c r="BG114" s="77"/>
      <c r="BH114" s="77"/>
      <c r="BI114" s="77"/>
      <c r="BJ114" s="77"/>
      <c r="BK114" s="77">
        <v>1244.3039518107066</v>
      </c>
      <c r="BL114" s="77"/>
      <c r="BM114" s="77"/>
      <c r="BN114" s="77"/>
      <c r="BO114" s="77"/>
      <c r="BP114" s="83">
        <v>1244.3039518107066</v>
      </c>
      <c r="BQ114" s="77"/>
      <c r="BR114" s="77"/>
      <c r="BS114" s="77"/>
      <c r="BT114" s="77">
        <v>1280</v>
      </c>
      <c r="BU114" s="77"/>
      <c r="BV114" s="77"/>
      <c r="BW114" s="77"/>
      <c r="BX114" s="77"/>
      <c r="BY114" s="77"/>
      <c r="BZ114" s="77"/>
      <c r="CA114" s="77"/>
      <c r="CB114" s="77"/>
      <c r="CC114" s="83">
        <v>1280</v>
      </c>
      <c r="CD114" s="77"/>
      <c r="CE114" s="77">
        <v>21452.450954545453</v>
      </c>
      <c r="CF114" s="77"/>
      <c r="CG114" s="77"/>
      <c r="CH114" s="77"/>
      <c r="CI114" s="77"/>
      <c r="CJ114" s="77"/>
      <c r="CK114" s="77"/>
      <c r="CL114" s="77">
        <v>24176.698172772496</v>
      </c>
      <c r="CM114" s="77"/>
      <c r="CN114" s="77"/>
      <c r="CO114" s="77"/>
      <c r="CP114" s="96">
        <v>22360.533360621135</v>
      </c>
      <c r="CQ114" s="77"/>
      <c r="CR114" s="77"/>
      <c r="CS114" s="77"/>
      <c r="CT114" s="77"/>
      <c r="CU114" s="77"/>
      <c r="CV114" s="77"/>
      <c r="CW114" s="77"/>
      <c r="CX114" s="77">
        <v>26353.716282051286</v>
      </c>
      <c r="CY114" s="77"/>
      <c r="CZ114" s="77"/>
      <c r="DA114" s="77"/>
      <c r="DB114" s="77"/>
      <c r="DC114" s="96">
        <v>26353.716282051286</v>
      </c>
      <c r="DD114" s="77"/>
      <c r="DE114" s="77"/>
      <c r="DF114" s="77"/>
      <c r="DG114" s="77">
        <v>26752.065393958364</v>
      </c>
      <c r="DH114" s="77"/>
      <c r="DI114" s="77"/>
      <c r="DJ114" s="77"/>
      <c r="DK114" s="77"/>
      <c r="DL114" s="77"/>
      <c r="DM114" s="77"/>
      <c r="DN114" s="77"/>
      <c r="DO114" s="77"/>
      <c r="DP114" s="96">
        <v>26752.065393958364</v>
      </c>
    </row>
    <row r="115" spans="2:120" s="22" customFormat="1" hidden="1" outlineLevel="1" x14ac:dyDescent="0.35">
      <c r="B115" s="25" t="s">
        <v>100</v>
      </c>
      <c r="C115" s="75" t="s">
        <v>21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80"/>
      <c r="Q115" s="77"/>
      <c r="R115" s="77"/>
      <c r="S115" s="77"/>
      <c r="T115" s="77"/>
      <c r="U115" s="77">
        <v>22000</v>
      </c>
      <c r="V115" s="77"/>
      <c r="W115" s="77"/>
      <c r="X115" s="77">
        <v>44000</v>
      </c>
      <c r="Y115" s="77"/>
      <c r="Z115" s="77"/>
      <c r="AA115" s="77"/>
      <c r="AB115" s="77"/>
      <c r="AC115" s="80">
        <v>66000</v>
      </c>
      <c r="AD115" s="77">
        <v>22000</v>
      </c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80">
        <v>22000</v>
      </c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83"/>
      <c r="BD115" s="77"/>
      <c r="BE115" s="77"/>
      <c r="BF115" s="77"/>
      <c r="BG115" s="77"/>
      <c r="BH115" s="77">
        <v>1291.3123630379257</v>
      </c>
      <c r="BI115" s="77"/>
      <c r="BJ115" s="77"/>
      <c r="BK115" s="77">
        <v>1241.1652001836273</v>
      </c>
      <c r="BL115" s="77"/>
      <c r="BM115" s="77"/>
      <c r="BN115" s="77"/>
      <c r="BO115" s="77"/>
      <c r="BP115" s="83">
        <v>1257.8809211350601</v>
      </c>
      <c r="BQ115" s="77">
        <v>1177.4928689984342</v>
      </c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83">
        <v>1177.4928689984342</v>
      </c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96"/>
      <c r="CQ115" s="77"/>
      <c r="CR115" s="77"/>
      <c r="CS115" s="77"/>
      <c r="CT115" s="77"/>
      <c r="CU115" s="77">
        <v>25776.223757281554</v>
      </c>
      <c r="CV115" s="77"/>
      <c r="CW115" s="77"/>
      <c r="CX115" s="77">
        <v>26353.716282051286</v>
      </c>
      <c r="CY115" s="77"/>
      <c r="CZ115" s="77"/>
      <c r="DA115" s="77"/>
      <c r="DB115" s="77"/>
      <c r="DC115" s="96">
        <v>26161.21877379471</v>
      </c>
      <c r="DD115" s="77">
        <v>26929.877905138343</v>
      </c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96">
        <v>26929.877905138343</v>
      </c>
    </row>
    <row r="116" spans="2:120" s="22" customFormat="1" hidden="1" outlineLevel="1" x14ac:dyDescent="0.35">
      <c r="B116" s="25" t="s">
        <v>100</v>
      </c>
      <c r="C116" s="75" t="s">
        <v>105</v>
      </c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80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80"/>
      <c r="AD116" s="77"/>
      <c r="AE116" s="77"/>
      <c r="AF116" s="77">
        <v>50</v>
      </c>
      <c r="AG116" s="77">
        <v>50</v>
      </c>
      <c r="AH116" s="77"/>
      <c r="AI116" s="77"/>
      <c r="AJ116" s="77"/>
      <c r="AK116" s="77"/>
      <c r="AL116" s="77"/>
      <c r="AM116" s="77"/>
      <c r="AN116" s="77"/>
      <c r="AO116" s="77"/>
      <c r="AP116" s="80">
        <v>100</v>
      </c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83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83"/>
      <c r="BQ116" s="77"/>
      <c r="BR116" s="77"/>
      <c r="BS116" s="77">
        <v>1317.4019892933643</v>
      </c>
      <c r="BT116" s="77">
        <v>1415.8095238095236</v>
      </c>
      <c r="BU116" s="77"/>
      <c r="BV116" s="77"/>
      <c r="BW116" s="77"/>
      <c r="BX116" s="77"/>
      <c r="BY116" s="77"/>
      <c r="BZ116" s="77"/>
      <c r="CA116" s="77"/>
      <c r="CB116" s="77"/>
      <c r="CC116" s="83">
        <v>1366.6057565514438</v>
      </c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96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96"/>
      <c r="DD116" s="77"/>
      <c r="DE116" s="77"/>
      <c r="DF116" s="77">
        <v>26752.065385121787</v>
      </c>
      <c r="DG116" s="77">
        <v>26752.065393958361</v>
      </c>
      <c r="DH116" s="77"/>
      <c r="DI116" s="77"/>
      <c r="DJ116" s="77"/>
      <c r="DK116" s="77"/>
      <c r="DL116" s="77"/>
      <c r="DM116" s="77"/>
      <c r="DN116" s="77"/>
      <c r="DO116" s="77"/>
      <c r="DP116" s="96">
        <v>26752.065389540076</v>
      </c>
    </row>
    <row r="117" spans="2:120" s="22" customFormat="1" hidden="1" outlineLevel="1" x14ac:dyDescent="0.35">
      <c r="B117" s="25" t="s">
        <v>100</v>
      </c>
      <c r="C117" s="75" t="s">
        <v>106</v>
      </c>
      <c r="D117" s="77"/>
      <c r="E117" s="77"/>
      <c r="F117" s="77"/>
      <c r="G117" s="77"/>
      <c r="H117" s="77">
        <v>22000</v>
      </c>
      <c r="I117" s="77"/>
      <c r="J117" s="77"/>
      <c r="K117" s="77"/>
      <c r="L117" s="77">
        <v>88000</v>
      </c>
      <c r="M117" s="77"/>
      <c r="N117" s="77"/>
      <c r="O117" s="77"/>
      <c r="P117" s="80">
        <v>110000</v>
      </c>
      <c r="Q117" s="77"/>
      <c r="R117" s="77">
        <v>110000</v>
      </c>
      <c r="S117" s="77"/>
      <c r="T117" s="77">
        <v>22000</v>
      </c>
      <c r="U117" s="77"/>
      <c r="V117" s="77"/>
      <c r="W117" s="77">
        <v>44000</v>
      </c>
      <c r="X117" s="77"/>
      <c r="Y117" s="77"/>
      <c r="Z117" s="77"/>
      <c r="AA117" s="77"/>
      <c r="AB117" s="77"/>
      <c r="AC117" s="80">
        <v>176000</v>
      </c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80"/>
      <c r="AQ117" s="77"/>
      <c r="AR117" s="77"/>
      <c r="AS117" s="77"/>
      <c r="AT117" s="77"/>
      <c r="AU117" s="77">
        <v>1221.7219690966722</v>
      </c>
      <c r="AV117" s="77"/>
      <c r="AW117" s="77"/>
      <c r="AX117" s="77"/>
      <c r="AY117" s="77">
        <v>1257.0682429506926</v>
      </c>
      <c r="AZ117" s="77"/>
      <c r="BA117" s="77"/>
      <c r="BB117" s="77"/>
      <c r="BC117" s="83">
        <v>1249.9989881798886</v>
      </c>
      <c r="BD117" s="77"/>
      <c r="BE117" s="77">
        <v>1266.1129784707186</v>
      </c>
      <c r="BF117" s="77"/>
      <c r="BG117" s="77">
        <v>1262.4112572247498</v>
      </c>
      <c r="BH117" s="77"/>
      <c r="BI117" s="77"/>
      <c r="BJ117" s="77">
        <v>1254.1755496606872</v>
      </c>
      <c r="BK117" s="77"/>
      <c r="BL117" s="77"/>
      <c r="BM117" s="77"/>
      <c r="BN117" s="77"/>
      <c r="BO117" s="77"/>
      <c r="BP117" s="83">
        <v>1262.6659061124647</v>
      </c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83"/>
      <c r="CD117" s="77"/>
      <c r="CE117" s="77"/>
      <c r="CF117" s="77"/>
      <c r="CG117" s="77"/>
      <c r="CH117" s="77">
        <v>24247.44597402597</v>
      </c>
      <c r="CI117" s="77"/>
      <c r="CJ117" s="77"/>
      <c r="CK117" s="77"/>
      <c r="CL117" s="77">
        <v>24176.698172772496</v>
      </c>
      <c r="CM117" s="77"/>
      <c r="CN117" s="77"/>
      <c r="CO117" s="77"/>
      <c r="CP117" s="96">
        <v>24190.847733023194</v>
      </c>
      <c r="CQ117" s="77"/>
      <c r="CR117" s="77">
        <v>25129.887448907677</v>
      </c>
      <c r="CS117" s="77"/>
      <c r="CT117" s="77">
        <v>25147.349790685945</v>
      </c>
      <c r="CU117" s="77"/>
      <c r="CV117" s="77"/>
      <c r="CW117" s="77">
        <v>26496.412830721005</v>
      </c>
      <c r="CX117" s="77"/>
      <c r="CY117" s="77"/>
      <c r="CZ117" s="77"/>
      <c r="DA117" s="77"/>
      <c r="DB117" s="77"/>
      <c r="DC117" s="96">
        <v>25473.701587083295</v>
      </c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96"/>
    </row>
    <row r="118" spans="2:120" s="22" customFormat="1" hidden="1" outlineLevel="1" x14ac:dyDescent="0.35">
      <c r="B118" s="25" t="s">
        <v>100</v>
      </c>
      <c r="C118" s="75" t="s">
        <v>107</v>
      </c>
      <c r="D118" s="77"/>
      <c r="E118" s="77"/>
      <c r="F118" s="77"/>
      <c r="G118" s="77"/>
      <c r="H118" s="77"/>
      <c r="I118" s="77"/>
      <c r="J118" s="77"/>
      <c r="K118" s="77"/>
      <c r="L118" s="77">
        <v>4400</v>
      </c>
      <c r="M118" s="77"/>
      <c r="N118" s="77"/>
      <c r="O118" s="77"/>
      <c r="P118" s="80">
        <v>4400</v>
      </c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80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80"/>
      <c r="AQ118" s="77"/>
      <c r="AR118" s="77"/>
      <c r="AS118" s="77"/>
      <c r="AT118" s="77"/>
      <c r="AU118" s="77"/>
      <c r="AV118" s="77"/>
      <c r="AW118" s="77"/>
      <c r="AX118" s="77"/>
      <c r="AY118" s="77">
        <v>1156.7488251677869</v>
      </c>
      <c r="AZ118" s="77"/>
      <c r="BA118" s="77"/>
      <c r="BB118" s="77"/>
      <c r="BC118" s="83">
        <v>1156.7488251677869</v>
      </c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83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83"/>
      <c r="CD118" s="77"/>
      <c r="CE118" s="77"/>
      <c r="CF118" s="77"/>
      <c r="CG118" s="77"/>
      <c r="CH118" s="77"/>
      <c r="CI118" s="77"/>
      <c r="CJ118" s="77"/>
      <c r="CK118" s="77"/>
      <c r="CL118" s="77">
        <v>24176.698172772496</v>
      </c>
      <c r="CM118" s="77"/>
      <c r="CN118" s="77"/>
      <c r="CO118" s="77"/>
      <c r="CP118" s="96">
        <v>24176.698172772496</v>
      </c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96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96"/>
    </row>
    <row r="119" spans="2:120" s="22" customFormat="1" hidden="1" outlineLevel="1" x14ac:dyDescent="0.35">
      <c r="B119" s="25" t="s">
        <v>100</v>
      </c>
      <c r="C119" s="75" t="s">
        <v>108</v>
      </c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>
        <v>100</v>
      </c>
      <c r="O119" s="77"/>
      <c r="P119" s="80">
        <v>100</v>
      </c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80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80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>
        <v>1371.6701856141995</v>
      </c>
      <c r="BB119" s="77"/>
      <c r="BC119" s="83">
        <v>1371.6701856141995</v>
      </c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83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83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>
        <v>24783.769907407412</v>
      </c>
      <c r="CO119" s="77"/>
      <c r="CP119" s="96">
        <v>24783.769907407412</v>
      </c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96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96"/>
    </row>
    <row r="120" spans="2:120" s="22" customFormat="1" hidden="1" outlineLevel="1" x14ac:dyDescent="0.35">
      <c r="B120" s="25" t="s">
        <v>100</v>
      </c>
      <c r="C120" s="75" t="s">
        <v>22</v>
      </c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80"/>
      <c r="Q120" s="77"/>
      <c r="R120" s="77">
        <v>440000</v>
      </c>
      <c r="S120" s="77">
        <v>66000</v>
      </c>
      <c r="T120" s="77">
        <v>88000</v>
      </c>
      <c r="U120" s="77">
        <v>374000</v>
      </c>
      <c r="V120" s="77"/>
      <c r="W120" s="77"/>
      <c r="X120" s="77"/>
      <c r="Y120" s="77"/>
      <c r="Z120" s="77"/>
      <c r="AA120" s="77"/>
      <c r="AB120" s="77">
        <v>154000</v>
      </c>
      <c r="AC120" s="80">
        <v>1122000</v>
      </c>
      <c r="AD120" s="77"/>
      <c r="AE120" s="77">
        <v>154000</v>
      </c>
      <c r="AF120" s="77">
        <v>44000</v>
      </c>
      <c r="AG120" s="77"/>
      <c r="AH120" s="77"/>
      <c r="AI120" s="77"/>
      <c r="AJ120" s="77"/>
      <c r="AK120" s="77"/>
      <c r="AL120" s="77"/>
      <c r="AM120" s="77"/>
      <c r="AN120" s="77"/>
      <c r="AO120" s="77"/>
      <c r="AP120" s="80">
        <v>198000</v>
      </c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83"/>
      <c r="BD120" s="77"/>
      <c r="BE120" s="77">
        <v>1245.4717091567677</v>
      </c>
      <c r="BF120" s="77">
        <v>1292.9466553328562</v>
      </c>
      <c r="BG120" s="77">
        <v>1315.2899738733297</v>
      </c>
      <c r="BH120" s="77">
        <v>1300.1185376241542</v>
      </c>
      <c r="BI120" s="77"/>
      <c r="BJ120" s="77"/>
      <c r="BK120" s="77"/>
      <c r="BL120" s="77"/>
      <c r="BM120" s="77"/>
      <c r="BN120" s="77"/>
      <c r="BO120" s="77">
        <v>1171.1735776239934</v>
      </c>
      <c r="BP120" s="83">
        <v>1261.7581221099178</v>
      </c>
      <c r="BQ120" s="77"/>
      <c r="BR120" s="77">
        <v>1180.7220621935953</v>
      </c>
      <c r="BS120" s="77">
        <v>1171.8424589326698</v>
      </c>
      <c r="BT120" s="77"/>
      <c r="BU120" s="77"/>
      <c r="BV120" s="77"/>
      <c r="BW120" s="77"/>
      <c r="BX120" s="77"/>
      <c r="BY120" s="77"/>
      <c r="BZ120" s="77"/>
      <c r="CA120" s="77"/>
      <c r="CB120" s="77"/>
      <c r="CC120" s="83">
        <v>1178.7488170245006</v>
      </c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96"/>
      <c r="CQ120" s="77"/>
      <c r="CR120" s="77">
        <v>25129.887448907677</v>
      </c>
      <c r="CS120" s="77">
        <v>25341.010729959693</v>
      </c>
      <c r="CT120" s="77">
        <v>25147.349790685945</v>
      </c>
      <c r="CU120" s="77">
        <v>25776.223757281557</v>
      </c>
      <c r="CV120" s="77"/>
      <c r="CW120" s="77"/>
      <c r="CX120" s="77"/>
      <c r="CY120" s="77"/>
      <c r="CZ120" s="77"/>
      <c r="DA120" s="77"/>
      <c r="DB120" s="77">
        <v>26926.025935517966</v>
      </c>
      <c r="DC120" s="96">
        <v>25605.650308886045</v>
      </c>
      <c r="DD120" s="77"/>
      <c r="DE120" s="77">
        <v>26519.323053977274</v>
      </c>
      <c r="DF120" s="77">
        <v>26752.065385121794</v>
      </c>
      <c r="DG120" s="77"/>
      <c r="DH120" s="77"/>
      <c r="DI120" s="77"/>
      <c r="DJ120" s="77"/>
      <c r="DK120" s="77"/>
      <c r="DL120" s="77"/>
      <c r="DM120" s="77"/>
      <c r="DN120" s="77"/>
      <c r="DO120" s="77"/>
      <c r="DP120" s="96">
        <v>26571.043572009385</v>
      </c>
    </row>
    <row r="121" spans="2:120" s="22" customFormat="1" hidden="1" outlineLevel="1" x14ac:dyDescent="0.35">
      <c r="B121" s="25" t="s">
        <v>100</v>
      </c>
      <c r="C121" s="75" t="s">
        <v>109</v>
      </c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80"/>
      <c r="Q121" s="77"/>
      <c r="R121" s="77"/>
      <c r="S121" s="77"/>
      <c r="T121" s="77">
        <v>105000</v>
      </c>
      <c r="U121" s="77">
        <v>105000</v>
      </c>
      <c r="V121" s="77"/>
      <c r="W121" s="77"/>
      <c r="X121" s="77"/>
      <c r="Y121" s="77"/>
      <c r="Z121" s="77"/>
      <c r="AA121" s="77"/>
      <c r="AB121" s="77"/>
      <c r="AC121" s="80">
        <v>210000</v>
      </c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80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83"/>
      <c r="BD121" s="77"/>
      <c r="BE121" s="77"/>
      <c r="BF121" s="77"/>
      <c r="BG121" s="77">
        <v>1259.2054628579406</v>
      </c>
      <c r="BH121" s="77">
        <v>1259.9119784338702</v>
      </c>
      <c r="BI121" s="77"/>
      <c r="BJ121" s="77"/>
      <c r="BK121" s="77"/>
      <c r="BL121" s="77"/>
      <c r="BM121" s="77"/>
      <c r="BN121" s="77"/>
      <c r="BO121" s="77"/>
      <c r="BP121" s="83">
        <v>1259.5587206459056</v>
      </c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83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96"/>
      <c r="CQ121" s="77"/>
      <c r="CR121" s="77"/>
      <c r="CS121" s="77"/>
      <c r="CT121" s="77">
        <v>25147.349790685945</v>
      </c>
      <c r="CU121" s="77">
        <v>25776.223757281554</v>
      </c>
      <c r="CV121" s="77"/>
      <c r="CW121" s="77"/>
      <c r="CX121" s="77"/>
      <c r="CY121" s="77"/>
      <c r="CZ121" s="77"/>
      <c r="DA121" s="77"/>
      <c r="DB121" s="77"/>
      <c r="DC121" s="96">
        <v>25461.786773983746</v>
      </c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96"/>
    </row>
    <row r="122" spans="2:120" s="22" customFormat="1" hidden="1" outlineLevel="1" x14ac:dyDescent="0.35">
      <c r="B122" s="25" t="s">
        <v>100</v>
      </c>
      <c r="C122" s="75" t="s">
        <v>110</v>
      </c>
      <c r="D122" s="77"/>
      <c r="E122" s="77"/>
      <c r="F122" s="77"/>
      <c r="G122" s="77"/>
      <c r="H122" s="77"/>
      <c r="I122" s="77"/>
      <c r="J122" s="77"/>
      <c r="K122" s="77">
        <v>44000</v>
      </c>
      <c r="L122" s="77"/>
      <c r="M122" s="77"/>
      <c r="N122" s="77"/>
      <c r="O122" s="77"/>
      <c r="P122" s="80">
        <v>44000</v>
      </c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80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80"/>
      <c r="AQ122" s="77"/>
      <c r="AR122" s="77"/>
      <c r="AS122" s="77"/>
      <c r="AT122" s="77"/>
      <c r="AU122" s="77"/>
      <c r="AV122" s="77"/>
      <c r="AW122" s="77"/>
      <c r="AX122" s="77">
        <v>1236.6683756430734</v>
      </c>
      <c r="AY122" s="77"/>
      <c r="AZ122" s="77"/>
      <c r="BA122" s="77"/>
      <c r="BB122" s="77"/>
      <c r="BC122" s="83">
        <v>1236.6683756430734</v>
      </c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83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83"/>
      <c r="CD122" s="77"/>
      <c r="CE122" s="77"/>
      <c r="CF122" s="77"/>
      <c r="CG122" s="77"/>
      <c r="CH122" s="77"/>
      <c r="CI122" s="77"/>
      <c r="CJ122" s="77"/>
      <c r="CK122" s="77">
        <v>23973.138883433636</v>
      </c>
      <c r="CL122" s="77"/>
      <c r="CM122" s="77"/>
      <c r="CN122" s="77"/>
      <c r="CO122" s="77"/>
      <c r="CP122" s="96">
        <v>23973.138883433636</v>
      </c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96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96"/>
    </row>
    <row r="123" spans="2:120" s="22" customFormat="1" hidden="1" outlineLevel="1" x14ac:dyDescent="0.35">
      <c r="B123" s="25" t="s">
        <v>100</v>
      </c>
      <c r="C123" s="75" t="s">
        <v>111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>
        <v>88000</v>
      </c>
      <c r="O123" s="77"/>
      <c r="P123" s="80">
        <v>88000</v>
      </c>
      <c r="Q123" s="77">
        <v>132000</v>
      </c>
      <c r="R123" s="77"/>
      <c r="S123" s="77">
        <v>44000</v>
      </c>
      <c r="T123" s="77">
        <v>88000</v>
      </c>
      <c r="U123" s="77"/>
      <c r="V123" s="77"/>
      <c r="W123" s="77"/>
      <c r="X123" s="77"/>
      <c r="Y123" s="77"/>
      <c r="Z123" s="77"/>
      <c r="AA123" s="77"/>
      <c r="AB123" s="77"/>
      <c r="AC123" s="80">
        <v>264000</v>
      </c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80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>
        <v>1264.982702392969</v>
      </c>
      <c r="BB123" s="77"/>
      <c r="BC123" s="83">
        <v>1264.982702392969</v>
      </c>
      <c r="BD123" s="77">
        <v>1261.0360089846019</v>
      </c>
      <c r="BE123" s="77"/>
      <c r="BF123" s="77">
        <v>1283.5179080171797</v>
      </c>
      <c r="BG123" s="77">
        <v>1288.8727917190358</v>
      </c>
      <c r="BH123" s="77"/>
      <c r="BI123" s="77"/>
      <c r="BJ123" s="77"/>
      <c r="BK123" s="77"/>
      <c r="BL123" s="77"/>
      <c r="BM123" s="77"/>
      <c r="BN123" s="77"/>
      <c r="BO123" s="77"/>
      <c r="BP123" s="83">
        <v>1274.0619197348431</v>
      </c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83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>
        <v>24783.769907407408</v>
      </c>
      <c r="CO123" s="77"/>
      <c r="CP123" s="96">
        <v>24783.769907407408</v>
      </c>
      <c r="CQ123" s="77">
        <v>25862.348937062936</v>
      </c>
      <c r="CR123" s="77"/>
      <c r="CS123" s="77">
        <v>25341.010729959693</v>
      </c>
      <c r="CT123" s="77">
        <v>25147.349790685945</v>
      </c>
      <c r="CU123" s="77"/>
      <c r="CV123" s="77"/>
      <c r="CW123" s="77"/>
      <c r="CX123" s="77"/>
      <c r="CY123" s="77"/>
      <c r="CZ123" s="77"/>
      <c r="DA123" s="77"/>
      <c r="DB123" s="77"/>
      <c r="DC123" s="96">
        <v>25537.126187086738</v>
      </c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96"/>
    </row>
    <row r="124" spans="2:120" s="22" customFormat="1" hidden="1" outlineLevel="1" x14ac:dyDescent="0.35">
      <c r="B124" s="25" t="s">
        <v>100</v>
      </c>
      <c r="C124" s="75" t="s">
        <v>112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80"/>
      <c r="Q124" s="77"/>
      <c r="R124" s="77">
        <v>220000</v>
      </c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80">
        <v>220000</v>
      </c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80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83"/>
      <c r="BD124" s="77"/>
      <c r="BE124" s="77">
        <v>1225.2796428908123</v>
      </c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83">
        <v>1225.2796428908123</v>
      </c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83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96"/>
      <c r="CQ124" s="77"/>
      <c r="CR124" s="77">
        <v>25129.887448907677</v>
      </c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96">
        <v>25129.887448907677</v>
      </c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96"/>
    </row>
    <row r="125" spans="2:120" s="22" customFormat="1" hidden="1" outlineLevel="1" x14ac:dyDescent="0.35">
      <c r="B125" s="25" t="s">
        <v>100</v>
      </c>
      <c r="C125" s="75" t="s">
        <v>113</v>
      </c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>
        <v>4400</v>
      </c>
      <c r="O125" s="77">
        <v>5500</v>
      </c>
      <c r="P125" s="80">
        <v>9900</v>
      </c>
      <c r="Q125" s="77"/>
      <c r="R125" s="77">
        <v>4400</v>
      </c>
      <c r="S125" s="77">
        <v>12100</v>
      </c>
      <c r="T125" s="77">
        <v>6600</v>
      </c>
      <c r="U125" s="77">
        <v>11000</v>
      </c>
      <c r="V125" s="77">
        <v>44000</v>
      </c>
      <c r="W125" s="77">
        <v>33000</v>
      </c>
      <c r="X125" s="77">
        <v>11000</v>
      </c>
      <c r="Y125" s="77">
        <v>3300</v>
      </c>
      <c r="Z125" s="77">
        <v>27500</v>
      </c>
      <c r="AA125" s="77">
        <v>20900</v>
      </c>
      <c r="AB125" s="77">
        <v>13200</v>
      </c>
      <c r="AC125" s="80">
        <v>187000</v>
      </c>
      <c r="AD125" s="77">
        <v>3300</v>
      </c>
      <c r="AE125" s="77">
        <v>8800</v>
      </c>
      <c r="AF125" s="77">
        <v>31900</v>
      </c>
      <c r="AG125" s="77">
        <v>15400</v>
      </c>
      <c r="AH125" s="77"/>
      <c r="AI125" s="77"/>
      <c r="AJ125" s="77"/>
      <c r="AK125" s="77"/>
      <c r="AL125" s="77"/>
      <c r="AM125" s="77"/>
      <c r="AN125" s="77"/>
      <c r="AO125" s="77"/>
      <c r="AP125" s="80">
        <v>59400</v>
      </c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>
        <v>1365.7395240306428</v>
      </c>
      <c r="BB125" s="77">
        <v>1368.8868477752603</v>
      </c>
      <c r="BC125" s="83">
        <v>1367.4880372220969</v>
      </c>
      <c r="BD125" s="77"/>
      <c r="BE125" s="77">
        <v>1298.3580240436493</v>
      </c>
      <c r="BF125" s="77">
        <v>1293.2653388748206</v>
      </c>
      <c r="BG125" s="77">
        <v>1297.719479353724</v>
      </c>
      <c r="BH125" s="77">
        <v>1312.2161536985468</v>
      </c>
      <c r="BI125" s="77">
        <v>1296.9072692001641</v>
      </c>
      <c r="BJ125" s="77">
        <v>1296.1064103124475</v>
      </c>
      <c r="BK125" s="77">
        <v>1289.1018081797254</v>
      </c>
      <c r="BL125" s="77">
        <v>1273.3614070094804</v>
      </c>
      <c r="BM125" s="77">
        <v>1273.3906251325327</v>
      </c>
      <c r="BN125" s="77">
        <v>1265.0085764451653</v>
      </c>
      <c r="BO125" s="77">
        <v>1273.3789114304809</v>
      </c>
      <c r="BP125" s="83">
        <v>1287.9346478532257</v>
      </c>
      <c r="BQ125" s="77">
        <v>1268.7802761581713</v>
      </c>
      <c r="BR125" s="77">
        <v>1277.1796177032368</v>
      </c>
      <c r="BS125" s="77">
        <v>1269.9583679872476</v>
      </c>
      <c r="BT125" s="77">
        <v>1267.7312455502879</v>
      </c>
      <c r="BU125" s="77"/>
      <c r="BV125" s="77"/>
      <c r="BW125" s="77"/>
      <c r="BX125" s="77"/>
      <c r="BY125" s="77"/>
      <c r="BZ125" s="77"/>
      <c r="CA125" s="77"/>
      <c r="CB125" s="77"/>
      <c r="CC125" s="83">
        <v>1270.385331100641</v>
      </c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>
        <v>24783.769907407404</v>
      </c>
      <c r="CO125" s="77">
        <v>24825.723506493508</v>
      </c>
      <c r="CP125" s="96">
        <v>24807.07746245524</v>
      </c>
      <c r="CQ125" s="77"/>
      <c r="CR125" s="77">
        <v>25129.887448907681</v>
      </c>
      <c r="CS125" s="77">
        <v>25341.010729959689</v>
      </c>
      <c r="CT125" s="77">
        <v>25147.349790685945</v>
      </c>
      <c r="CU125" s="77">
        <v>25776.223757281554</v>
      </c>
      <c r="CV125" s="77">
        <v>26907.289228741054</v>
      </c>
      <c r="CW125" s="77">
        <v>26496.412830721001</v>
      </c>
      <c r="CX125" s="77">
        <v>26353.716282051286</v>
      </c>
      <c r="CY125" s="77">
        <v>26289.233333333334</v>
      </c>
      <c r="CZ125" s="77">
        <v>26174.066343434344</v>
      </c>
      <c r="DA125" s="77">
        <v>26931.270430622004</v>
      </c>
      <c r="DB125" s="77">
        <v>26926.02593551797</v>
      </c>
      <c r="DC125" s="96">
        <v>26415.67017075175</v>
      </c>
      <c r="DD125" s="77">
        <v>26929.877905138339</v>
      </c>
      <c r="DE125" s="77">
        <v>26519.323053977274</v>
      </c>
      <c r="DF125" s="77">
        <v>26752.065385121794</v>
      </c>
      <c r="DG125" s="77">
        <v>26752.065393958364</v>
      </c>
      <c r="DH125" s="77"/>
      <c r="DI125" s="77"/>
      <c r="DJ125" s="77"/>
      <c r="DK125" s="77"/>
      <c r="DL125" s="77"/>
      <c r="DM125" s="77"/>
      <c r="DN125" s="77"/>
      <c r="DO125" s="77"/>
      <c r="DP125" s="96">
        <v>26727.463515392265</v>
      </c>
    </row>
    <row r="126" spans="2:120" s="22" customFormat="1" hidden="1" outlineLevel="1" x14ac:dyDescent="0.35">
      <c r="B126" s="25" t="s">
        <v>100</v>
      </c>
      <c r="C126" s="75" t="s">
        <v>114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80"/>
      <c r="Q126" s="77"/>
      <c r="R126" s="77"/>
      <c r="S126" s="77"/>
      <c r="T126" s="77"/>
      <c r="U126" s="77">
        <v>22000</v>
      </c>
      <c r="V126" s="77"/>
      <c r="W126" s="77"/>
      <c r="X126" s="77"/>
      <c r="Y126" s="77"/>
      <c r="Z126" s="77"/>
      <c r="AA126" s="77"/>
      <c r="AB126" s="77"/>
      <c r="AC126" s="80">
        <v>22000</v>
      </c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80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83"/>
      <c r="BD126" s="77"/>
      <c r="BE126" s="77"/>
      <c r="BF126" s="77"/>
      <c r="BG126" s="77"/>
      <c r="BH126" s="77">
        <v>1298.2807963483913</v>
      </c>
      <c r="BI126" s="77"/>
      <c r="BJ126" s="77"/>
      <c r="BK126" s="77"/>
      <c r="BL126" s="77"/>
      <c r="BM126" s="77"/>
      <c r="BN126" s="77"/>
      <c r="BO126" s="77"/>
      <c r="BP126" s="83">
        <v>1298.2807963483913</v>
      </c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83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96"/>
      <c r="CQ126" s="77"/>
      <c r="CR126" s="77"/>
      <c r="CS126" s="77"/>
      <c r="CT126" s="77"/>
      <c r="CU126" s="77">
        <v>25776.223757281554</v>
      </c>
      <c r="CV126" s="77"/>
      <c r="CW126" s="77"/>
      <c r="CX126" s="77"/>
      <c r="CY126" s="77"/>
      <c r="CZ126" s="77"/>
      <c r="DA126" s="77"/>
      <c r="DB126" s="77"/>
      <c r="DC126" s="96">
        <v>25776.223757281554</v>
      </c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96"/>
    </row>
    <row r="127" spans="2:120" s="22" customFormat="1" hidden="1" outlineLevel="1" x14ac:dyDescent="0.35">
      <c r="B127" s="25" t="s">
        <v>100</v>
      </c>
      <c r="C127" s="75" t="s">
        <v>25</v>
      </c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>
        <v>1100</v>
      </c>
      <c r="P127" s="80">
        <v>1100</v>
      </c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80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80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>
        <v>1242.2680321371374</v>
      </c>
      <c r="BC127" s="83">
        <v>1242.2680321371374</v>
      </c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83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83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>
        <v>24825.723506493508</v>
      </c>
      <c r="CP127" s="96">
        <v>24825.723506493508</v>
      </c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96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96"/>
    </row>
    <row r="128" spans="2:120" s="22" customFormat="1" hidden="1" outlineLevel="1" x14ac:dyDescent="0.35">
      <c r="B128" s="25" t="s">
        <v>100</v>
      </c>
      <c r="C128" s="75" t="s">
        <v>83</v>
      </c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80"/>
      <c r="Q128" s="77"/>
      <c r="R128" s="77"/>
      <c r="S128" s="77"/>
      <c r="T128" s="77"/>
      <c r="U128" s="77"/>
      <c r="V128" s="77">
        <v>25</v>
      </c>
      <c r="W128" s="77"/>
      <c r="X128" s="77"/>
      <c r="Y128" s="77"/>
      <c r="Z128" s="77"/>
      <c r="AA128" s="77"/>
      <c r="AB128" s="77"/>
      <c r="AC128" s="80">
        <v>25</v>
      </c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80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83"/>
      <c r="BD128" s="77"/>
      <c r="BE128" s="77"/>
      <c r="BF128" s="77"/>
      <c r="BG128" s="77"/>
      <c r="BH128" s="77"/>
      <c r="BI128" s="77">
        <v>1319.703488282531</v>
      </c>
      <c r="BJ128" s="77"/>
      <c r="BK128" s="77"/>
      <c r="BL128" s="77"/>
      <c r="BM128" s="77"/>
      <c r="BN128" s="77"/>
      <c r="BO128" s="77"/>
      <c r="BP128" s="83">
        <v>1319.703488282531</v>
      </c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83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96"/>
      <c r="CQ128" s="77"/>
      <c r="CR128" s="77"/>
      <c r="CS128" s="77"/>
      <c r="CT128" s="77"/>
      <c r="CU128" s="77"/>
      <c r="CV128" s="77">
        <v>26907.289228741058</v>
      </c>
      <c r="CW128" s="77"/>
      <c r="CX128" s="77"/>
      <c r="CY128" s="77"/>
      <c r="CZ128" s="77"/>
      <c r="DA128" s="77"/>
      <c r="DB128" s="77"/>
      <c r="DC128" s="96">
        <v>26907.289228741058</v>
      </c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96"/>
    </row>
    <row r="129" spans="1:120" s="22" customFormat="1" hidden="1" outlineLevel="1" x14ac:dyDescent="0.35">
      <c r="B129" s="25" t="s">
        <v>100</v>
      </c>
      <c r="C129" s="75" t="s">
        <v>86</v>
      </c>
      <c r="D129" s="77">
        <v>572000</v>
      </c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80">
        <v>572000</v>
      </c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80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80"/>
      <c r="AQ129" s="77">
        <v>1111.2346601931972</v>
      </c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83">
        <v>1111.2346601931972</v>
      </c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83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83"/>
      <c r="CD129" s="77">
        <v>21286.293848096349</v>
      </c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96">
        <v>21286.293848096349</v>
      </c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96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96"/>
    </row>
    <row r="130" spans="1:120" s="22" customFormat="1" hidden="1" outlineLevel="1" x14ac:dyDescent="0.35">
      <c r="B130" s="25" t="s">
        <v>100</v>
      </c>
      <c r="C130" s="75" t="s">
        <v>115</v>
      </c>
      <c r="D130" s="77"/>
      <c r="E130" s="77"/>
      <c r="F130" s="77"/>
      <c r="G130" s="77">
        <v>660000</v>
      </c>
      <c r="H130" s="77"/>
      <c r="I130" s="77"/>
      <c r="J130" s="77"/>
      <c r="K130" s="77"/>
      <c r="L130" s="77">
        <v>770000</v>
      </c>
      <c r="M130" s="77">
        <v>220000</v>
      </c>
      <c r="N130" s="77"/>
      <c r="O130" s="77"/>
      <c r="P130" s="80">
        <v>1650000</v>
      </c>
      <c r="Q130" s="77"/>
      <c r="R130" s="77">
        <v>880000</v>
      </c>
      <c r="S130" s="77">
        <v>880000</v>
      </c>
      <c r="T130" s="77">
        <v>880000</v>
      </c>
      <c r="U130" s="77">
        <v>880000</v>
      </c>
      <c r="V130" s="77">
        <v>880000</v>
      </c>
      <c r="W130" s="77">
        <v>880000</v>
      </c>
      <c r="X130" s="77">
        <v>880000</v>
      </c>
      <c r="Y130" s="77"/>
      <c r="Z130" s="77"/>
      <c r="AA130" s="77"/>
      <c r="AB130" s="77"/>
      <c r="AC130" s="80">
        <v>6160000</v>
      </c>
      <c r="AD130" s="77"/>
      <c r="AE130" s="77"/>
      <c r="AF130" s="77">
        <v>990000</v>
      </c>
      <c r="AG130" s="77"/>
      <c r="AH130" s="77"/>
      <c r="AI130" s="77"/>
      <c r="AJ130" s="77"/>
      <c r="AK130" s="77"/>
      <c r="AL130" s="77"/>
      <c r="AM130" s="77"/>
      <c r="AN130" s="77"/>
      <c r="AO130" s="77"/>
      <c r="AP130" s="80">
        <v>990000</v>
      </c>
      <c r="AQ130" s="77"/>
      <c r="AR130" s="77"/>
      <c r="AS130" s="77"/>
      <c r="AT130" s="77">
        <v>1259.8459561446098</v>
      </c>
      <c r="AU130" s="77"/>
      <c r="AV130" s="77"/>
      <c r="AW130" s="77"/>
      <c r="AX130" s="77"/>
      <c r="AY130" s="77">
        <v>1238.5047416219672</v>
      </c>
      <c r="AZ130" s="77">
        <v>1247.1306468173937</v>
      </c>
      <c r="BA130" s="77"/>
      <c r="BB130" s="77"/>
      <c r="BC130" s="83">
        <v>1248.1913481237489</v>
      </c>
      <c r="BD130" s="77"/>
      <c r="BE130" s="77">
        <v>1231.5599905457984</v>
      </c>
      <c r="BF130" s="77">
        <v>1231.0385069380955</v>
      </c>
      <c r="BG130" s="77">
        <v>1230.6675638214542</v>
      </c>
      <c r="BH130" s="77">
        <v>1230.6635861980167</v>
      </c>
      <c r="BI130" s="77">
        <v>1230.6675052336161</v>
      </c>
      <c r="BJ130" s="77">
        <v>1230.8383890030527</v>
      </c>
      <c r="BK130" s="77">
        <v>1230.9831127499199</v>
      </c>
      <c r="BL130" s="77"/>
      <c r="BM130" s="77"/>
      <c r="BN130" s="77"/>
      <c r="BO130" s="77"/>
      <c r="BP130" s="83">
        <v>1230.9169506414205</v>
      </c>
      <c r="BQ130" s="77"/>
      <c r="BR130" s="77"/>
      <c r="BS130" s="77">
        <v>1119.5439480156913</v>
      </c>
      <c r="BT130" s="77"/>
      <c r="BU130" s="77"/>
      <c r="BV130" s="77"/>
      <c r="BW130" s="77"/>
      <c r="BX130" s="77"/>
      <c r="BY130" s="77"/>
      <c r="BZ130" s="77"/>
      <c r="CA130" s="77"/>
      <c r="CB130" s="77"/>
      <c r="CC130" s="83">
        <v>1119.5439480156913</v>
      </c>
      <c r="CD130" s="77"/>
      <c r="CE130" s="77"/>
      <c r="CF130" s="77"/>
      <c r="CG130" s="77">
        <v>22418.98425239234</v>
      </c>
      <c r="CH130" s="77"/>
      <c r="CI130" s="77"/>
      <c r="CJ130" s="77"/>
      <c r="CK130" s="77"/>
      <c r="CL130" s="77">
        <v>24176.6981727725</v>
      </c>
      <c r="CM130" s="77">
        <v>24598.295273362997</v>
      </c>
      <c r="CN130" s="77"/>
      <c r="CO130" s="77"/>
      <c r="CP130" s="96">
        <v>23529.82555136583</v>
      </c>
      <c r="CQ130" s="77"/>
      <c r="CR130" s="77">
        <v>25129.887448907677</v>
      </c>
      <c r="CS130" s="77">
        <v>25341.010729959678</v>
      </c>
      <c r="CT130" s="77">
        <v>25147.349790685948</v>
      </c>
      <c r="CU130" s="77">
        <v>25776.223757281557</v>
      </c>
      <c r="CV130" s="77">
        <v>26907.289228741043</v>
      </c>
      <c r="CW130" s="77">
        <v>26496.412830721016</v>
      </c>
      <c r="CX130" s="77">
        <v>26353.716282051271</v>
      </c>
      <c r="CY130" s="77"/>
      <c r="CZ130" s="77"/>
      <c r="DA130" s="77"/>
      <c r="DB130" s="77"/>
      <c r="DC130" s="96">
        <v>25878.841438335465</v>
      </c>
      <c r="DD130" s="77"/>
      <c r="DE130" s="77"/>
      <c r="DF130" s="77">
        <v>26349.876124242433</v>
      </c>
      <c r="DG130" s="77"/>
      <c r="DH130" s="77"/>
      <c r="DI130" s="77"/>
      <c r="DJ130" s="77"/>
      <c r="DK130" s="77"/>
      <c r="DL130" s="77"/>
      <c r="DM130" s="77"/>
      <c r="DN130" s="77"/>
      <c r="DO130" s="77"/>
      <c r="DP130" s="96">
        <v>26349.876124242433</v>
      </c>
    </row>
    <row r="131" spans="1:120" s="22" customFormat="1" hidden="1" outlineLevel="1" x14ac:dyDescent="0.35">
      <c r="B131" s="25" t="s">
        <v>100</v>
      </c>
      <c r="C131" s="75" t="s">
        <v>116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80"/>
      <c r="Q131" s="77"/>
      <c r="R131" s="77">
        <v>66000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80">
        <v>66000</v>
      </c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80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83"/>
      <c r="BD131" s="77"/>
      <c r="BE131" s="77">
        <v>1281.3012192245626</v>
      </c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83">
        <v>1281.3012192245626</v>
      </c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83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96"/>
      <c r="CQ131" s="77"/>
      <c r="CR131" s="77">
        <v>25129.887448907677</v>
      </c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96">
        <v>25129.887448907677</v>
      </c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96"/>
    </row>
    <row r="132" spans="1:120" s="22" customFormat="1" hidden="1" outlineLevel="1" x14ac:dyDescent="0.35">
      <c r="B132" s="25" t="s">
        <v>100</v>
      </c>
      <c r="C132" s="75" t="s">
        <v>117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>
        <v>83600</v>
      </c>
      <c r="N132" s="77"/>
      <c r="O132" s="77"/>
      <c r="P132" s="80">
        <v>83600</v>
      </c>
      <c r="Q132" s="77"/>
      <c r="R132" s="77">
        <v>22000</v>
      </c>
      <c r="S132" s="77"/>
      <c r="T132" s="77"/>
      <c r="U132" s="77"/>
      <c r="V132" s="77"/>
      <c r="W132" s="77"/>
      <c r="X132" s="77"/>
      <c r="Y132" s="77"/>
      <c r="Z132" s="77">
        <v>22000</v>
      </c>
      <c r="AA132" s="77"/>
      <c r="AB132" s="77"/>
      <c r="AC132" s="80">
        <v>44000</v>
      </c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80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>
        <v>1274.1758332275481</v>
      </c>
      <c r="BA132" s="77"/>
      <c r="BB132" s="77"/>
      <c r="BC132" s="83">
        <v>1274.1758332275481</v>
      </c>
      <c r="BD132" s="77"/>
      <c r="BE132" s="77">
        <v>1239.4314308078508</v>
      </c>
      <c r="BF132" s="77"/>
      <c r="BG132" s="77"/>
      <c r="BH132" s="77"/>
      <c r="BI132" s="77"/>
      <c r="BJ132" s="77"/>
      <c r="BK132" s="77"/>
      <c r="BL132" s="77"/>
      <c r="BM132" s="77">
        <v>1223.5292561992246</v>
      </c>
      <c r="BN132" s="77"/>
      <c r="BO132" s="77"/>
      <c r="BP132" s="83">
        <v>1231.4803435035381</v>
      </c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83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>
        <v>24598.295273363005</v>
      </c>
      <c r="CN132" s="77"/>
      <c r="CO132" s="77"/>
      <c r="CP132" s="96">
        <v>24598.295273363005</v>
      </c>
      <c r="CQ132" s="77"/>
      <c r="CR132" s="77">
        <v>25129.887448907677</v>
      </c>
      <c r="CS132" s="77"/>
      <c r="CT132" s="77"/>
      <c r="CU132" s="77"/>
      <c r="CV132" s="77"/>
      <c r="CW132" s="77"/>
      <c r="CX132" s="77"/>
      <c r="CY132" s="77"/>
      <c r="CZ132" s="77">
        <v>26174.066343434344</v>
      </c>
      <c r="DA132" s="77"/>
      <c r="DB132" s="77"/>
      <c r="DC132" s="96">
        <v>25651.976896171011</v>
      </c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96"/>
    </row>
    <row r="133" spans="1:120" s="22" customFormat="1" hidden="1" outlineLevel="1" x14ac:dyDescent="0.35">
      <c r="B133" s="25" t="s">
        <v>100</v>
      </c>
      <c r="C133" s="75" t="s">
        <v>118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80"/>
      <c r="Q133" s="77"/>
      <c r="R133" s="77">
        <v>22000</v>
      </c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80">
        <v>22000</v>
      </c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80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83"/>
      <c r="BD133" s="77"/>
      <c r="BE133" s="77">
        <v>1246.0783754547933</v>
      </c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83">
        <v>1246.0783754547933</v>
      </c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83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96"/>
      <c r="CQ133" s="77"/>
      <c r="CR133" s="77">
        <v>25129.887448907677</v>
      </c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96">
        <v>25129.887448907677</v>
      </c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96"/>
    </row>
    <row r="134" spans="1:120" s="22" customFormat="1" hidden="1" outlineLevel="1" x14ac:dyDescent="0.35">
      <c r="B134" s="25" t="s">
        <v>100</v>
      </c>
      <c r="C134" s="75" t="s">
        <v>119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80"/>
      <c r="Q134" s="77"/>
      <c r="R134" s="77">
        <v>22000</v>
      </c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80">
        <v>22000</v>
      </c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80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83"/>
      <c r="BD134" s="77"/>
      <c r="BE134" s="77">
        <v>1258.8243957417631</v>
      </c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83">
        <v>1258.8243957417631</v>
      </c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83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96"/>
      <c r="CQ134" s="77"/>
      <c r="CR134" s="77">
        <v>25129.887448907677</v>
      </c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96">
        <v>25129.887448907677</v>
      </c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96"/>
    </row>
    <row r="135" spans="1:120" s="22" customFormat="1" hidden="1" outlineLevel="1" x14ac:dyDescent="0.35">
      <c r="B135" s="25" t="s">
        <v>100</v>
      </c>
      <c r="C135" s="75" t="s">
        <v>120</v>
      </c>
      <c r="D135" s="77"/>
      <c r="E135" s="77"/>
      <c r="F135" s="77"/>
      <c r="G135" s="77">
        <v>4400</v>
      </c>
      <c r="H135" s="77"/>
      <c r="I135" s="77"/>
      <c r="J135" s="77"/>
      <c r="K135" s="77"/>
      <c r="L135" s="77"/>
      <c r="M135" s="77"/>
      <c r="N135" s="77"/>
      <c r="O135" s="77"/>
      <c r="P135" s="80">
        <v>4400</v>
      </c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80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80"/>
      <c r="AQ135" s="77"/>
      <c r="AR135" s="77"/>
      <c r="AS135" s="77"/>
      <c r="AT135" s="77">
        <v>1318.3265283301032</v>
      </c>
      <c r="AU135" s="77"/>
      <c r="AV135" s="77"/>
      <c r="AW135" s="77"/>
      <c r="AX135" s="77"/>
      <c r="AY135" s="77"/>
      <c r="AZ135" s="77"/>
      <c r="BA135" s="77"/>
      <c r="BB135" s="77"/>
      <c r="BC135" s="83">
        <v>1318.3265283301032</v>
      </c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83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83"/>
      <c r="CD135" s="77"/>
      <c r="CE135" s="77"/>
      <c r="CF135" s="77"/>
      <c r="CG135" s="77">
        <v>22418.984252392347</v>
      </c>
      <c r="CH135" s="77"/>
      <c r="CI135" s="77"/>
      <c r="CJ135" s="77"/>
      <c r="CK135" s="77"/>
      <c r="CL135" s="77"/>
      <c r="CM135" s="77"/>
      <c r="CN135" s="77"/>
      <c r="CO135" s="77"/>
      <c r="CP135" s="96">
        <v>22418.984252392347</v>
      </c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96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96"/>
    </row>
    <row r="136" spans="1:120" s="22" customFormat="1" hidden="1" outlineLevel="1" x14ac:dyDescent="0.35">
      <c r="B136" s="25" t="s">
        <v>100</v>
      </c>
      <c r="C136" s="75" t="s">
        <v>30</v>
      </c>
      <c r="D136" s="77"/>
      <c r="E136" s="77"/>
      <c r="F136" s="77"/>
      <c r="G136" s="77"/>
      <c r="H136" s="77"/>
      <c r="I136" s="77"/>
      <c r="J136" s="77">
        <v>2200</v>
      </c>
      <c r="K136" s="77"/>
      <c r="L136" s="77"/>
      <c r="M136" s="77"/>
      <c r="N136" s="77"/>
      <c r="O136" s="77"/>
      <c r="P136" s="80">
        <v>2200</v>
      </c>
      <c r="Q136" s="77">
        <v>3300</v>
      </c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80">
        <v>3300</v>
      </c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80"/>
      <c r="AQ136" s="77"/>
      <c r="AR136" s="77"/>
      <c r="AS136" s="77"/>
      <c r="AT136" s="77"/>
      <c r="AU136" s="77"/>
      <c r="AV136" s="77"/>
      <c r="AW136" s="77">
        <v>1404.9425658132886</v>
      </c>
      <c r="AX136" s="77"/>
      <c r="AY136" s="77"/>
      <c r="AZ136" s="77"/>
      <c r="BA136" s="77"/>
      <c r="BB136" s="77"/>
      <c r="BC136" s="83">
        <v>1404.9425658132886</v>
      </c>
      <c r="BD136" s="77">
        <v>1402.3529081734696</v>
      </c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83">
        <v>1402.3529081734696</v>
      </c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83"/>
      <c r="CD136" s="77"/>
      <c r="CE136" s="77"/>
      <c r="CF136" s="77"/>
      <c r="CG136" s="77"/>
      <c r="CH136" s="77"/>
      <c r="CI136" s="77"/>
      <c r="CJ136" s="77">
        <v>23390.034393939401</v>
      </c>
      <c r="CK136" s="77"/>
      <c r="CL136" s="77"/>
      <c r="CM136" s="77"/>
      <c r="CN136" s="77"/>
      <c r="CO136" s="77"/>
      <c r="CP136" s="96">
        <v>23390.034393939401</v>
      </c>
      <c r="CQ136" s="77">
        <v>25862.348937062943</v>
      </c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96">
        <v>25862.348937062943</v>
      </c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96"/>
    </row>
    <row r="137" spans="1:120" s="22" customFormat="1" hidden="1" outlineLevel="1" x14ac:dyDescent="0.35">
      <c r="B137" s="25" t="s">
        <v>100</v>
      </c>
      <c r="C137" s="75" t="s">
        <v>32</v>
      </c>
      <c r="D137" s="77"/>
      <c r="E137" s="77"/>
      <c r="F137" s="77"/>
      <c r="G137" s="77">
        <v>4400</v>
      </c>
      <c r="H137" s="77"/>
      <c r="I137" s="77">
        <v>92400</v>
      </c>
      <c r="J137" s="77"/>
      <c r="K137" s="77">
        <v>-74800</v>
      </c>
      <c r="L137" s="77"/>
      <c r="M137" s="77">
        <v>4400</v>
      </c>
      <c r="N137" s="77"/>
      <c r="O137" s="77"/>
      <c r="P137" s="80">
        <v>26400</v>
      </c>
      <c r="Q137" s="77">
        <v>4400</v>
      </c>
      <c r="R137" s="77">
        <v>154000</v>
      </c>
      <c r="S137" s="77">
        <v>-1100</v>
      </c>
      <c r="T137" s="77"/>
      <c r="U137" s="77"/>
      <c r="V137" s="77"/>
      <c r="W137" s="77"/>
      <c r="X137" s="77"/>
      <c r="Y137" s="77"/>
      <c r="Z137" s="77"/>
      <c r="AA137" s="77"/>
      <c r="AB137" s="77"/>
      <c r="AC137" s="80">
        <v>157300</v>
      </c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80"/>
      <c r="AQ137" s="77"/>
      <c r="AR137" s="77"/>
      <c r="AS137" s="77"/>
      <c r="AT137" s="77">
        <v>1318.3265247016373</v>
      </c>
      <c r="AU137" s="77"/>
      <c r="AV137" s="77">
        <v>1353.2539180982815</v>
      </c>
      <c r="AW137" s="77"/>
      <c r="AX137" s="77">
        <v>1462.0018301384671</v>
      </c>
      <c r="AY137" s="77"/>
      <c r="AZ137" s="77">
        <v>1346.2298066225321</v>
      </c>
      <c r="BA137" s="77"/>
      <c r="BB137" s="77"/>
      <c r="BC137" s="83">
        <v>1038.14291650569</v>
      </c>
      <c r="BD137" s="77">
        <v>1382.4290384678247</v>
      </c>
      <c r="BE137" s="77">
        <v>1387.7925695186475</v>
      </c>
      <c r="BF137" s="77">
        <v>1444.1372806991919</v>
      </c>
      <c r="BG137" s="77"/>
      <c r="BH137" s="77"/>
      <c r="BI137" s="77"/>
      <c r="BJ137" s="77"/>
      <c r="BK137" s="77"/>
      <c r="BL137" s="77"/>
      <c r="BM137" s="77"/>
      <c r="BN137" s="77"/>
      <c r="BO137" s="77"/>
      <c r="BP137" s="83">
        <v>1387.2485217187605</v>
      </c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83"/>
      <c r="CD137" s="77"/>
      <c r="CE137" s="77"/>
      <c r="CF137" s="77"/>
      <c r="CG137" s="77">
        <v>22418.984252392347</v>
      </c>
      <c r="CH137" s="77"/>
      <c r="CI137" s="77">
        <v>23118.400952380955</v>
      </c>
      <c r="CJ137" s="77"/>
      <c r="CK137" s="77">
        <v>23973.138883433643</v>
      </c>
      <c r="CL137" s="77"/>
      <c r="CM137" s="77">
        <v>24598.295273362997</v>
      </c>
      <c r="CN137" s="77"/>
      <c r="CO137" s="77"/>
      <c r="CP137" s="96">
        <v>20826.723084563921</v>
      </c>
      <c r="CQ137" s="77">
        <v>25862.348937062932</v>
      </c>
      <c r="CR137" s="77">
        <v>25129.887448907677</v>
      </c>
      <c r="CS137" s="77">
        <v>25341.010729959697</v>
      </c>
      <c r="CT137" s="77"/>
      <c r="CU137" s="77"/>
      <c r="CV137" s="77"/>
      <c r="CW137" s="77"/>
      <c r="CX137" s="77"/>
      <c r="CY137" s="77"/>
      <c r="CZ137" s="77"/>
      <c r="DA137" s="77"/>
      <c r="DB137" s="77"/>
      <c r="DC137" s="96">
        <v>25148.899495562011</v>
      </c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96"/>
    </row>
    <row r="138" spans="1:120" s="22" customFormat="1" hidden="1" outlineLevel="1" x14ac:dyDescent="0.35">
      <c r="B138" s="25" t="s">
        <v>100</v>
      </c>
      <c r="C138" s="75" t="s">
        <v>121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80"/>
      <c r="Q138" s="77"/>
      <c r="R138" s="77"/>
      <c r="S138" s="77"/>
      <c r="T138" s="77"/>
      <c r="U138" s="77"/>
      <c r="V138" s="77"/>
      <c r="W138" s="77"/>
      <c r="X138" s="77">
        <v>330000</v>
      </c>
      <c r="Y138" s="77"/>
      <c r="Z138" s="77"/>
      <c r="AA138" s="77"/>
      <c r="AB138" s="77"/>
      <c r="AC138" s="80">
        <v>330000</v>
      </c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80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83"/>
      <c r="BD138" s="77"/>
      <c r="BE138" s="77"/>
      <c r="BF138" s="77"/>
      <c r="BG138" s="77"/>
      <c r="BH138" s="77"/>
      <c r="BI138" s="77"/>
      <c r="BJ138" s="77"/>
      <c r="BK138" s="77">
        <v>1079.882733026873</v>
      </c>
      <c r="BL138" s="77"/>
      <c r="BM138" s="77"/>
      <c r="BN138" s="77"/>
      <c r="BO138" s="77"/>
      <c r="BP138" s="83">
        <v>1079.882733026873</v>
      </c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83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96"/>
      <c r="CQ138" s="77"/>
      <c r="CR138" s="77"/>
      <c r="CS138" s="77"/>
      <c r="CT138" s="77"/>
      <c r="CU138" s="77"/>
      <c r="CV138" s="77"/>
      <c r="CW138" s="77"/>
      <c r="CX138" s="77">
        <v>26353.716282051289</v>
      </c>
      <c r="CY138" s="77"/>
      <c r="CZ138" s="77"/>
      <c r="DA138" s="77"/>
      <c r="DB138" s="77"/>
      <c r="DC138" s="96">
        <v>26353.716282051289</v>
      </c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96"/>
    </row>
    <row r="139" spans="1:120" s="22" customFormat="1" hidden="1" outlineLevel="1" x14ac:dyDescent="0.35">
      <c r="B139" s="25" t="s">
        <v>100</v>
      </c>
      <c r="C139" s="75" t="s">
        <v>9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>
        <v>6600</v>
      </c>
      <c r="N139" s="77">
        <v>9900</v>
      </c>
      <c r="O139" s="77"/>
      <c r="P139" s="80">
        <v>16500</v>
      </c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80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80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>
        <v>1266.7034533040799</v>
      </c>
      <c r="BA139" s="77">
        <v>1296.989270472666</v>
      </c>
      <c r="BB139" s="77"/>
      <c r="BC139" s="83">
        <v>1284.8749436052315</v>
      </c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83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83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>
        <v>24598.295273363005</v>
      </c>
      <c r="CN139" s="77">
        <v>24783.769907407408</v>
      </c>
      <c r="CO139" s="77"/>
      <c r="CP139" s="96">
        <v>24709.580053789647</v>
      </c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96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96"/>
    </row>
    <row r="140" spans="1:120" s="22" customFormat="1" hidden="1" outlineLevel="1" x14ac:dyDescent="0.35">
      <c r="B140" s="25" t="s">
        <v>100</v>
      </c>
      <c r="C140" s="75" t="s">
        <v>98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80"/>
      <c r="Q140" s="77"/>
      <c r="R140" s="77"/>
      <c r="S140" s="77"/>
      <c r="T140" s="77"/>
      <c r="U140" s="77"/>
      <c r="V140" s="77"/>
      <c r="W140" s="77">
        <v>0</v>
      </c>
      <c r="X140" s="77"/>
      <c r="Y140" s="77"/>
      <c r="Z140" s="77"/>
      <c r="AA140" s="77"/>
      <c r="AB140" s="77"/>
      <c r="AC140" s="80">
        <v>0</v>
      </c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80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83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83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83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96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96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96"/>
    </row>
    <row r="141" spans="1:120" s="22" customFormat="1" hidden="1" outlineLevel="1" x14ac:dyDescent="0.35">
      <c r="B141" s="25" t="s">
        <v>100</v>
      </c>
      <c r="C141" s="75" t="s">
        <v>41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80"/>
      <c r="Q141" s="77"/>
      <c r="R141" s="77"/>
      <c r="S141" s="77">
        <v>5500</v>
      </c>
      <c r="T141" s="77"/>
      <c r="U141" s="77"/>
      <c r="V141" s="77"/>
      <c r="W141" s="77"/>
      <c r="X141" s="77"/>
      <c r="Y141" s="77"/>
      <c r="Z141" s="77"/>
      <c r="AA141" s="77"/>
      <c r="AB141" s="77"/>
      <c r="AC141" s="80">
        <v>5500</v>
      </c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80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83"/>
      <c r="BD141" s="77"/>
      <c r="BE141" s="77"/>
      <c r="BF141" s="77">
        <v>1293.2653388748208</v>
      </c>
      <c r="BG141" s="77"/>
      <c r="BH141" s="77"/>
      <c r="BI141" s="77"/>
      <c r="BJ141" s="77"/>
      <c r="BK141" s="77"/>
      <c r="BL141" s="77"/>
      <c r="BM141" s="77"/>
      <c r="BN141" s="77"/>
      <c r="BO141" s="77"/>
      <c r="BP141" s="83">
        <v>1293.2653388748208</v>
      </c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83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96"/>
      <c r="CQ141" s="77"/>
      <c r="CR141" s="77"/>
      <c r="CS141" s="77">
        <v>25341.010729959693</v>
      </c>
      <c r="CT141" s="77"/>
      <c r="CU141" s="77"/>
      <c r="CV141" s="77"/>
      <c r="CW141" s="77"/>
      <c r="CX141" s="77"/>
      <c r="CY141" s="77"/>
      <c r="CZ141" s="77"/>
      <c r="DA141" s="77"/>
      <c r="DB141" s="77"/>
      <c r="DC141" s="96">
        <v>25341.010729959693</v>
      </c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96"/>
    </row>
    <row r="142" spans="1:120" s="22" customFormat="1" hidden="1" outlineLevel="1" x14ac:dyDescent="0.35">
      <c r="B142" s="25" t="s">
        <v>100</v>
      </c>
      <c r="C142" s="75" t="s">
        <v>122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>
        <v>66000</v>
      </c>
      <c r="O142" s="77"/>
      <c r="P142" s="80">
        <v>66000</v>
      </c>
      <c r="Q142" s="77"/>
      <c r="R142" s="77">
        <v>330000</v>
      </c>
      <c r="S142" s="77">
        <v>770000</v>
      </c>
      <c r="T142" s="77"/>
      <c r="U142" s="77">
        <v>440000</v>
      </c>
      <c r="V142" s="77">
        <v>154000</v>
      </c>
      <c r="W142" s="77"/>
      <c r="X142" s="77"/>
      <c r="Y142" s="77"/>
      <c r="Z142" s="77"/>
      <c r="AA142" s="77"/>
      <c r="AB142" s="77"/>
      <c r="AC142" s="80">
        <v>1694000</v>
      </c>
      <c r="AD142" s="77"/>
      <c r="AE142" s="77">
        <v>330000</v>
      </c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80">
        <v>330000</v>
      </c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>
        <v>1265.6621097132033</v>
      </c>
      <c r="BB142" s="77"/>
      <c r="BC142" s="83">
        <v>1265.6621097132033</v>
      </c>
      <c r="BD142" s="77"/>
      <c r="BE142" s="77">
        <v>1224.4531827423073</v>
      </c>
      <c r="BF142" s="77">
        <v>1225.6717472209493</v>
      </c>
      <c r="BG142" s="77"/>
      <c r="BH142" s="77">
        <v>1283.6761484409712</v>
      </c>
      <c r="BI142" s="77">
        <v>1262.4029383767327</v>
      </c>
      <c r="BJ142" s="77"/>
      <c r="BK142" s="77"/>
      <c r="BL142" s="77"/>
      <c r="BM142" s="77"/>
      <c r="BN142" s="77"/>
      <c r="BO142" s="77"/>
      <c r="BP142" s="83">
        <v>1243.8396419652511</v>
      </c>
      <c r="BQ142" s="77"/>
      <c r="BR142" s="77">
        <v>1122.0279349818875</v>
      </c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83">
        <v>1122.0279349818875</v>
      </c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>
        <v>24783.769907407408</v>
      </c>
      <c r="CO142" s="77"/>
      <c r="CP142" s="96">
        <v>24783.769907407408</v>
      </c>
      <c r="CQ142" s="77"/>
      <c r="CR142" s="77">
        <v>25129.887448907677</v>
      </c>
      <c r="CS142" s="77">
        <v>25341.010729959682</v>
      </c>
      <c r="CT142" s="77"/>
      <c r="CU142" s="77">
        <v>25776.223757281557</v>
      </c>
      <c r="CV142" s="77">
        <v>26907.289228741058</v>
      </c>
      <c r="CW142" s="77"/>
      <c r="CX142" s="77"/>
      <c r="CY142" s="77"/>
      <c r="CZ142" s="77"/>
      <c r="DA142" s="77"/>
      <c r="DB142" s="77"/>
      <c r="DC142" s="96">
        <v>25555.314117260023</v>
      </c>
      <c r="DD142" s="77"/>
      <c r="DE142" s="77">
        <v>26519.323053977274</v>
      </c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96">
        <v>26519.323053977274</v>
      </c>
    </row>
    <row r="143" spans="1:120" s="22" customFormat="1" hidden="1" outlineLevel="1" x14ac:dyDescent="0.35">
      <c r="B143" s="25" t="s">
        <v>100</v>
      </c>
      <c r="C143" s="75" t="s">
        <v>123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80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>
        <v>22000</v>
      </c>
      <c r="AC143" s="80">
        <v>22000</v>
      </c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80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83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>
        <v>1409.5294044876919</v>
      </c>
      <c r="BP143" s="83">
        <v>1409.5294044876919</v>
      </c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83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96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>
        <v>26926.025935517966</v>
      </c>
      <c r="DC143" s="96">
        <v>26926.025935517966</v>
      </c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96"/>
    </row>
    <row r="144" spans="1:120" hidden="1" collapsed="1" x14ac:dyDescent="0.35">
      <c r="A144" t="s">
        <v>363</v>
      </c>
      <c r="B144" s="106" t="s">
        <v>124</v>
      </c>
      <c r="C144" s="76"/>
      <c r="D144" s="78">
        <v>902000</v>
      </c>
      <c r="E144" s="78">
        <v>44000</v>
      </c>
      <c r="F144" s="78">
        <v>666600</v>
      </c>
      <c r="G144" s="78">
        <v>668800</v>
      </c>
      <c r="H144" s="78">
        <v>23100</v>
      </c>
      <c r="I144" s="78">
        <v>92400</v>
      </c>
      <c r="J144" s="78">
        <v>6600</v>
      </c>
      <c r="K144" s="78">
        <v>631400</v>
      </c>
      <c r="L144" s="78">
        <v>884400</v>
      </c>
      <c r="M144" s="78">
        <v>314600</v>
      </c>
      <c r="N144" s="78">
        <v>172800</v>
      </c>
      <c r="O144" s="78">
        <v>7700</v>
      </c>
      <c r="P144" s="81">
        <v>4414400</v>
      </c>
      <c r="Q144" s="78">
        <v>143000</v>
      </c>
      <c r="R144" s="78">
        <v>2270400</v>
      </c>
      <c r="S144" s="78">
        <v>1786400</v>
      </c>
      <c r="T144" s="78">
        <v>1189600</v>
      </c>
      <c r="U144" s="78">
        <v>1854000</v>
      </c>
      <c r="V144" s="78">
        <v>1077435.8</v>
      </c>
      <c r="W144" s="78">
        <v>957000</v>
      </c>
      <c r="X144" s="78">
        <v>1287000</v>
      </c>
      <c r="Y144" s="78">
        <v>3300</v>
      </c>
      <c r="Z144" s="78">
        <v>49500</v>
      </c>
      <c r="AA144" s="78">
        <v>20900</v>
      </c>
      <c r="AB144" s="78">
        <v>189200</v>
      </c>
      <c r="AC144" s="81">
        <v>10827735.800000001</v>
      </c>
      <c r="AD144" s="78">
        <v>25300</v>
      </c>
      <c r="AE144" s="78">
        <v>492800</v>
      </c>
      <c r="AF144" s="78">
        <v>1065950</v>
      </c>
      <c r="AG144" s="78">
        <v>103450</v>
      </c>
      <c r="AH144" s="78"/>
      <c r="AI144" s="78"/>
      <c r="AJ144" s="78"/>
      <c r="AK144" s="78"/>
      <c r="AL144" s="78"/>
      <c r="AM144" s="78"/>
      <c r="AN144" s="78"/>
      <c r="AO144" s="78"/>
      <c r="AP144" s="81">
        <v>1687500</v>
      </c>
      <c r="AQ144" s="78">
        <v>1128.4000773316573</v>
      </c>
      <c r="AR144" s="78">
        <v>1252.8995509362153</v>
      </c>
      <c r="AS144" s="78">
        <v>1266.1992558452603</v>
      </c>
      <c r="AT144" s="78">
        <v>1260.6154373337054</v>
      </c>
      <c r="AU144" s="78">
        <v>1225.550589898111</v>
      </c>
      <c r="AV144" s="78">
        <v>1353.2539180982815</v>
      </c>
      <c r="AW144" s="78">
        <v>1359.7877849353229</v>
      </c>
      <c r="AX144" s="78">
        <v>1194.5946538268399</v>
      </c>
      <c r="AY144" s="78">
        <v>1240.3411694294291</v>
      </c>
      <c r="AZ144" s="78">
        <v>1256.114100122682</v>
      </c>
      <c r="BA144" s="78">
        <v>1273.647152483413</v>
      </c>
      <c r="BB144" s="78">
        <v>1357.7868889841911</v>
      </c>
      <c r="BC144" s="84">
        <v>1223.1237395867231</v>
      </c>
      <c r="BD144" s="78">
        <v>1270.9782973960375</v>
      </c>
      <c r="BE144" s="78">
        <v>1246.9423480472944</v>
      </c>
      <c r="BF144" s="78">
        <v>1232.9299951504295</v>
      </c>
      <c r="BG144" s="78">
        <v>1244.7111208454701</v>
      </c>
      <c r="BH144" s="78">
        <v>1260.9180038686388</v>
      </c>
      <c r="BI144" s="78">
        <v>1237.8416051017246</v>
      </c>
      <c r="BJ144" s="78">
        <v>1234.1619833313136</v>
      </c>
      <c r="BK144" s="78">
        <v>1193.3119788319257</v>
      </c>
      <c r="BL144" s="78">
        <v>1273.3614070094804</v>
      </c>
      <c r="BM144" s="78">
        <v>1251.2300167177291</v>
      </c>
      <c r="BN144" s="78">
        <v>1265.0085764451653</v>
      </c>
      <c r="BO144" s="78">
        <v>1206.0199761295271</v>
      </c>
      <c r="BP144" s="84">
        <v>1238.0335607629145</v>
      </c>
      <c r="BQ144" s="78">
        <v>1189.3999221062261</v>
      </c>
      <c r="BR144" s="78">
        <v>1143.1404154984273</v>
      </c>
      <c r="BS144" s="78">
        <v>1126.2133484373842</v>
      </c>
      <c r="BT144" s="78">
        <v>1278.2392620363935</v>
      </c>
      <c r="BU144" s="78"/>
      <c r="BV144" s="78"/>
      <c r="BW144" s="78"/>
      <c r="BX144" s="78"/>
      <c r="BY144" s="78"/>
      <c r="BZ144" s="78"/>
      <c r="CA144" s="78"/>
      <c r="CB144" s="78"/>
      <c r="CC144" s="84">
        <v>1141.4236356808346</v>
      </c>
      <c r="CD144" s="78">
        <v>21465.657881867475</v>
      </c>
      <c r="CE144" s="78">
        <v>21452.450954545453</v>
      </c>
      <c r="CF144" s="78">
        <v>22381.843084308446</v>
      </c>
      <c r="CG144" s="78">
        <v>22418.984252392336</v>
      </c>
      <c r="CH144" s="78">
        <v>24247.44597402597</v>
      </c>
      <c r="CI144" s="78">
        <v>23118.400952380955</v>
      </c>
      <c r="CJ144" s="78">
        <v>23390.034393939397</v>
      </c>
      <c r="CK144" s="78">
        <v>23973.138883433618</v>
      </c>
      <c r="CL144" s="78">
        <v>24176.698172772496</v>
      </c>
      <c r="CM144" s="78">
        <v>24598.295273362994</v>
      </c>
      <c r="CN144" s="78">
        <v>24783.769907407412</v>
      </c>
      <c r="CO144" s="78">
        <v>24825.723506493505</v>
      </c>
      <c r="CP144" s="97">
        <v>23061.128116039436</v>
      </c>
      <c r="CQ144" s="78">
        <v>25862.348937062932</v>
      </c>
      <c r="CR144" s="78">
        <v>25129.887448907677</v>
      </c>
      <c r="CS144" s="78">
        <v>25341.010729959671</v>
      </c>
      <c r="CT144" s="78">
        <v>25147.349790685959</v>
      </c>
      <c r="CU144" s="78">
        <v>25776.223757281561</v>
      </c>
      <c r="CV144" s="78">
        <v>26907.289228741043</v>
      </c>
      <c r="CW144" s="78">
        <v>26496.412830721019</v>
      </c>
      <c r="CX144" s="78">
        <v>26353.716282051268</v>
      </c>
      <c r="CY144" s="78">
        <v>26289.233333333334</v>
      </c>
      <c r="CZ144" s="78">
        <v>26174.066343434344</v>
      </c>
      <c r="DA144" s="78">
        <v>26931.270430622004</v>
      </c>
      <c r="DB144" s="78">
        <v>26926.025935517966</v>
      </c>
      <c r="DC144" s="97">
        <v>25770.07975480899</v>
      </c>
      <c r="DD144" s="78">
        <v>26929.877905138339</v>
      </c>
      <c r="DE144" s="78">
        <v>26519.323053977274</v>
      </c>
      <c r="DF144" s="78">
        <v>26378.532509967641</v>
      </c>
      <c r="DG144" s="78">
        <v>26752.065393958364</v>
      </c>
      <c r="DH144" s="78"/>
      <c r="DI144" s="78"/>
      <c r="DJ144" s="78"/>
      <c r="DK144" s="78"/>
      <c r="DL144" s="78"/>
      <c r="DM144" s="78"/>
      <c r="DN144" s="78"/>
      <c r="DO144" s="78"/>
      <c r="DP144" s="97">
        <v>26450.812566521479</v>
      </c>
    </row>
    <row r="145" spans="1:120" s="22" customFormat="1" hidden="1" outlineLevel="1" x14ac:dyDescent="0.35">
      <c r="B145" s="25" t="s">
        <v>125</v>
      </c>
      <c r="C145" s="75" t="s">
        <v>72</v>
      </c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80"/>
      <c r="Q145" s="77"/>
      <c r="R145" s="77"/>
      <c r="S145" s="77"/>
      <c r="T145" s="77"/>
      <c r="U145" s="77"/>
      <c r="V145" s="77"/>
      <c r="W145" s="77"/>
      <c r="X145" s="77"/>
      <c r="Y145" s="77">
        <v>3300</v>
      </c>
      <c r="Z145" s="77"/>
      <c r="AA145" s="77"/>
      <c r="AB145" s="77"/>
      <c r="AC145" s="80">
        <v>3300</v>
      </c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80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83"/>
      <c r="BD145" s="77"/>
      <c r="BE145" s="77"/>
      <c r="BF145" s="77"/>
      <c r="BG145" s="77"/>
      <c r="BH145" s="77"/>
      <c r="BI145" s="77"/>
      <c r="BJ145" s="77"/>
      <c r="BK145" s="77"/>
      <c r="BL145" s="77">
        <v>1164.8011622642052</v>
      </c>
      <c r="BM145" s="77"/>
      <c r="BN145" s="77"/>
      <c r="BO145" s="77"/>
      <c r="BP145" s="83">
        <v>1164.8011622642052</v>
      </c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83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96"/>
      <c r="CQ145" s="77"/>
      <c r="CR145" s="77"/>
      <c r="CS145" s="77"/>
      <c r="CT145" s="77"/>
      <c r="CU145" s="77"/>
      <c r="CV145" s="77"/>
      <c r="CW145" s="77"/>
      <c r="CX145" s="77"/>
      <c r="CY145" s="77">
        <v>26973.751515151514</v>
      </c>
      <c r="CZ145" s="77"/>
      <c r="DA145" s="77"/>
      <c r="DB145" s="77"/>
      <c r="DC145" s="96">
        <v>26973.751515151514</v>
      </c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96"/>
    </row>
    <row r="146" spans="1:120" s="22" customFormat="1" hidden="1" outlineLevel="1" x14ac:dyDescent="0.35">
      <c r="B146" s="25" t="s">
        <v>125</v>
      </c>
      <c r="C146" s="75" t="s">
        <v>126</v>
      </c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80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>
        <v>4400</v>
      </c>
      <c r="AB146" s="77"/>
      <c r="AC146" s="80">
        <v>4400</v>
      </c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80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83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>
        <v>1161.8841303603515</v>
      </c>
      <c r="BO146" s="77"/>
      <c r="BP146" s="83">
        <v>1161.8841303603515</v>
      </c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83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96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>
        <v>26609.621363636365</v>
      </c>
      <c r="DB146" s="77"/>
      <c r="DC146" s="96">
        <v>26609.621363636365</v>
      </c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96"/>
    </row>
    <row r="147" spans="1:120" s="22" customFormat="1" hidden="1" outlineLevel="1" x14ac:dyDescent="0.35">
      <c r="B147" s="25" t="s">
        <v>125</v>
      </c>
      <c r="C147" s="75" t="s">
        <v>127</v>
      </c>
      <c r="D147" s="77"/>
      <c r="E147" s="77"/>
      <c r="F147" s="77"/>
      <c r="G147" s="77"/>
      <c r="H147" s="77"/>
      <c r="I147" s="77"/>
      <c r="J147" s="77">
        <v>500</v>
      </c>
      <c r="K147" s="77"/>
      <c r="L147" s="77"/>
      <c r="M147" s="77"/>
      <c r="N147" s="77"/>
      <c r="O147" s="77"/>
      <c r="P147" s="80">
        <v>500</v>
      </c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80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80"/>
      <c r="AQ147" s="77"/>
      <c r="AR147" s="77"/>
      <c r="AS147" s="77"/>
      <c r="AT147" s="77"/>
      <c r="AU147" s="77"/>
      <c r="AV147" s="77"/>
      <c r="AW147" s="77">
        <v>1269.269383697326</v>
      </c>
      <c r="AX147" s="77"/>
      <c r="AY147" s="77"/>
      <c r="AZ147" s="77"/>
      <c r="BA147" s="77"/>
      <c r="BB147" s="77"/>
      <c r="BC147" s="83">
        <v>1269.269383697326</v>
      </c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83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83"/>
      <c r="CD147" s="77"/>
      <c r="CE147" s="77"/>
      <c r="CF147" s="77"/>
      <c r="CG147" s="77"/>
      <c r="CH147" s="77"/>
      <c r="CI147" s="77"/>
      <c r="CJ147" s="77">
        <v>36651.175999999999</v>
      </c>
      <c r="CK147" s="77"/>
      <c r="CL147" s="77"/>
      <c r="CM147" s="77"/>
      <c r="CN147" s="77"/>
      <c r="CO147" s="77"/>
      <c r="CP147" s="96">
        <v>36651.175999999999</v>
      </c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96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96"/>
    </row>
    <row r="148" spans="1:120" hidden="1" collapsed="1" x14ac:dyDescent="0.35">
      <c r="B148" s="106" t="s">
        <v>128</v>
      </c>
      <c r="C148" s="76"/>
      <c r="D148" s="78"/>
      <c r="E148" s="78"/>
      <c r="F148" s="78"/>
      <c r="G148" s="78"/>
      <c r="H148" s="78"/>
      <c r="I148" s="78"/>
      <c r="J148" s="78">
        <v>500</v>
      </c>
      <c r="K148" s="78"/>
      <c r="L148" s="78"/>
      <c r="M148" s="78"/>
      <c r="N148" s="78"/>
      <c r="O148" s="78"/>
      <c r="P148" s="81">
        <v>500</v>
      </c>
      <c r="Q148" s="78"/>
      <c r="R148" s="78"/>
      <c r="S148" s="78"/>
      <c r="T148" s="78"/>
      <c r="U148" s="78"/>
      <c r="V148" s="78"/>
      <c r="W148" s="78"/>
      <c r="X148" s="78"/>
      <c r="Y148" s="78">
        <v>3300</v>
      </c>
      <c r="Z148" s="78"/>
      <c r="AA148" s="78">
        <v>4400</v>
      </c>
      <c r="AB148" s="78"/>
      <c r="AC148" s="81">
        <v>7700</v>
      </c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81"/>
      <c r="AQ148" s="78"/>
      <c r="AR148" s="78"/>
      <c r="AS148" s="78"/>
      <c r="AT148" s="78"/>
      <c r="AU148" s="78"/>
      <c r="AV148" s="78"/>
      <c r="AW148" s="78">
        <v>1269.269383697326</v>
      </c>
      <c r="AX148" s="78"/>
      <c r="AY148" s="78"/>
      <c r="AZ148" s="78"/>
      <c r="BA148" s="78"/>
      <c r="BB148" s="78"/>
      <c r="BC148" s="84">
        <v>1269.269383697326</v>
      </c>
      <c r="BD148" s="78"/>
      <c r="BE148" s="78"/>
      <c r="BF148" s="78"/>
      <c r="BG148" s="78"/>
      <c r="BH148" s="78"/>
      <c r="BI148" s="78"/>
      <c r="BJ148" s="78"/>
      <c r="BK148" s="78"/>
      <c r="BL148" s="78">
        <v>1164.8011622642052</v>
      </c>
      <c r="BM148" s="78"/>
      <c r="BN148" s="78">
        <v>1161.8841303603515</v>
      </c>
      <c r="BO148" s="78"/>
      <c r="BP148" s="84">
        <v>1163.1342868905745</v>
      </c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84"/>
      <c r="CD148" s="78"/>
      <c r="CE148" s="78"/>
      <c r="CF148" s="78"/>
      <c r="CG148" s="78"/>
      <c r="CH148" s="78"/>
      <c r="CI148" s="78"/>
      <c r="CJ148" s="78">
        <v>36651.175999999999</v>
      </c>
      <c r="CK148" s="78"/>
      <c r="CL148" s="78"/>
      <c r="CM148" s="78"/>
      <c r="CN148" s="78"/>
      <c r="CO148" s="78"/>
      <c r="CP148" s="97">
        <v>36651.175999999999</v>
      </c>
      <c r="CQ148" s="78"/>
      <c r="CR148" s="78"/>
      <c r="CS148" s="78"/>
      <c r="CT148" s="78"/>
      <c r="CU148" s="78"/>
      <c r="CV148" s="78"/>
      <c r="CW148" s="78"/>
      <c r="CX148" s="78"/>
      <c r="CY148" s="78">
        <v>26973.751515151514</v>
      </c>
      <c r="CZ148" s="78"/>
      <c r="DA148" s="78">
        <v>26609.621363636365</v>
      </c>
      <c r="DB148" s="78"/>
      <c r="DC148" s="97">
        <v>26765.677142857145</v>
      </c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97"/>
    </row>
    <row r="149" spans="1:120" s="22" customFormat="1" hidden="1" outlineLevel="1" x14ac:dyDescent="0.35">
      <c r="A149" s="22" t="s">
        <v>365</v>
      </c>
      <c r="B149" s="25" t="s">
        <v>129</v>
      </c>
      <c r="C149" s="75" t="s">
        <v>130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80"/>
      <c r="Q149" s="77"/>
      <c r="R149" s="77"/>
      <c r="S149" s="77"/>
      <c r="T149" s="77"/>
      <c r="U149" s="77"/>
      <c r="V149" s="77">
        <v>22000</v>
      </c>
      <c r="W149" s="77"/>
      <c r="X149" s="77">
        <v>44000</v>
      </c>
      <c r="Y149" s="77"/>
      <c r="Z149" s="77"/>
      <c r="AA149" s="77"/>
      <c r="AB149" s="77"/>
      <c r="AC149" s="80">
        <v>66000</v>
      </c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80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83"/>
      <c r="BD149" s="77"/>
      <c r="BE149" s="77"/>
      <c r="BF149" s="77"/>
      <c r="BG149" s="77"/>
      <c r="BH149" s="77"/>
      <c r="BI149" s="77">
        <v>1127.1582992807919</v>
      </c>
      <c r="BJ149" s="77"/>
      <c r="BK149" s="77">
        <v>1055.6829788320722</v>
      </c>
      <c r="BL149" s="77"/>
      <c r="BM149" s="77"/>
      <c r="BN149" s="77"/>
      <c r="BO149" s="77"/>
      <c r="BP149" s="83">
        <v>1079.5080856483121</v>
      </c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83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96"/>
      <c r="CQ149" s="77"/>
      <c r="CR149" s="77"/>
      <c r="CS149" s="77"/>
      <c r="CT149" s="77"/>
      <c r="CU149" s="77"/>
      <c r="CV149" s="77">
        <v>24892.503037878789</v>
      </c>
      <c r="CW149" s="77"/>
      <c r="CX149" s="77">
        <v>25694.032378787881</v>
      </c>
      <c r="CY149" s="77"/>
      <c r="CZ149" s="77"/>
      <c r="DA149" s="77"/>
      <c r="DB149" s="77"/>
      <c r="DC149" s="96">
        <v>25426.855931818183</v>
      </c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96"/>
    </row>
    <row r="150" spans="1:120" s="22" customFormat="1" hidden="1" outlineLevel="1" x14ac:dyDescent="0.35">
      <c r="A150" s="22" t="s">
        <v>365</v>
      </c>
      <c r="B150" s="25" t="s">
        <v>129</v>
      </c>
      <c r="C150" s="75" t="s">
        <v>58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80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80"/>
      <c r="AD150" s="77">
        <v>2200</v>
      </c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80">
        <v>2200</v>
      </c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83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83"/>
      <c r="BQ150" s="77">
        <v>1067.3497593257371</v>
      </c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83">
        <v>1067.3497593257371</v>
      </c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96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96"/>
      <c r="DD150" s="77">
        <v>26954.321097461092</v>
      </c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96">
        <v>26954.321097461092</v>
      </c>
    </row>
    <row r="151" spans="1:120" s="22" customFormat="1" hidden="1" outlineLevel="1" x14ac:dyDescent="0.35">
      <c r="A151" s="22" t="s">
        <v>365</v>
      </c>
      <c r="B151" s="25" t="s">
        <v>129</v>
      </c>
      <c r="C151" s="75" t="s">
        <v>131</v>
      </c>
      <c r="D151" s="77"/>
      <c r="E151" s="77"/>
      <c r="F151" s="77"/>
      <c r="G151" s="77"/>
      <c r="H151" s="77"/>
      <c r="I151" s="77"/>
      <c r="J151" s="77"/>
      <c r="K151" s="77">
        <v>5500</v>
      </c>
      <c r="L151" s="77"/>
      <c r="M151" s="77"/>
      <c r="N151" s="77"/>
      <c r="O151" s="77"/>
      <c r="P151" s="80">
        <v>5500</v>
      </c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80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80"/>
      <c r="AQ151" s="77"/>
      <c r="AR151" s="77"/>
      <c r="AS151" s="77"/>
      <c r="AT151" s="77"/>
      <c r="AU151" s="77"/>
      <c r="AV151" s="77"/>
      <c r="AW151" s="77"/>
      <c r="AX151" s="77">
        <v>1220.8141881198053</v>
      </c>
      <c r="AY151" s="77"/>
      <c r="AZ151" s="77"/>
      <c r="BA151" s="77"/>
      <c r="BB151" s="77"/>
      <c r="BC151" s="83">
        <v>1220.8141881198053</v>
      </c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83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83"/>
      <c r="CD151" s="77"/>
      <c r="CE151" s="77"/>
      <c r="CF151" s="77"/>
      <c r="CG151" s="77"/>
      <c r="CH151" s="77"/>
      <c r="CI151" s="77"/>
      <c r="CJ151" s="77"/>
      <c r="CK151" s="77">
        <v>32734.511474014336</v>
      </c>
      <c r="CL151" s="77"/>
      <c r="CM151" s="77"/>
      <c r="CN151" s="77"/>
      <c r="CO151" s="77"/>
      <c r="CP151" s="96">
        <v>32734.511474014336</v>
      </c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96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96"/>
    </row>
    <row r="152" spans="1:120" s="22" customFormat="1" hidden="1" outlineLevel="1" x14ac:dyDescent="0.35">
      <c r="A152" s="22" t="s">
        <v>365</v>
      </c>
      <c r="B152" s="25" t="s">
        <v>129</v>
      </c>
      <c r="C152" s="75" t="s">
        <v>132</v>
      </c>
      <c r="D152" s="77"/>
      <c r="E152" s="77"/>
      <c r="F152" s="77"/>
      <c r="G152" s="77"/>
      <c r="H152" s="77"/>
      <c r="I152" s="77">
        <v>110000</v>
      </c>
      <c r="J152" s="77"/>
      <c r="K152" s="77"/>
      <c r="L152" s="77">
        <v>88000</v>
      </c>
      <c r="M152" s="77">
        <v>132000</v>
      </c>
      <c r="N152" s="77"/>
      <c r="O152" s="77"/>
      <c r="P152" s="80">
        <v>330000</v>
      </c>
      <c r="Q152" s="77"/>
      <c r="R152" s="77"/>
      <c r="S152" s="77"/>
      <c r="T152" s="77"/>
      <c r="U152" s="77"/>
      <c r="V152" s="77"/>
      <c r="W152" s="77">
        <v>330850</v>
      </c>
      <c r="X152" s="77"/>
      <c r="Y152" s="77"/>
      <c r="Z152" s="77">
        <v>220000</v>
      </c>
      <c r="AA152" s="77"/>
      <c r="AB152" s="77"/>
      <c r="AC152" s="80">
        <v>550850</v>
      </c>
      <c r="AD152" s="77"/>
      <c r="AE152" s="77"/>
      <c r="AF152" s="77">
        <v>440150</v>
      </c>
      <c r="AG152" s="77">
        <v>773300</v>
      </c>
      <c r="AH152" s="77"/>
      <c r="AI152" s="77"/>
      <c r="AJ152" s="77"/>
      <c r="AK152" s="77"/>
      <c r="AL152" s="77"/>
      <c r="AM152" s="77"/>
      <c r="AN152" s="77"/>
      <c r="AO152" s="77"/>
      <c r="AP152" s="80">
        <v>1213450</v>
      </c>
      <c r="AQ152" s="77"/>
      <c r="AR152" s="77"/>
      <c r="AS152" s="77"/>
      <c r="AT152" s="77"/>
      <c r="AU152" s="77"/>
      <c r="AV152" s="77">
        <v>1061.9428643776796</v>
      </c>
      <c r="AW152" s="77"/>
      <c r="AX152" s="77"/>
      <c r="AY152" s="77">
        <v>1062.4232977965062</v>
      </c>
      <c r="AZ152" s="77">
        <v>1049.8651962148685</v>
      </c>
      <c r="BA152" s="77"/>
      <c r="BB152" s="77"/>
      <c r="BC152" s="83">
        <v>1057.239912690909</v>
      </c>
      <c r="BD152" s="77"/>
      <c r="BE152" s="77"/>
      <c r="BF152" s="77"/>
      <c r="BG152" s="77"/>
      <c r="BH152" s="77"/>
      <c r="BI152" s="77"/>
      <c r="BJ152" s="77">
        <v>1080.7234214134789</v>
      </c>
      <c r="BK152" s="77"/>
      <c r="BL152" s="77"/>
      <c r="BM152" s="77">
        <v>1061.2288938731522</v>
      </c>
      <c r="BN152" s="77"/>
      <c r="BO152" s="77"/>
      <c r="BP152" s="83">
        <v>1072.9376429640431</v>
      </c>
      <c r="BQ152" s="77"/>
      <c r="BR152" s="77"/>
      <c r="BS152" s="77">
        <v>1081.1055662980348</v>
      </c>
      <c r="BT152" s="77">
        <v>1114.7024827926709</v>
      </c>
      <c r="BU152" s="77"/>
      <c r="BV152" s="77"/>
      <c r="BW152" s="77"/>
      <c r="BX152" s="77"/>
      <c r="BY152" s="77"/>
      <c r="BZ152" s="77"/>
      <c r="CA152" s="77"/>
      <c r="CB152" s="77"/>
      <c r="CC152" s="83">
        <v>1102.5160039141726</v>
      </c>
      <c r="CD152" s="77"/>
      <c r="CE152" s="77"/>
      <c r="CF152" s="77"/>
      <c r="CG152" s="77"/>
      <c r="CH152" s="77"/>
      <c r="CI152" s="77">
        <v>36010.117172727274</v>
      </c>
      <c r="CJ152" s="77"/>
      <c r="CK152" s="77"/>
      <c r="CL152" s="77">
        <v>30956.860691176469</v>
      </c>
      <c r="CM152" s="77">
        <v>25958.588552142683</v>
      </c>
      <c r="CN152" s="77"/>
      <c r="CO152" s="77"/>
      <c r="CP152" s="96">
        <v>30641.970662746549</v>
      </c>
      <c r="CQ152" s="77"/>
      <c r="CR152" s="77"/>
      <c r="CS152" s="77"/>
      <c r="CT152" s="77"/>
      <c r="CU152" s="77"/>
      <c r="CV152" s="77"/>
      <c r="CW152" s="77">
        <v>25198.362390289443</v>
      </c>
      <c r="CX152" s="77"/>
      <c r="CY152" s="77"/>
      <c r="CZ152" s="77">
        <v>25788.527606060605</v>
      </c>
      <c r="DA152" s="77"/>
      <c r="DB152" s="77"/>
      <c r="DC152" s="96">
        <v>25434.064210149048</v>
      </c>
      <c r="DD152" s="77"/>
      <c r="DE152" s="77"/>
      <c r="DF152" s="77">
        <v>27211.708151177776</v>
      </c>
      <c r="DG152" s="77">
        <v>27211.708152742583</v>
      </c>
      <c r="DH152" s="77"/>
      <c r="DI152" s="77"/>
      <c r="DJ152" s="77"/>
      <c r="DK152" s="77"/>
      <c r="DL152" s="77"/>
      <c r="DM152" s="77"/>
      <c r="DN152" s="77"/>
      <c r="DO152" s="77"/>
      <c r="DP152" s="96">
        <v>27211.70815217499</v>
      </c>
    </row>
    <row r="153" spans="1:120" s="22" customFormat="1" hidden="1" outlineLevel="1" x14ac:dyDescent="0.35">
      <c r="A153" s="22" t="s">
        <v>365</v>
      </c>
      <c r="B153" s="25" t="s">
        <v>129</v>
      </c>
      <c r="C153" s="75" t="s">
        <v>104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80"/>
      <c r="Q153" s="77"/>
      <c r="R153" s="77">
        <v>22000</v>
      </c>
      <c r="S153" s="77"/>
      <c r="T153" s="77"/>
      <c r="U153" s="77"/>
      <c r="V153" s="77"/>
      <c r="W153" s="77">
        <v>44000</v>
      </c>
      <c r="X153" s="77"/>
      <c r="Y153" s="77"/>
      <c r="Z153" s="77"/>
      <c r="AA153" s="77"/>
      <c r="AB153" s="77"/>
      <c r="AC153" s="80">
        <v>66000</v>
      </c>
      <c r="AD153" s="77"/>
      <c r="AE153" s="77"/>
      <c r="AF153" s="77"/>
      <c r="AG153" s="77">
        <v>22000</v>
      </c>
      <c r="AH153" s="77"/>
      <c r="AI153" s="77"/>
      <c r="AJ153" s="77"/>
      <c r="AK153" s="77"/>
      <c r="AL153" s="77"/>
      <c r="AM153" s="77"/>
      <c r="AN153" s="77"/>
      <c r="AO153" s="77"/>
      <c r="AP153" s="80">
        <v>22000</v>
      </c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83"/>
      <c r="BD153" s="77"/>
      <c r="BE153" s="77">
        <v>1069.4314308078513</v>
      </c>
      <c r="BF153" s="77"/>
      <c r="BG153" s="77"/>
      <c r="BH153" s="77"/>
      <c r="BI153" s="77"/>
      <c r="BJ153" s="77">
        <v>1123.6051270557193</v>
      </c>
      <c r="BK153" s="77"/>
      <c r="BL153" s="77"/>
      <c r="BM153" s="77"/>
      <c r="BN153" s="77"/>
      <c r="BO153" s="77"/>
      <c r="BP153" s="83">
        <v>1105.5472283064298</v>
      </c>
      <c r="BQ153" s="77"/>
      <c r="BR153" s="77"/>
      <c r="BS153" s="77"/>
      <c r="BT153" s="77">
        <v>1210</v>
      </c>
      <c r="BU153" s="77"/>
      <c r="BV153" s="77"/>
      <c r="BW153" s="77"/>
      <c r="BX153" s="77"/>
      <c r="BY153" s="77"/>
      <c r="BZ153" s="77"/>
      <c r="CA153" s="77"/>
      <c r="CB153" s="77"/>
      <c r="CC153" s="83">
        <v>1210</v>
      </c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96"/>
      <c r="CQ153" s="77"/>
      <c r="CR153" s="77">
        <v>26281.539312638582</v>
      </c>
      <c r="CS153" s="77"/>
      <c r="CT153" s="77"/>
      <c r="CU153" s="77"/>
      <c r="CV153" s="77"/>
      <c r="CW153" s="77">
        <v>25198.362390289454</v>
      </c>
      <c r="CX153" s="77"/>
      <c r="CY153" s="77"/>
      <c r="CZ153" s="77"/>
      <c r="DA153" s="77"/>
      <c r="DB153" s="77"/>
      <c r="DC153" s="96">
        <v>25559.421364405825</v>
      </c>
      <c r="DD153" s="77"/>
      <c r="DE153" s="77"/>
      <c r="DF153" s="77"/>
      <c r="DG153" s="77">
        <v>27211.708152742587</v>
      </c>
      <c r="DH153" s="77"/>
      <c r="DI153" s="77"/>
      <c r="DJ153" s="77"/>
      <c r="DK153" s="77"/>
      <c r="DL153" s="77"/>
      <c r="DM153" s="77"/>
      <c r="DN153" s="77"/>
      <c r="DO153" s="77"/>
      <c r="DP153" s="96">
        <v>27211.708152742587</v>
      </c>
    </row>
    <row r="154" spans="1:120" s="22" customFormat="1" hidden="1" outlineLevel="1" x14ac:dyDescent="0.35">
      <c r="A154" s="22" t="s">
        <v>365</v>
      </c>
      <c r="B154" s="25" t="s">
        <v>129</v>
      </c>
      <c r="C154" s="75" t="s">
        <v>126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80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80"/>
      <c r="AD154" s="77"/>
      <c r="AE154" s="77">
        <v>5500</v>
      </c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80">
        <v>5500</v>
      </c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83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83"/>
      <c r="BQ154" s="77"/>
      <c r="BR154" s="77">
        <v>1110.7002719727043</v>
      </c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83">
        <v>1110.7002719727043</v>
      </c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96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96"/>
      <c r="DD154" s="77"/>
      <c r="DE154" s="77">
        <v>27006.423636363637</v>
      </c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96">
        <v>27006.423636363637</v>
      </c>
    </row>
    <row r="155" spans="1:120" s="22" customFormat="1" hidden="1" outlineLevel="1" x14ac:dyDescent="0.35">
      <c r="A155" s="22" t="s">
        <v>365</v>
      </c>
      <c r="B155" s="25" t="s">
        <v>129</v>
      </c>
      <c r="C155" s="75" t="s">
        <v>133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80"/>
      <c r="Q155" s="77"/>
      <c r="R155" s="77"/>
      <c r="S155" s="77"/>
      <c r="T155" s="77">
        <v>110000</v>
      </c>
      <c r="U155" s="77"/>
      <c r="V155" s="77"/>
      <c r="W155" s="77"/>
      <c r="X155" s="77"/>
      <c r="Y155" s="77">
        <v>66000</v>
      </c>
      <c r="Z155" s="77"/>
      <c r="AA155" s="77"/>
      <c r="AB155" s="77"/>
      <c r="AC155" s="80">
        <v>176000</v>
      </c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80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83"/>
      <c r="BD155" s="77"/>
      <c r="BE155" s="77"/>
      <c r="BF155" s="77"/>
      <c r="BG155" s="77">
        <v>1128.4678981245181</v>
      </c>
      <c r="BH155" s="77"/>
      <c r="BI155" s="77"/>
      <c r="BJ155" s="77"/>
      <c r="BK155" s="77"/>
      <c r="BL155" s="77">
        <v>1078.6888367076006</v>
      </c>
      <c r="BM155" s="77"/>
      <c r="BN155" s="77"/>
      <c r="BO155" s="77"/>
      <c r="BP155" s="83">
        <v>1109.8007500931742</v>
      </c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83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96"/>
      <c r="CQ155" s="77"/>
      <c r="CR155" s="77"/>
      <c r="CS155" s="77"/>
      <c r="CT155" s="77">
        <v>26255.244798701297</v>
      </c>
      <c r="CU155" s="77"/>
      <c r="CV155" s="77"/>
      <c r="CW155" s="77"/>
      <c r="CX155" s="77"/>
      <c r="CY155" s="77">
        <v>25771.567436661691</v>
      </c>
      <c r="CZ155" s="77"/>
      <c r="DA155" s="77"/>
      <c r="DB155" s="77"/>
      <c r="DC155" s="96">
        <v>26073.865787936444</v>
      </c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96"/>
    </row>
    <row r="156" spans="1:120" s="22" customFormat="1" hidden="1" outlineLevel="1" x14ac:dyDescent="0.35">
      <c r="A156" s="22" t="s">
        <v>365</v>
      </c>
      <c r="B156" s="25" t="s">
        <v>129</v>
      </c>
      <c r="C156" s="75" t="s">
        <v>107</v>
      </c>
      <c r="D156" s="77"/>
      <c r="E156" s="77"/>
      <c r="F156" s="77"/>
      <c r="G156" s="77">
        <v>1100</v>
      </c>
      <c r="H156" s="77"/>
      <c r="I156" s="77"/>
      <c r="J156" s="77">
        <v>1100</v>
      </c>
      <c r="K156" s="77"/>
      <c r="L156" s="77"/>
      <c r="M156" s="77"/>
      <c r="N156" s="77"/>
      <c r="O156" s="77"/>
      <c r="P156" s="80">
        <v>2200</v>
      </c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80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80"/>
      <c r="AQ156" s="77"/>
      <c r="AR156" s="77"/>
      <c r="AS156" s="77"/>
      <c r="AT156" s="77">
        <v>1045.9502890591125</v>
      </c>
      <c r="AU156" s="77"/>
      <c r="AV156" s="77"/>
      <c r="AW156" s="77">
        <v>1046.6680149400099</v>
      </c>
      <c r="AX156" s="77"/>
      <c r="AY156" s="77"/>
      <c r="AZ156" s="77"/>
      <c r="BA156" s="77"/>
      <c r="BB156" s="77"/>
      <c r="BC156" s="83">
        <v>1046.309151999561</v>
      </c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83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83"/>
      <c r="CD156" s="77"/>
      <c r="CE156" s="77"/>
      <c r="CF156" s="77"/>
      <c r="CG156" s="77">
        <v>22894.547581047384</v>
      </c>
      <c r="CH156" s="77"/>
      <c r="CI156" s="77"/>
      <c r="CJ156" s="77">
        <v>34637.483170042404</v>
      </c>
      <c r="CK156" s="77"/>
      <c r="CL156" s="77"/>
      <c r="CM156" s="77"/>
      <c r="CN156" s="77"/>
      <c r="CO156" s="77"/>
      <c r="CP156" s="96">
        <v>28766.015375544892</v>
      </c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96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96"/>
    </row>
    <row r="157" spans="1:120" s="22" customFormat="1" hidden="1" outlineLevel="1" x14ac:dyDescent="0.35">
      <c r="A157" s="22" t="s">
        <v>365</v>
      </c>
      <c r="B157" s="25" t="s">
        <v>129</v>
      </c>
      <c r="C157" s="75" t="s">
        <v>134</v>
      </c>
      <c r="D157" s="77">
        <v>440000</v>
      </c>
      <c r="E157" s="77"/>
      <c r="F157" s="77">
        <v>176000</v>
      </c>
      <c r="G157" s="77">
        <v>440000</v>
      </c>
      <c r="H157" s="77">
        <v>330000</v>
      </c>
      <c r="I157" s="77"/>
      <c r="J157" s="77"/>
      <c r="K157" s="77"/>
      <c r="L157" s="77"/>
      <c r="M157" s="77"/>
      <c r="N157" s="77"/>
      <c r="O157" s="77"/>
      <c r="P157" s="80">
        <v>1386000</v>
      </c>
      <c r="Q157" s="77"/>
      <c r="R157" s="77"/>
      <c r="S157" s="77">
        <v>220000</v>
      </c>
      <c r="T157" s="77"/>
      <c r="U157" s="77"/>
      <c r="V157" s="77"/>
      <c r="W157" s="77"/>
      <c r="X157" s="77"/>
      <c r="Y157" s="77"/>
      <c r="Z157" s="77"/>
      <c r="AA157" s="77"/>
      <c r="AB157" s="77"/>
      <c r="AC157" s="80">
        <v>220000</v>
      </c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80"/>
      <c r="AQ157" s="77">
        <v>1100.8707469830874</v>
      </c>
      <c r="AR157" s="77"/>
      <c r="AS157" s="77">
        <v>1078.9487418926278</v>
      </c>
      <c r="AT157" s="77">
        <v>1054.6537483282123</v>
      </c>
      <c r="AU157" s="77">
        <v>1049.5867053961636</v>
      </c>
      <c r="AV157" s="77"/>
      <c r="AW157" s="77"/>
      <c r="AX157" s="77"/>
      <c r="AY157" s="77"/>
      <c r="AZ157" s="77"/>
      <c r="BA157" s="77"/>
      <c r="BB157" s="77"/>
      <c r="BC157" s="83">
        <v>1071.2044511477686</v>
      </c>
      <c r="BD157" s="77"/>
      <c r="BE157" s="77"/>
      <c r="BF157" s="77">
        <v>1108.2779722202383</v>
      </c>
      <c r="BG157" s="77"/>
      <c r="BH157" s="77"/>
      <c r="BI157" s="77"/>
      <c r="BJ157" s="77"/>
      <c r="BK157" s="77"/>
      <c r="BL157" s="77"/>
      <c r="BM157" s="77"/>
      <c r="BN157" s="77"/>
      <c r="BO157" s="77"/>
      <c r="BP157" s="83">
        <v>1108.2779722202383</v>
      </c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83"/>
      <c r="CD157" s="77">
        <v>28600.564904040413</v>
      </c>
      <c r="CE157" s="77"/>
      <c r="CF157" s="77">
        <v>31994.901795454545</v>
      </c>
      <c r="CG157" s="77">
        <v>22894.547581047376</v>
      </c>
      <c r="CH157" s="77">
        <v>35742.484906060592</v>
      </c>
      <c r="CI157" s="77"/>
      <c r="CJ157" s="77"/>
      <c r="CK157" s="77"/>
      <c r="CL157" s="77"/>
      <c r="CM157" s="77"/>
      <c r="CN157" s="77"/>
      <c r="CO157" s="77"/>
      <c r="CP157" s="96">
        <v>28920.614883433373</v>
      </c>
      <c r="CQ157" s="77"/>
      <c r="CR157" s="77"/>
      <c r="CS157" s="77">
        <v>26290.106346320343</v>
      </c>
      <c r="CT157" s="77"/>
      <c r="CU157" s="77"/>
      <c r="CV157" s="77"/>
      <c r="CW157" s="77"/>
      <c r="CX157" s="77"/>
      <c r="CY157" s="77"/>
      <c r="CZ157" s="77"/>
      <c r="DA157" s="77"/>
      <c r="DB157" s="77"/>
      <c r="DC157" s="96">
        <v>26290.106346320343</v>
      </c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96"/>
    </row>
    <row r="158" spans="1:120" s="22" customFormat="1" hidden="1" outlineLevel="1" x14ac:dyDescent="0.35">
      <c r="A158" s="22" t="s">
        <v>365</v>
      </c>
      <c r="B158" s="25" t="s">
        <v>129</v>
      </c>
      <c r="C158" s="75" t="s">
        <v>81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80"/>
      <c r="Q158" s="77"/>
      <c r="R158" s="77"/>
      <c r="S158" s="77"/>
      <c r="T158" s="77"/>
      <c r="U158" s="77"/>
      <c r="V158" s="77"/>
      <c r="W158" s="77"/>
      <c r="X158" s="77"/>
      <c r="Y158" s="77">
        <v>1100</v>
      </c>
      <c r="Z158" s="77"/>
      <c r="AA158" s="77"/>
      <c r="AB158" s="77"/>
      <c r="AC158" s="80">
        <v>1100</v>
      </c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80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83"/>
      <c r="BD158" s="77"/>
      <c r="BE158" s="77"/>
      <c r="BF158" s="77"/>
      <c r="BG158" s="77"/>
      <c r="BH158" s="77"/>
      <c r="BI158" s="77"/>
      <c r="BJ158" s="77"/>
      <c r="BK158" s="77"/>
      <c r="BL158" s="77">
        <v>1118.5202043920788</v>
      </c>
      <c r="BM158" s="77"/>
      <c r="BN158" s="77"/>
      <c r="BO158" s="77"/>
      <c r="BP158" s="83">
        <v>1118.5202043920788</v>
      </c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83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96"/>
      <c r="CQ158" s="77"/>
      <c r="CR158" s="77"/>
      <c r="CS158" s="77"/>
      <c r="CT158" s="77"/>
      <c r="CU158" s="77"/>
      <c r="CV158" s="77"/>
      <c r="CW158" s="77"/>
      <c r="CX158" s="77"/>
      <c r="CY158" s="77">
        <v>25771.567436661699</v>
      </c>
      <c r="CZ158" s="77"/>
      <c r="DA158" s="77"/>
      <c r="DB158" s="77"/>
      <c r="DC158" s="96">
        <v>25771.567436661699</v>
      </c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96"/>
    </row>
    <row r="159" spans="1:120" s="22" customFormat="1" hidden="1" outlineLevel="1" x14ac:dyDescent="0.35">
      <c r="A159" s="22" t="s">
        <v>365</v>
      </c>
      <c r="B159" s="25" t="s">
        <v>129</v>
      </c>
      <c r="C159" s="75" t="s">
        <v>25</v>
      </c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>
        <v>1100</v>
      </c>
      <c r="P159" s="80">
        <v>1100</v>
      </c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80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80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>
        <v>1029.5188339879237</v>
      </c>
      <c r="BC159" s="83">
        <v>1029.5188339879237</v>
      </c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83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83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>
        <v>25663.109090909093</v>
      </c>
      <c r="CP159" s="96">
        <v>25663.109090909093</v>
      </c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96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96"/>
    </row>
    <row r="160" spans="1:120" s="22" customFormat="1" hidden="1" outlineLevel="1" x14ac:dyDescent="0.35">
      <c r="A160" s="22" t="s">
        <v>366</v>
      </c>
      <c r="B160" s="25" t="s">
        <v>129</v>
      </c>
      <c r="C160" s="75" t="s">
        <v>379</v>
      </c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80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80"/>
      <c r="AD160" s="77"/>
      <c r="AE160" s="77"/>
      <c r="AF160" s="77"/>
      <c r="AG160" s="77">
        <v>440000</v>
      </c>
      <c r="AH160" s="77"/>
      <c r="AI160" s="77"/>
      <c r="AJ160" s="77"/>
      <c r="AK160" s="77"/>
      <c r="AL160" s="77"/>
      <c r="AM160" s="77"/>
      <c r="AN160" s="77"/>
      <c r="AO160" s="77"/>
      <c r="AP160" s="80">
        <v>440000</v>
      </c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83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83"/>
      <c r="BQ160" s="77"/>
      <c r="BR160" s="77"/>
      <c r="BS160" s="77"/>
      <c r="BT160" s="77">
        <v>1110</v>
      </c>
      <c r="BU160" s="77"/>
      <c r="BV160" s="77"/>
      <c r="BW160" s="77"/>
      <c r="BX160" s="77"/>
      <c r="BY160" s="77"/>
      <c r="BZ160" s="77"/>
      <c r="CA160" s="77"/>
      <c r="CB160" s="77"/>
      <c r="CC160" s="83">
        <v>1110</v>
      </c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96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96"/>
      <c r="DD160" s="77"/>
      <c r="DE160" s="77"/>
      <c r="DF160" s="77"/>
      <c r="DG160" s="77">
        <v>27211.708152742583</v>
      </c>
      <c r="DH160" s="77"/>
      <c r="DI160" s="77"/>
      <c r="DJ160" s="77"/>
      <c r="DK160" s="77"/>
      <c r="DL160" s="77"/>
      <c r="DM160" s="77"/>
      <c r="DN160" s="77"/>
      <c r="DO160" s="77"/>
      <c r="DP160" s="96">
        <v>27211.708152742583</v>
      </c>
    </row>
    <row r="161" spans="1:120" s="22" customFormat="1" hidden="1" outlineLevel="1" x14ac:dyDescent="0.35">
      <c r="A161" s="22" t="s">
        <v>365</v>
      </c>
      <c r="B161" s="25" t="s">
        <v>129</v>
      </c>
      <c r="C161" s="75" t="s">
        <v>117</v>
      </c>
      <c r="D161" s="77"/>
      <c r="E161" s="77"/>
      <c r="F161" s="77"/>
      <c r="G161" s="77"/>
      <c r="H161" s="77"/>
      <c r="I161" s="77"/>
      <c r="J161" s="77"/>
      <c r="K161" s="77"/>
      <c r="L161" s="77"/>
      <c r="M161" s="77">
        <v>4400</v>
      </c>
      <c r="N161" s="77"/>
      <c r="O161" s="77"/>
      <c r="P161" s="80">
        <v>4400</v>
      </c>
      <c r="Q161" s="77"/>
      <c r="R161" s="77">
        <v>22000</v>
      </c>
      <c r="S161" s="77"/>
      <c r="T161" s="77">
        <v>44000</v>
      </c>
      <c r="U161" s="77"/>
      <c r="V161" s="77">
        <v>22000</v>
      </c>
      <c r="W161" s="77"/>
      <c r="X161" s="77"/>
      <c r="Y161" s="77"/>
      <c r="Z161" s="77">
        <v>44000</v>
      </c>
      <c r="AA161" s="77"/>
      <c r="AB161" s="77"/>
      <c r="AC161" s="80">
        <v>132000</v>
      </c>
      <c r="AD161" s="77"/>
      <c r="AE161" s="77"/>
      <c r="AF161" s="77">
        <v>0</v>
      </c>
      <c r="AG161" s="77"/>
      <c r="AH161" s="77"/>
      <c r="AI161" s="77"/>
      <c r="AJ161" s="77"/>
      <c r="AK161" s="77"/>
      <c r="AL161" s="77"/>
      <c r="AM161" s="77"/>
      <c r="AN161" s="77"/>
      <c r="AO161" s="77"/>
      <c r="AP161" s="80">
        <v>0</v>
      </c>
      <c r="AQ161" s="77"/>
      <c r="AR161" s="77"/>
      <c r="AS161" s="77"/>
      <c r="AT161" s="77"/>
      <c r="AU161" s="77"/>
      <c r="AV161" s="77"/>
      <c r="AW161" s="77"/>
      <c r="AX161" s="77"/>
      <c r="AY161" s="77"/>
      <c r="AZ161" s="77">
        <v>1005.8516768267218</v>
      </c>
      <c r="BA161" s="77"/>
      <c r="BB161" s="77"/>
      <c r="BC161" s="83">
        <v>1005.8516768267218</v>
      </c>
      <c r="BD161" s="77"/>
      <c r="BE161" s="77">
        <v>1069.4314308078513</v>
      </c>
      <c r="BF161" s="77"/>
      <c r="BG161" s="77">
        <v>1127.119365021186</v>
      </c>
      <c r="BH161" s="77"/>
      <c r="BI161" s="77">
        <v>1127.1582992807919</v>
      </c>
      <c r="BJ161" s="77"/>
      <c r="BK161" s="77"/>
      <c r="BL161" s="77"/>
      <c r="BM161" s="77">
        <v>1077.482735478111</v>
      </c>
      <c r="BN161" s="77"/>
      <c r="BO161" s="77"/>
      <c r="BP161" s="83">
        <v>1100.9656551812061</v>
      </c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83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>
        <v>25958.588552142683</v>
      </c>
      <c r="CN161" s="77"/>
      <c r="CO161" s="77"/>
      <c r="CP161" s="96">
        <v>25958.588552142683</v>
      </c>
      <c r="CQ161" s="77"/>
      <c r="CR161" s="77">
        <v>26281.539312638582</v>
      </c>
      <c r="CS161" s="77"/>
      <c r="CT161" s="77">
        <v>26255.244798701297</v>
      </c>
      <c r="CU161" s="77"/>
      <c r="CV161" s="77">
        <v>24892.503037878789</v>
      </c>
      <c r="CW161" s="77"/>
      <c r="CX161" s="77"/>
      <c r="CY161" s="77"/>
      <c r="CZ161" s="77">
        <v>25788.527606060608</v>
      </c>
      <c r="DA161" s="77"/>
      <c r="DB161" s="77"/>
      <c r="DC161" s="96">
        <v>25876.931193340195</v>
      </c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96"/>
    </row>
    <row r="162" spans="1:120" s="22" customFormat="1" hidden="1" outlineLevel="1" x14ac:dyDescent="0.35">
      <c r="A162" s="22" t="s">
        <v>366</v>
      </c>
      <c r="B162" s="25" t="s">
        <v>129</v>
      </c>
      <c r="C162" s="75" t="s">
        <v>135</v>
      </c>
      <c r="D162" s="77"/>
      <c r="E162" s="77"/>
      <c r="F162" s="77"/>
      <c r="G162" s="77"/>
      <c r="H162" s="77"/>
      <c r="I162" s="77"/>
      <c r="J162" s="77">
        <v>211200</v>
      </c>
      <c r="K162" s="77">
        <v>887300</v>
      </c>
      <c r="L162" s="77">
        <v>660000</v>
      </c>
      <c r="M162" s="77">
        <v>660000</v>
      </c>
      <c r="N162" s="77"/>
      <c r="O162" s="77"/>
      <c r="P162" s="80">
        <v>2418500</v>
      </c>
      <c r="Q162" s="77"/>
      <c r="R162" s="77"/>
      <c r="S162" s="77"/>
      <c r="T162" s="77"/>
      <c r="U162" s="77"/>
      <c r="V162" s="77">
        <v>220000</v>
      </c>
      <c r="W162" s="77"/>
      <c r="X162" s="77">
        <v>220000</v>
      </c>
      <c r="Y162" s="77"/>
      <c r="Z162" s="77"/>
      <c r="AA162" s="77">
        <v>220000</v>
      </c>
      <c r="AB162" s="77"/>
      <c r="AC162" s="80">
        <v>660000</v>
      </c>
      <c r="AD162" s="77">
        <v>242000</v>
      </c>
      <c r="AE162" s="77"/>
      <c r="AF162" s="77">
        <v>220000</v>
      </c>
      <c r="AG162" s="77"/>
      <c r="AH162" s="77"/>
      <c r="AI162" s="77"/>
      <c r="AJ162" s="77"/>
      <c r="AK162" s="77"/>
      <c r="AL162" s="77"/>
      <c r="AM162" s="77"/>
      <c r="AN162" s="77"/>
      <c r="AO162" s="77"/>
      <c r="AP162" s="80">
        <v>462000</v>
      </c>
      <c r="AQ162" s="77"/>
      <c r="AR162" s="77"/>
      <c r="AS162" s="77"/>
      <c r="AT162" s="77"/>
      <c r="AU162" s="77"/>
      <c r="AV162" s="77"/>
      <c r="AW162" s="77">
        <v>1040.192991472185</v>
      </c>
      <c r="AX162" s="77">
        <v>1041.3398158237876</v>
      </c>
      <c r="AY162" s="77">
        <v>1041.7175185124133</v>
      </c>
      <c r="AZ162" s="77">
        <v>1061.8938270539732</v>
      </c>
      <c r="BA162" s="77"/>
      <c r="BB162" s="77"/>
      <c r="BC162" s="83">
        <v>1046.9518571235005</v>
      </c>
      <c r="BD162" s="77"/>
      <c r="BE162" s="77"/>
      <c r="BF162" s="77"/>
      <c r="BG162" s="77"/>
      <c r="BH162" s="77"/>
      <c r="BI162" s="77">
        <v>1041.3422083264359</v>
      </c>
      <c r="BJ162" s="77"/>
      <c r="BK162" s="77">
        <v>1001.5742128537597</v>
      </c>
      <c r="BL162" s="77"/>
      <c r="BM162" s="77"/>
      <c r="BN162" s="77">
        <v>881.9578218290053</v>
      </c>
      <c r="BO162" s="77"/>
      <c r="BP162" s="83">
        <v>974.95808100306647</v>
      </c>
      <c r="BQ162" s="77">
        <v>881.26675058126716</v>
      </c>
      <c r="BR162" s="77"/>
      <c r="BS162" s="77">
        <v>1050.7883509741364</v>
      </c>
      <c r="BT162" s="77"/>
      <c r="BU162" s="77"/>
      <c r="BV162" s="77"/>
      <c r="BW162" s="77"/>
      <c r="BX162" s="77"/>
      <c r="BY162" s="77"/>
      <c r="BZ162" s="77"/>
      <c r="CA162" s="77"/>
      <c r="CB162" s="77"/>
      <c r="CC162" s="83">
        <v>961.99132219691887</v>
      </c>
      <c r="CD162" s="77"/>
      <c r="CE162" s="77"/>
      <c r="CF162" s="77"/>
      <c r="CG162" s="77"/>
      <c r="CH162" s="77"/>
      <c r="CI162" s="77"/>
      <c r="CJ162" s="77">
        <v>34637.483170042397</v>
      </c>
      <c r="CK162" s="77">
        <v>32734.511474014307</v>
      </c>
      <c r="CL162" s="77">
        <v>30956.860691176484</v>
      </c>
      <c r="CM162" s="77">
        <v>25958.588552142668</v>
      </c>
      <c r="CN162" s="77"/>
      <c r="CO162" s="77"/>
      <c r="CP162" s="96">
        <v>30566.452336984257</v>
      </c>
      <c r="CQ162" s="77"/>
      <c r="CR162" s="77"/>
      <c r="CS162" s="77"/>
      <c r="CT162" s="77"/>
      <c r="CU162" s="77"/>
      <c r="CV162" s="77">
        <v>24892.503037878785</v>
      </c>
      <c r="CW162" s="77"/>
      <c r="CX162" s="77">
        <v>25694.032378787877</v>
      </c>
      <c r="CY162" s="77"/>
      <c r="CZ162" s="77"/>
      <c r="DA162" s="77">
        <v>25386.201072727275</v>
      </c>
      <c r="DB162" s="77"/>
      <c r="DC162" s="96">
        <v>25324.245496464653</v>
      </c>
      <c r="DD162" s="77">
        <v>26954.321097461099</v>
      </c>
      <c r="DE162" s="77"/>
      <c r="DF162" s="77">
        <v>27211.708151177758</v>
      </c>
      <c r="DG162" s="77"/>
      <c r="DH162" s="77"/>
      <c r="DI162" s="77"/>
      <c r="DJ162" s="77"/>
      <c r="DK162" s="77"/>
      <c r="DL162" s="77"/>
      <c r="DM162" s="77"/>
      <c r="DN162" s="77"/>
      <c r="DO162" s="77"/>
      <c r="DP162" s="96">
        <v>27076.886361135697</v>
      </c>
    </row>
    <row r="163" spans="1:120" s="22" customFormat="1" hidden="1" outlineLevel="1" x14ac:dyDescent="0.35">
      <c r="A163" s="22" t="s">
        <v>365</v>
      </c>
      <c r="B163" s="25" t="s">
        <v>129</v>
      </c>
      <c r="C163" s="75" t="s">
        <v>9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80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80"/>
      <c r="AD163" s="77"/>
      <c r="AE163" s="77"/>
      <c r="AF163" s="77"/>
      <c r="AG163" s="77">
        <v>3300</v>
      </c>
      <c r="AH163" s="77"/>
      <c r="AI163" s="77"/>
      <c r="AJ163" s="77"/>
      <c r="AK163" s="77"/>
      <c r="AL163" s="77"/>
      <c r="AM163" s="77"/>
      <c r="AN163" s="77"/>
      <c r="AO163" s="77"/>
      <c r="AP163" s="80">
        <v>3300</v>
      </c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83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83"/>
      <c r="BQ163" s="77"/>
      <c r="BR163" s="77"/>
      <c r="BS163" s="77"/>
      <c r="BT163" s="77">
        <v>1195.3142857142857</v>
      </c>
      <c r="BU163" s="77"/>
      <c r="BV163" s="77"/>
      <c r="BW163" s="77"/>
      <c r="BX163" s="77"/>
      <c r="BY163" s="77"/>
      <c r="BZ163" s="77"/>
      <c r="CA163" s="77"/>
      <c r="CB163" s="77"/>
      <c r="CC163" s="83">
        <v>1195.3142857142857</v>
      </c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96"/>
      <c r="CQ163" s="77"/>
      <c r="CR163" s="77"/>
      <c r="CS163" s="77"/>
      <c r="CT163" s="77"/>
      <c r="CU163" s="77"/>
      <c r="CV163" s="77"/>
      <c r="CW163" s="77"/>
      <c r="CX163" s="77"/>
      <c r="CY163" s="77"/>
      <c r="CZ163" s="77"/>
      <c r="DA163" s="77"/>
      <c r="DB163" s="77"/>
      <c r="DC163" s="96"/>
      <c r="DD163" s="77"/>
      <c r="DE163" s="77"/>
      <c r="DF163" s="77"/>
      <c r="DG163" s="77">
        <v>27211.708152742591</v>
      </c>
      <c r="DH163" s="77"/>
      <c r="DI163" s="77"/>
      <c r="DJ163" s="77"/>
      <c r="DK163" s="77"/>
      <c r="DL163" s="77"/>
      <c r="DM163" s="77"/>
      <c r="DN163" s="77"/>
      <c r="DO163" s="77"/>
      <c r="DP163" s="96">
        <v>27211.708152742591</v>
      </c>
    </row>
    <row r="164" spans="1:120" s="22" customFormat="1" hidden="1" outlineLevel="1" x14ac:dyDescent="0.35">
      <c r="A164" s="22" t="s">
        <v>365</v>
      </c>
      <c r="B164" s="25" t="s">
        <v>129</v>
      </c>
      <c r="C164" s="75" t="s">
        <v>136</v>
      </c>
      <c r="D164" s="77"/>
      <c r="E164" s="77"/>
      <c r="F164" s="77"/>
      <c r="G164" s="77"/>
      <c r="H164" s="77"/>
      <c r="I164" s="77"/>
      <c r="J164" s="77"/>
      <c r="K164" s="77"/>
      <c r="L164" s="77"/>
      <c r="M164" s="77">
        <v>11000</v>
      </c>
      <c r="N164" s="77"/>
      <c r="O164" s="77"/>
      <c r="P164" s="80">
        <v>11000</v>
      </c>
      <c r="Q164" s="77"/>
      <c r="R164" s="77"/>
      <c r="S164" s="77">
        <v>11000</v>
      </c>
      <c r="T164" s="77"/>
      <c r="U164" s="77">
        <v>11000</v>
      </c>
      <c r="V164" s="77"/>
      <c r="W164" s="77"/>
      <c r="X164" s="77"/>
      <c r="Y164" s="77"/>
      <c r="Z164" s="77"/>
      <c r="AA164" s="77"/>
      <c r="AB164" s="77"/>
      <c r="AC164" s="80">
        <v>22000</v>
      </c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80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>
        <v>1100.1100235293482</v>
      </c>
      <c r="BA164" s="77"/>
      <c r="BB164" s="77"/>
      <c r="BC164" s="83">
        <v>1100.1100235293482</v>
      </c>
      <c r="BD164" s="77"/>
      <c r="BE164" s="77"/>
      <c r="BF164" s="77">
        <v>1106.2605169833419</v>
      </c>
      <c r="BG164" s="77"/>
      <c r="BH164" s="77">
        <v>1192.8780014307174</v>
      </c>
      <c r="BI164" s="77"/>
      <c r="BJ164" s="77"/>
      <c r="BK164" s="77"/>
      <c r="BL164" s="77"/>
      <c r="BM164" s="77"/>
      <c r="BN164" s="77"/>
      <c r="BO164" s="77"/>
      <c r="BP164" s="83">
        <v>1149.5692592070297</v>
      </c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83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>
        <v>25958.588552142679</v>
      </c>
      <c r="CN164" s="77"/>
      <c r="CO164" s="77"/>
      <c r="CP164" s="96">
        <v>25958.588552142679</v>
      </c>
      <c r="CQ164" s="77"/>
      <c r="CR164" s="77"/>
      <c r="CS164" s="77">
        <v>26290.106346320346</v>
      </c>
      <c r="CT164" s="77"/>
      <c r="CU164" s="77">
        <v>25347.070727272727</v>
      </c>
      <c r="CV164" s="77"/>
      <c r="CW164" s="77"/>
      <c r="CX164" s="77"/>
      <c r="CY164" s="77"/>
      <c r="CZ164" s="77"/>
      <c r="DA164" s="77"/>
      <c r="DB164" s="77"/>
      <c r="DC164" s="96">
        <v>25818.588536796538</v>
      </c>
      <c r="DD164" s="77"/>
      <c r="DE164" s="77"/>
      <c r="DF164" s="77"/>
      <c r="DG164" s="77"/>
      <c r="DH164" s="77"/>
      <c r="DI164" s="77"/>
      <c r="DJ164" s="77"/>
      <c r="DK164" s="77"/>
      <c r="DL164" s="77"/>
      <c r="DM164" s="77"/>
      <c r="DN164" s="77"/>
      <c r="DO164" s="77"/>
      <c r="DP164" s="96"/>
    </row>
    <row r="165" spans="1:120" s="22" customFormat="1" hidden="1" outlineLevel="1" x14ac:dyDescent="0.35">
      <c r="A165" s="22" t="s">
        <v>365</v>
      </c>
      <c r="B165" s="25" t="s">
        <v>129</v>
      </c>
      <c r="C165" s="75" t="s">
        <v>41</v>
      </c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80"/>
      <c r="Q165" s="77"/>
      <c r="R165" s="77">
        <v>1100</v>
      </c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80">
        <v>1100</v>
      </c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80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83"/>
      <c r="BD165" s="77"/>
      <c r="BE165" s="77">
        <v>1133.3097288287238</v>
      </c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83">
        <v>1133.3097288287238</v>
      </c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83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96"/>
      <c r="CQ165" s="77"/>
      <c r="CR165" s="77">
        <v>26281.539312638582</v>
      </c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96">
        <v>26281.539312638582</v>
      </c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96"/>
    </row>
    <row r="166" spans="1:120" s="22" customFormat="1" hidden="1" collapsed="1" x14ac:dyDescent="0.35">
      <c r="B166" s="106" t="s">
        <v>137</v>
      </c>
      <c r="C166" s="76"/>
      <c r="D166" s="78">
        <v>440000</v>
      </c>
      <c r="E166" s="78"/>
      <c r="F166" s="78">
        <v>176000</v>
      </c>
      <c r="G166" s="78">
        <v>441100</v>
      </c>
      <c r="H166" s="78">
        <v>330000</v>
      </c>
      <c r="I166" s="78">
        <v>110000</v>
      </c>
      <c r="J166" s="78">
        <v>212300</v>
      </c>
      <c r="K166" s="78">
        <v>892800</v>
      </c>
      <c r="L166" s="78">
        <v>748000</v>
      </c>
      <c r="M166" s="78">
        <v>807400</v>
      </c>
      <c r="N166" s="78"/>
      <c r="O166" s="78">
        <v>1100</v>
      </c>
      <c r="P166" s="81">
        <v>4158700</v>
      </c>
      <c r="Q166" s="78"/>
      <c r="R166" s="78">
        <v>45100</v>
      </c>
      <c r="S166" s="78">
        <v>231000</v>
      </c>
      <c r="T166" s="78">
        <v>154000</v>
      </c>
      <c r="U166" s="78">
        <v>11000</v>
      </c>
      <c r="V166" s="78">
        <v>264000</v>
      </c>
      <c r="W166" s="78">
        <v>374850</v>
      </c>
      <c r="X166" s="78">
        <v>264000</v>
      </c>
      <c r="Y166" s="78">
        <v>67100</v>
      </c>
      <c r="Z166" s="78">
        <v>264000</v>
      </c>
      <c r="AA166" s="78">
        <v>220000</v>
      </c>
      <c r="AB166" s="78"/>
      <c r="AC166" s="81">
        <v>1895050</v>
      </c>
      <c r="AD166" s="78">
        <v>244200</v>
      </c>
      <c r="AE166" s="78">
        <v>5500</v>
      </c>
      <c r="AF166" s="78">
        <v>660150</v>
      </c>
      <c r="AG166" s="78">
        <v>1238600</v>
      </c>
      <c r="AH166" s="78"/>
      <c r="AI166" s="78"/>
      <c r="AJ166" s="78"/>
      <c r="AK166" s="78"/>
      <c r="AL166" s="78"/>
      <c r="AM166" s="78"/>
      <c r="AN166" s="78"/>
      <c r="AO166" s="78"/>
      <c r="AP166" s="81">
        <v>2148450</v>
      </c>
      <c r="AQ166" s="78">
        <v>1100.8707469830874</v>
      </c>
      <c r="AR166" s="78"/>
      <c r="AS166" s="78">
        <v>1078.9487418926278</v>
      </c>
      <c r="AT166" s="78">
        <v>1054.6320439410076</v>
      </c>
      <c r="AU166" s="78">
        <v>1049.5867053961636</v>
      </c>
      <c r="AV166" s="78">
        <v>1061.9428643776796</v>
      </c>
      <c r="AW166" s="78">
        <v>1040.2265408165779</v>
      </c>
      <c r="AX166" s="78">
        <v>1042.4454487176365</v>
      </c>
      <c r="AY166" s="78">
        <v>1044.1534925458359</v>
      </c>
      <c r="AZ166" s="78">
        <v>1060.1425432163055</v>
      </c>
      <c r="BA166" s="78"/>
      <c r="BB166" s="78">
        <v>1029.5188339879237</v>
      </c>
      <c r="BC166" s="84">
        <v>1056.1731775447354</v>
      </c>
      <c r="BD166" s="78"/>
      <c r="BE166" s="78">
        <v>1070.989438076653</v>
      </c>
      <c r="BF166" s="78">
        <v>1108.1819029232431</v>
      </c>
      <c r="BG166" s="78">
        <v>1128.0826029521377</v>
      </c>
      <c r="BH166" s="78">
        <v>1192.8780014307174</v>
      </c>
      <c r="BI166" s="78">
        <v>1055.6448901521617</v>
      </c>
      <c r="BJ166" s="78">
        <v>1085.7568882622413</v>
      </c>
      <c r="BK166" s="78">
        <v>1010.592340516812</v>
      </c>
      <c r="BL166" s="78">
        <v>1079.3418099483299</v>
      </c>
      <c r="BM166" s="78">
        <v>1063.9378674739787</v>
      </c>
      <c r="BN166" s="78">
        <v>881.9578218290053</v>
      </c>
      <c r="BO166" s="78"/>
      <c r="BP166" s="84">
        <v>1050.6080440239818</v>
      </c>
      <c r="BQ166" s="78">
        <v>882.94317408346956</v>
      </c>
      <c r="BR166" s="78">
        <v>1110.7002719727043</v>
      </c>
      <c r="BS166" s="78">
        <v>1067.1696617744296</v>
      </c>
      <c r="BT166" s="78">
        <v>1114.9394211904003</v>
      </c>
      <c r="BU166" s="78"/>
      <c r="BV166" s="78"/>
      <c r="BW166" s="78"/>
      <c r="BX166" s="78"/>
      <c r="BY166" s="78"/>
      <c r="BZ166" s="78"/>
      <c r="CA166" s="78"/>
      <c r="CB166" s="78"/>
      <c r="CC166" s="84">
        <v>1073.8809811323763</v>
      </c>
      <c r="CD166" s="78">
        <v>28600.564904040413</v>
      </c>
      <c r="CE166" s="78"/>
      <c r="CF166" s="78">
        <v>31994.901795454545</v>
      </c>
      <c r="CG166" s="78">
        <v>22894.547581047376</v>
      </c>
      <c r="CH166" s="78">
        <v>35742.484906060592</v>
      </c>
      <c r="CI166" s="78">
        <v>36010.117172727274</v>
      </c>
      <c r="CJ166" s="78">
        <v>34637.483170042397</v>
      </c>
      <c r="CK166" s="78">
        <v>32734.511474014307</v>
      </c>
      <c r="CL166" s="78">
        <v>30956.860691176487</v>
      </c>
      <c r="CM166" s="78">
        <v>25958.588552142686</v>
      </c>
      <c r="CN166" s="78"/>
      <c r="CO166" s="78">
        <v>25663.109090909093</v>
      </c>
      <c r="CP166" s="97">
        <v>30007.479321609626</v>
      </c>
      <c r="CQ166" s="78"/>
      <c r="CR166" s="78">
        <v>26281.539312638582</v>
      </c>
      <c r="CS166" s="78">
        <v>26290.106346320346</v>
      </c>
      <c r="CT166" s="78">
        <v>26255.244798701293</v>
      </c>
      <c r="CU166" s="78">
        <v>25347.070727272727</v>
      </c>
      <c r="CV166" s="78">
        <v>24892.503037878785</v>
      </c>
      <c r="CW166" s="78">
        <v>25198.362390289451</v>
      </c>
      <c r="CX166" s="78">
        <v>25694.032378787877</v>
      </c>
      <c r="CY166" s="78">
        <v>25771.567436661691</v>
      </c>
      <c r="CZ166" s="78">
        <v>25788.527606060601</v>
      </c>
      <c r="DA166" s="78">
        <v>25386.201072727275</v>
      </c>
      <c r="DB166" s="78"/>
      <c r="DC166" s="97">
        <v>25594.731884119148</v>
      </c>
      <c r="DD166" s="78">
        <v>26954.321097461099</v>
      </c>
      <c r="DE166" s="78">
        <v>27006.423636363637</v>
      </c>
      <c r="DF166" s="78">
        <v>27211.708151177772</v>
      </c>
      <c r="DG166" s="78">
        <v>27211.708152742562</v>
      </c>
      <c r="DH166" s="78"/>
      <c r="DI166" s="78"/>
      <c r="DJ166" s="78"/>
      <c r="DK166" s="78"/>
      <c r="DL166" s="78"/>
      <c r="DM166" s="78"/>
      <c r="DN166" s="78"/>
      <c r="DO166" s="78"/>
      <c r="DP166" s="97">
        <v>27181.927154919547</v>
      </c>
    </row>
    <row r="167" spans="1:120" s="22" customFormat="1" hidden="1" outlineLevel="1" x14ac:dyDescent="0.35">
      <c r="B167" s="25" t="s">
        <v>138</v>
      </c>
      <c r="C167" s="75" t="s">
        <v>58</v>
      </c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80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80"/>
      <c r="AD167" s="77">
        <v>500</v>
      </c>
      <c r="AE167" s="77"/>
      <c r="AF167" s="77">
        <v>1000</v>
      </c>
      <c r="AG167" s="77"/>
      <c r="AH167" s="77"/>
      <c r="AI167" s="77"/>
      <c r="AJ167" s="77"/>
      <c r="AK167" s="77"/>
      <c r="AL167" s="77"/>
      <c r="AM167" s="77"/>
      <c r="AN167" s="77"/>
      <c r="AO167" s="77"/>
      <c r="AP167" s="80">
        <v>1500</v>
      </c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83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83"/>
      <c r="BQ167" s="77">
        <v>1067.3497593257371</v>
      </c>
      <c r="BR167" s="77"/>
      <c r="BS167" s="77">
        <v>1068.3287679626449</v>
      </c>
      <c r="BT167" s="77"/>
      <c r="BU167" s="77"/>
      <c r="BV167" s="77"/>
      <c r="BW167" s="77"/>
      <c r="BX167" s="77"/>
      <c r="BY167" s="77"/>
      <c r="BZ167" s="77"/>
      <c r="CA167" s="77"/>
      <c r="CB167" s="77"/>
      <c r="CC167" s="83">
        <v>1068.0024317503423</v>
      </c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96"/>
      <c r="CQ167" s="77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96"/>
      <c r="DD167" s="77">
        <v>26886.526933333331</v>
      </c>
      <c r="DE167" s="77"/>
      <c r="DF167" s="77">
        <v>23264.94752173913</v>
      </c>
      <c r="DG167" s="77"/>
      <c r="DH167" s="77"/>
      <c r="DI167" s="77"/>
      <c r="DJ167" s="77"/>
      <c r="DK167" s="77"/>
      <c r="DL167" s="77"/>
      <c r="DM167" s="77"/>
      <c r="DN167" s="77"/>
      <c r="DO167" s="77"/>
      <c r="DP167" s="96">
        <v>24472.140658937195</v>
      </c>
    </row>
    <row r="168" spans="1:120" s="22" customFormat="1" hidden="1" outlineLevel="1" x14ac:dyDescent="0.35">
      <c r="B168" s="25" t="s">
        <v>138</v>
      </c>
      <c r="C168" s="75" t="s">
        <v>5</v>
      </c>
      <c r="D168" s="77">
        <v>9625</v>
      </c>
      <c r="E168" s="77"/>
      <c r="F168" s="77"/>
      <c r="G168" s="77"/>
      <c r="H168" s="77"/>
      <c r="I168" s="77"/>
      <c r="J168" s="77"/>
      <c r="K168" s="77">
        <v>11000</v>
      </c>
      <c r="L168" s="77"/>
      <c r="M168" s="77">
        <v>11000</v>
      </c>
      <c r="N168" s="77">
        <v>12375</v>
      </c>
      <c r="O168" s="77">
        <v>4125</v>
      </c>
      <c r="P168" s="80">
        <v>48125</v>
      </c>
      <c r="Q168" s="77"/>
      <c r="R168" s="77">
        <v>11000</v>
      </c>
      <c r="S168" s="77">
        <v>16500</v>
      </c>
      <c r="T168" s="77">
        <v>16500</v>
      </c>
      <c r="U168" s="77">
        <v>16500</v>
      </c>
      <c r="V168" s="77">
        <v>16500</v>
      </c>
      <c r="W168" s="77">
        <v>11000</v>
      </c>
      <c r="X168" s="77">
        <v>16500</v>
      </c>
      <c r="Y168" s="77">
        <v>11000</v>
      </c>
      <c r="Z168" s="77">
        <v>11000</v>
      </c>
      <c r="AA168" s="77">
        <v>33000</v>
      </c>
      <c r="AB168" s="77">
        <v>22000</v>
      </c>
      <c r="AC168" s="80">
        <v>181500</v>
      </c>
      <c r="AD168" s="77">
        <v>22000</v>
      </c>
      <c r="AE168" s="77"/>
      <c r="AF168" s="77">
        <v>22000</v>
      </c>
      <c r="AG168" s="77">
        <v>11000</v>
      </c>
      <c r="AH168" s="77"/>
      <c r="AI168" s="77"/>
      <c r="AJ168" s="77"/>
      <c r="AK168" s="77"/>
      <c r="AL168" s="77"/>
      <c r="AM168" s="77"/>
      <c r="AN168" s="77"/>
      <c r="AO168" s="77"/>
      <c r="AP168" s="80">
        <v>55000</v>
      </c>
      <c r="AQ168" s="77">
        <v>876.88572233632419</v>
      </c>
      <c r="AR168" s="77"/>
      <c r="AS168" s="77"/>
      <c r="AT168" s="77"/>
      <c r="AU168" s="77"/>
      <c r="AV168" s="77"/>
      <c r="AW168" s="77"/>
      <c r="AX168" s="77">
        <v>902.96574734879005</v>
      </c>
      <c r="AY168" s="77"/>
      <c r="AZ168" s="77">
        <v>883.06700546111995</v>
      </c>
      <c r="BA168" s="77">
        <v>883.42257956480444</v>
      </c>
      <c r="BB168" s="77">
        <v>882.78356679529077</v>
      </c>
      <c r="BC168" s="83">
        <v>886.44617129436187</v>
      </c>
      <c r="BD168" s="77"/>
      <c r="BE168" s="77">
        <v>799.88151222720796</v>
      </c>
      <c r="BF168" s="77">
        <v>816.28397683315461</v>
      </c>
      <c r="BG168" s="77">
        <v>779.08574342994734</v>
      </c>
      <c r="BH168" s="77">
        <v>775.82988082063116</v>
      </c>
      <c r="BI168" s="77">
        <v>771.75642589621691</v>
      </c>
      <c r="BJ168" s="77">
        <v>769.58425913763119</v>
      </c>
      <c r="BK168" s="77">
        <v>765.3168830499701</v>
      </c>
      <c r="BL168" s="77">
        <v>763.05324906685746</v>
      </c>
      <c r="BM168" s="77">
        <v>764.19956608517043</v>
      </c>
      <c r="BN168" s="77">
        <v>761.86264197335947</v>
      </c>
      <c r="BO168" s="77">
        <v>765.18999336298521</v>
      </c>
      <c r="BP168" s="83">
        <v>774.24823419441191</v>
      </c>
      <c r="BQ168" s="77">
        <v>762.39268523266935</v>
      </c>
      <c r="BR168" s="77"/>
      <c r="BS168" s="77">
        <v>734.9096029613163</v>
      </c>
      <c r="BT168" s="77">
        <v>1195.1619047619047</v>
      </c>
      <c r="BU168" s="77"/>
      <c r="BV168" s="77"/>
      <c r="BW168" s="77"/>
      <c r="BX168" s="77"/>
      <c r="BY168" s="77"/>
      <c r="BZ168" s="77"/>
      <c r="CA168" s="77"/>
      <c r="CB168" s="77"/>
      <c r="CC168" s="83">
        <v>837.95329622997531</v>
      </c>
      <c r="CD168" s="77">
        <v>31377.007376623376</v>
      </c>
      <c r="CE168" s="77"/>
      <c r="CF168" s="77"/>
      <c r="CG168" s="77"/>
      <c r="CH168" s="77"/>
      <c r="CI168" s="77"/>
      <c r="CJ168" s="77"/>
      <c r="CK168" s="77">
        <v>26528.599181818183</v>
      </c>
      <c r="CL168" s="77"/>
      <c r="CM168" s="77">
        <v>33700.711727272726</v>
      </c>
      <c r="CN168" s="77">
        <v>31164.58618181818</v>
      </c>
      <c r="CO168" s="77">
        <v>31454.970666666668</v>
      </c>
      <c r="CP168" s="96">
        <v>30751.992187012987</v>
      </c>
      <c r="CQ168" s="77"/>
      <c r="CR168" s="77">
        <v>31464.508636363636</v>
      </c>
      <c r="CS168" s="77">
        <v>29319.724545454545</v>
      </c>
      <c r="CT168" s="77">
        <v>29572.412666666667</v>
      </c>
      <c r="CU168" s="77">
        <v>28791.171818181811</v>
      </c>
      <c r="CV168" s="77">
        <v>28975.766363636365</v>
      </c>
      <c r="CW168" s="77">
        <v>28975.757545454544</v>
      </c>
      <c r="CX168" s="77">
        <v>28975.743575757577</v>
      </c>
      <c r="CY168" s="77">
        <v>29731.817727272726</v>
      </c>
      <c r="CZ168" s="77">
        <v>29731.816363636364</v>
      </c>
      <c r="DA168" s="77">
        <v>27560.062606060601</v>
      </c>
      <c r="DB168" s="77">
        <v>26886.527545454544</v>
      </c>
      <c r="DC168" s="96">
        <v>28776.325553719013</v>
      </c>
      <c r="DD168" s="77">
        <v>26886.526933333331</v>
      </c>
      <c r="DE168" s="77"/>
      <c r="DF168" s="77">
        <v>23264.947521739126</v>
      </c>
      <c r="DG168" s="77">
        <v>23264.947491889194</v>
      </c>
      <c r="DH168" s="77"/>
      <c r="DI168" s="77"/>
      <c r="DJ168" s="77"/>
      <c r="DK168" s="77"/>
      <c r="DL168" s="77"/>
      <c r="DM168" s="77"/>
      <c r="DN168" s="77"/>
      <c r="DO168" s="77"/>
      <c r="DP168" s="96">
        <v>24713.579280406822</v>
      </c>
    </row>
    <row r="169" spans="1:120" s="22" customFormat="1" hidden="1" outlineLevel="1" x14ac:dyDescent="0.35">
      <c r="B169" s="25" t="s">
        <v>138</v>
      </c>
      <c r="C169" s="75" t="s">
        <v>54</v>
      </c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80"/>
      <c r="Q169" s="77">
        <v>5500</v>
      </c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80">
        <v>5500</v>
      </c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80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83"/>
      <c r="BD169" s="77">
        <v>883.53848734202768</v>
      </c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83">
        <v>883.53848734202768</v>
      </c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83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96"/>
      <c r="CQ169" s="77">
        <v>31464.521272727274</v>
      </c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96">
        <v>31464.521272727274</v>
      </c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96"/>
    </row>
    <row r="170" spans="1:120" s="22" customFormat="1" hidden="1" collapsed="1" x14ac:dyDescent="0.35">
      <c r="B170" s="106" t="s">
        <v>139</v>
      </c>
      <c r="C170" s="76"/>
      <c r="D170" s="78">
        <v>9625</v>
      </c>
      <c r="E170" s="78"/>
      <c r="F170" s="78"/>
      <c r="G170" s="78"/>
      <c r="H170" s="78"/>
      <c r="I170" s="78"/>
      <c r="J170" s="78"/>
      <c r="K170" s="78">
        <v>11000</v>
      </c>
      <c r="L170" s="78"/>
      <c r="M170" s="78">
        <v>11000</v>
      </c>
      <c r="N170" s="78">
        <v>12375</v>
      </c>
      <c r="O170" s="78">
        <v>4125</v>
      </c>
      <c r="P170" s="81">
        <v>48125</v>
      </c>
      <c r="Q170" s="78">
        <v>5500</v>
      </c>
      <c r="R170" s="78">
        <v>11000</v>
      </c>
      <c r="S170" s="78">
        <v>16500</v>
      </c>
      <c r="T170" s="78">
        <v>16500</v>
      </c>
      <c r="U170" s="78">
        <v>16500</v>
      </c>
      <c r="V170" s="78">
        <v>16500</v>
      </c>
      <c r="W170" s="78">
        <v>11000</v>
      </c>
      <c r="X170" s="78">
        <v>16500</v>
      </c>
      <c r="Y170" s="78">
        <v>11000</v>
      </c>
      <c r="Z170" s="78">
        <v>11000</v>
      </c>
      <c r="AA170" s="78">
        <v>33000</v>
      </c>
      <c r="AB170" s="78">
        <v>22000</v>
      </c>
      <c r="AC170" s="81">
        <v>187000</v>
      </c>
      <c r="AD170" s="78">
        <v>22500</v>
      </c>
      <c r="AE170" s="78"/>
      <c r="AF170" s="78">
        <v>23000</v>
      </c>
      <c r="AG170" s="78">
        <v>11000</v>
      </c>
      <c r="AH170" s="78"/>
      <c r="AI170" s="78"/>
      <c r="AJ170" s="78"/>
      <c r="AK170" s="78"/>
      <c r="AL170" s="78"/>
      <c r="AM170" s="78"/>
      <c r="AN170" s="78"/>
      <c r="AO170" s="78"/>
      <c r="AP170" s="81">
        <v>56500</v>
      </c>
      <c r="AQ170" s="78">
        <v>876.88572233632419</v>
      </c>
      <c r="AR170" s="78"/>
      <c r="AS170" s="78"/>
      <c r="AT170" s="78"/>
      <c r="AU170" s="78"/>
      <c r="AV170" s="78"/>
      <c r="AW170" s="78"/>
      <c r="AX170" s="78">
        <v>902.96574734879005</v>
      </c>
      <c r="AY170" s="78"/>
      <c r="AZ170" s="78">
        <v>883.06700546111995</v>
      </c>
      <c r="BA170" s="78">
        <v>883.42257956480444</v>
      </c>
      <c r="BB170" s="78">
        <v>882.78356679529077</v>
      </c>
      <c r="BC170" s="84">
        <v>886.44617129436187</v>
      </c>
      <c r="BD170" s="78">
        <v>883.53848734202768</v>
      </c>
      <c r="BE170" s="78">
        <v>799.88151222720796</v>
      </c>
      <c r="BF170" s="78">
        <v>816.28397683315461</v>
      </c>
      <c r="BG170" s="78">
        <v>779.08574342994734</v>
      </c>
      <c r="BH170" s="78">
        <v>775.82988082063116</v>
      </c>
      <c r="BI170" s="78">
        <v>771.75642589621691</v>
      </c>
      <c r="BJ170" s="78">
        <v>769.58425913763119</v>
      </c>
      <c r="BK170" s="78">
        <v>765.3168830499701</v>
      </c>
      <c r="BL170" s="78">
        <v>763.05324906685746</v>
      </c>
      <c r="BM170" s="78">
        <v>764.19956608517043</v>
      </c>
      <c r="BN170" s="78">
        <v>761.86264197335947</v>
      </c>
      <c r="BO170" s="78">
        <v>765.18999336298521</v>
      </c>
      <c r="BP170" s="84">
        <v>777.46265340463583</v>
      </c>
      <c r="BQ170" s="78">
        <v>769.16950910140429</v>
      </c>
      <c r="BR170" s="78"/>
      <c r="BS170" s="78">
        <v>749.40608839615652</v>
      </c>
      <c r="BT170" s="78">
        <v>1195.1619047619047</v>
      </c>
      <c r="BU170" s="78"/>
      <c r="BV170" s="78"/>
      <c r="BW170" s="78"/>
      <c r="BX170" s="78"/>
      <c r="BY170" s="78"/>
      <c r="BZ170" s="78"/>
      <c r="CA170" s="78"/>
      <c r="CB170" s="78"/>
      <c r="CC170" s="84">
        <v>844.06079540308235</v>
      </c>
      <c r="CD170" s="78">
        <v>31377.007376623376</v>
      </c>
      <c r="CE170" s="78"/>
      <c r="CF170" s="78"/>
      <c r="CG170" s="78"/>
      <c r="CH170" s="78"/>
      <c r="CI170" s="78"/>
      <c r="CJ170" s="78"/>
      <c r="CK170" s="78">
        <v>26528.599181818183</v>
      </c>
      <c r="CL170" s="78"/>
      <c r="CM170" s="78">
        <v>33700.711727272726</v>
      </c>
      <c r="CN170" s="78">
        <v>31164.58618181818</v>
      </c>
      <c r="CO170" s="78">
        <v>31454.970666666668</v>
      </c>
      <c r="CP170" s="97">
        <v>30751.992187012987</v>
      </c>
      <c r="CQ170" s="78">
        <v>31464.521272727274</v>
      </c>
      <c r="CR170" s="78">
        <v>31464.508636363636</v>
      </c>
      <c r="CS170" s="78">
        <v>29319.724545454545</v>
      </c>
      <c r="CT170" s="78">
        <v>29572.412666666667</v>
      </c>
      <c r="CU170" s="78">
        <v>28791.171818181811</v>
      </c>
      <c r="CV170" s="78">
        <v>28975.766363636365</v>
      </c>
      <c r="CW170" s="78">
        <v>28975.757545454544</v>
      </c>
      <c r="CX170" s="78">
        <v>28975.743575757577</v>
      </c>
      <c r="CY170" s="78">
        <v>29731.817727272726</v>
      </c>
      <c r="CZ170" s="78">
        <v>29731.816363636364</v>
      </c>
      <c r="DA170" s="78">
        <v>27560.062606060601</v>
      </c>
      <c r="DB170" s="78">
        <v>26886.527545454544</v>
      </c>
      <c r="DC170" s="97">
        <v>28855.390133689845</v>
      </c>
      <c r="DD170" s="78">
        <v>26886.526933333334</v>
      </c>
      <c r="DE170" s="78"/>
      <c r="DF170" s="78">
        <v>23264.947521739126</v>
      </c>
      <c r="DG170" s="78">
        <v>23264.947491889194</v>
      </c>
      <c r="DH170" s="78"/>
      <c r="DI170" s="78"/>
      <c r="DJ170" s="78"/>
      <c r="DK170" s="78"/>
      <c r="DL170" s="78"/>
      <c r="DM170" s="78"/>
      <c r="DN170" s="78"/>
      <c r="DO170" s="78"/>
      <c r="DP170" s="97">
        <v>24707.169405500546</v>
      </c>
    </row>
    <row r="171" spans="1:120" s="22" customFormat="1" hidden="1" outlineLevel="1" x14ac:dyDescent="0.35">
      <c r="B171" s="25" t="s">
        <v>140</v>
      </c>
      <c r="C171" s="75" t="s">
        <v>5</v>
      </c>
      <c r="D171" s="77">
        <v>9625</v>
      </c>
      <c r="E171" s="77"/>
      <c r="F171" s="77"/>
      <c r="G171" s="77"/>
      <c r="H171" s="77">
        <v>10000</v>
      </c>
      <c r="I171" s="77"/>
      <c r="J171" s="77"/>
      <c r="K171" s="77">
        <v>5500</v>
      </c>
      <c r="L171" s="77"/>
      <c r="M171" s="77">
        <v>5500</v>
      </c>
      <c r="N171" s="77">
        <v>11000</v>
      </c>
      <c r="O171" s="77">
        <v>1375</v>
      </c>
      <c r="P171" s="80">
        <v>43000</v>
      </c>
      <c r="Q171" s="77"/>
      <c r="R171" s="77">
        <v>16500</v>
      </c>
      <c r="S171" s="77"/>
      <c r="T171" s="77">
        <v>11000</v>
      </c>
      <c r="U171" s="77">
        <v>5500</v>
      </c>
      <c r="V171" s="77"/>
      <c r="W171" s="77">
        <v>11000</v>
      </c>
      <c r="X171" s="77">
        <v>5500</v>
      </c>
      <c r="Y171" s="77">
        <v>5500</v>
      </c>
      <c r="Z171" s="77">
        <v>5500</v>
      </c>
      <c r="AA171" s="77">
        <v>4125</v>
      </c>
      <c r="AB171" s="77">
        <v>5500</v>
      </c>
      <c r="AC171" s="80">
        <v>70125</v>
      </c>
      <c r="AD171" s="77">
        <v>5500</v>
      </c>
      <c r="AE171" s="77"/>
      <c r="AF171" s="77">
        <v>16500</v>
      </c>
      <c r="AG171" s="77">
        <v>22000</v>
      </c>
      <c r="AH171" s="77"/>
      <c r="AI171" s="77"/>
      <c r="AJ171" s="77"/>
      <c r="AK171" s="77"/>
      <c r="AL171" s="77"/>
      <c r="AM171" s="77"/>
      <c r="AN171" s="77"/>
      <c r="AO171" s="77"/>
      <c r="AP171" s="80">
        <v>44000</v>
      </c>
      <c r="AQ171" s="77">
        <v>876.88572233632317</v>
      </c>
      <c r="AR171" s="77"/>
      <c r="AS171" s="77"/>
      <c r="AT171" s="77"/>
      <c r="AU171" s="77">
        <v>902.37265446806816</v>
      </c>
      <c r="AV171" s="77"/>
      <c r="AW171" s="77"/>
      <c r="AX171" s="77">
        <v>902.96575099884126</v>
      </c>
      <c r="AY171" s="77"/>
      <c r="AZ171" s="77">
        <v>873.18850919547424</v>
      </c>
      <c r="BA171" s="77">
        <v>883.42257876276369</v>
      </c>
      <c r="BB171" s="77">
        <v>882.78355718493685</v>
      </c>
      <c r="BC171" s="83">
        <v>887.53664676177243</v>
      </c>
      <c r="BD171" s="77"/>
      <c r="BE171" s="77">
        <v>799.88151222720796</v>
      </c>
      <c r="BF171" s="77"/>
      <c r="BG171" s="77">
        <v>779.08574342994746</v>
      </c>
      <c r="BH171" s="77">
        <v>775.82988082063105</v>
      </c>
      <c r="BI171" s="77"/>
      <c r="BJ171" s="77">
        <v>769.58425913763119</v>
      </c>
      <c r="BK171" s="77">
        <v>765.3168830499701</v>
      </c>
      <c r="BL171" s="77">
        <v>763.05324906685746</v>
      </c>
      <c r="BM171" s="77">
        <v>764.19956608517043</v>
      </c>
      <c r="BN171" s="77">
        <v>763.70131073511413</v>
      </c>
      <c r="BO171" s="77">
        <v>765.18999336298521</v>
      </c>
      <c r="BP171" s="83">
        <v>776.73334096107692</v>
      </c>
      <c r="BQ171" s="77">
        <v>762.39268523266935</v>
      </c>
      <c r="BR171" s="77"/>
      <c r="BS171" s="77">
        <v>742.29772073975914</v>
      </c>
      <c r="BT171" s="77">
        <v>1225.0857142857144</v>
      </c>
      <c r="BU171" s="77"/>
      <c r="BV171" s="77"/>
      <c r="BW171" s="77"/>
      <c r="BX171" s="77"/>
      <c r="BY171" s="77"/>
      <c r="BZ171" s="77"/>
      <c r="CA171" s="77"/>
      <c r="CB171" s="77"/>
      <c r="CC171" s="83">
        <v>986.20358807435071</v>
      </c>
      <c r="CD171" s="77">
        <v>15050.872831168832</v>
      </c>
      <c r="CE171" s="77"/>
      <c r="CF171" s="77"/>
      <c r="CG171" s="77"/>
      <c r="CH171" s="77">
        <v>15076.330099999999</v>
      </c>
      <c r="CI171" s="77"/>
      <c r="CJ171" s="77"/>
      <c r="CK171" s="77">
        <v>15409.762000000001</v>
      </c>
      <c r="CL171" s="77"/>
      <c r="CM171" s="77">
        <v>12034.880909090909</v>
      </c>
      <c r="CN171" s="77">
        <v>12057.960909090909</v>
      </c>
      <c r="CO171" s="77">
        <v>12057.960727272728</v>
      </c>
      <c r="CP171" s="96">
        <v>13855.598930232558</v>
      </c>
      <c r="CQ171" s="77"/>
      <c r="CR171" s="77">
        <v>12255.751686746988</v>
      </c>
      <c r="CS171" s="77"/>
      <c r="CT171" s="77">
        <v>12943.758960000001</v>
      </c>
      <c r="CU171" s="77">
        <v>27556.637272727272</v>
      </c>
      <c r="CV171" s="77"/>
      <c r="CW171" s="77">
        <v>27556.633363636363</v>
      </c>
      <c r="CX171" s="77">
        <v>27556.575999999994</v>
      </c>
      <c r="CY171" s="77">
        <v>21368.151636363629</v>
      </c>
      <c r="CZ171" s="77">
        <v>21368.153524962177</v>
      </c>
      <c r="DA171" s="77">
        <v>21368.150545454544</v>
      </c>
      <c r="DB171" s="77">
        <v>23823.917818181817</v>
      </c>
      <c r="DC171" s="96">
        <v>20036.673636771724</v>
      </c>
      <c r="DD171" s="77">
        <v>47786.704545454544</v>
      </c>
      <c r="DE171" s="77"/>
      <c r="DF171" s="77">
        <v>47786.684254545449</v>
      </c>
      <c r="DG171" s="77">
        <v>47786.68441805226</v>
      </c>
      <c r="DH171" s="77"/>
      <c r="DI171" s="77"/>
      <c r="DJ171" s="77"/>
      <c r="DK171" s="77"/>
      <c r="DL171" s="77"/>
      <c r="DM171" s="77"/>
      <c r="DN171" s="77"/>
      <c r="DO171" s="77"/>
      <c r="DP171" s="96">
        <v>47786.686872662496</v>
      </c>
    </row>
    <row r="172" spans="1:120" s="22" customFormat="1" hidden="1" outlineLevel="1" x14ac:dyDescent="0.35">
      <c r="B172" s="25" t="s">
        <v>140</v>
      </c>
      <c r="C172" s="75" t="s">
        <v>141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80"/>
      <c r="Q172" s="77"/>
      <c r="R172" s="77"/>
      <c r="S172" s="77"/>
      <c r="T172" s="77">
        <v>1500</v>
      </c>
      <c r="U172" s="77"/>
      <c r="V172" s="77"/>
      <c r="W172" s="77"/>
      <c r="X172" s="77">
        <v>9625</v>
      </c>
      <c r="Y172" s="77">
        <v>22000</v>
      </c>
      <c r="Z172" s="77">
        <v>11000</v>
      </c>
      <c r="AA172" s="77">
        <v>8250</v>
      </c>
      <c r="AB172" s="77"/>
      <c r="AC172" s="80">
        <v>52375</v>
      </c>
      <c r="AD172" s="77"/>
      <c r="AE172" s="77"/>
      <c r="AF172" s="77">
        <v>11000</v>
      </c>
      <c r="AG172" s="77">
        <v>11000</v>
      </c>
      <c r="AH172" s="77"/>
      <c r="AI172" s="77"/>
      <c r="AJ172" s="77"/>
      <c r="AK172" s="77"/>
      <c r="AL172" s="77"/>
      <c r="AM172" s="77"/>
      <c r="AN172" s="77"/>
      <c r="AO172" s="77"/>
      <c r="AP172" s="80">
        <v>22000</v>
      </c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83"/>
      <c r="BD172" s="77"/>
      <c r="BE172" s="77"/>
      <c r="BF172" s="77"/>
      <c r="BG172" s="77">
        <v>703.34128749552747</v>
      </c>
      <c r="BH172" s="77"/>
      <c r="BI172" s="77"/>
      <c r="BJ172" s="77"/>
      <c r="BK172" s="77">
        <v>690.91107409218478</v>
      </c>
      <c r="BL172" s="77">
        <v>688.86751613331035</v>
      </c>
      <c r="BM172" s="77">
        <v>689.90238218951856</v>
      </c>
      <c r="BN172" s="77">
        <v>687.73330059076841</v>
      </c>
      <c r="BO172" s="77"/>
      <c r="BP172" s="83">
        <v>689.696273188963</v>
      </c>
      <c r="BQ172" s="77"/>
      <c r="BR172" s="77"/>
      <c r="BS172" s="77">
        <v>705.8600788324618</v>
      </c>
      <c r="BT172" s="77">
        <v>700.66320814742812</v>
      </c>
      <c r="BU172" s="77"/>
      <c r="BV172" s="77"/>
      <c r="BW172" s="77"/>
      <c r="BX172" s="77"/>
      <c r="BY172" s="77"/>
      <c r="BZ172" s="77"/>
      <c r="CA172" s="77"/>
      <c r="CB172" s="77"/>
      <c r="CC172" s="83">
        <v>703.26164348994496</v>
      </c>
      <c r="CD172" s="77"/>
      <c r="CE172" s="77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96"/>
      <c r="CQ172" s="77"/>
      <c r="CR172" s="77"/>
      <c r="CS172" s="77"/>
      <c r="CT172" s="77">
        <v>12943.758959999999</v>
      </c>
      <c r="CU172" s="77"/>
      <c r="CV172" s="77"/>
      <c r="CW172" s="77"/>
      <c r="CX172" s="77">
        <v>27556.575999999994</v>
      </c>
      <c r="CY172" s="77">
        <v>21368.151636363629</v>
      </c>
      <c r="CZ172" s="77">
        <v>21368.153524962177</v>
      </c>
      <c r="DA172" s="77">
        <v>21368.150545454544</v>
      </c>
      <c r="DB172" s="77"/>
      <c r="DC172" s="96">
        <v>22264.132681901359</v>
      </c>
      <c r="DD172" s="77"/>
      <c r="DE172" s="77"/>
      <c r="DF172" s="77">
        <v>47786.684254545449</v>
      </c>
      <c r="DG172" s="77">
        <v>47786.68441805226</v>
      </c>
      <c r="DH172" s="77"/>
      <c r="DI172" s="77"/>
      <c r="DJ172" s="77"/>
      <c r="DK172" s="77"/>
      <c r="DL172" s="77"/>
      <c r="DM172" s="77"/>
      <c r="DN172" s="77"/>
      <c r="DO172" s="77"/>
      <c r="DP172" s="96">
        <v>47786.684336298858</v>
      </c>
    </row>
    <row r="173" spans="1:120" s="22" customFormat="1" hidden="1" outlineLevel="1" x14ac:dyDescent="0.35">
      <c r="B173" s="25" t="s">
        <v>140</v>
      </c>
      <c r="C173" s="75" t="s">
        <v>25</v>
      </c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80"/>
      <c r="Q173" s="77"/>
      <c r="R173" s="77"/>
      <c r="S173" s="77"/>
      <c r="T173" s="77"/>
      <c r="U173" s="77"/>
      <c r="V173" s="77"/>
      <c r="W173" s="77"/>
      <c r="X173" s="77"/>
      <c r="Y173" s="77"/>
      <c r="Z173" s="77">
        <v>25</v>
      </c>
      <c r="AA173" s="77"/>
      <c r="AB173" s="77"/>
      <c r="AC173" s="80">
        <v>25</v>
      </c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80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83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>
        <v>765.68975523903657</v>
      </c>
      <c r="BN173" s="77"/>
      <c r="BO173" s="77"/>
      <c r="BP173" s="83">
        <v>765.68975523903657</v>
      </c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83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96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>
        <v>21368.153524962159</v>
      </c>
      <c r="DA173" s="77"/>
      <c r="DB173" s="77"/>
      <c r="DC173" s="96">
        <v>21368.153524962159</v>
      </c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96"/>
    </row>
    <row r="174" spans="1:120" s="22" customFormat="1" hidden="1" outlineLevel="1" x14ac:dyDescent="0.35">
      <c r="B174" s="25" t="s">
        <v>140</v>
      </c>
      <c r="C174" s="75" t="s">
        <v>142</v>
      </c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80"/>
      <c r="Q174" s="77"/>
      <c r="R174" s="77">
        <v>25000</v>
      </c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80">
        <v>25000</v>
      </c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80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83"/>
      <c r="BD174" s="77"/>
      <c r="BE174" s="77">
        <v>750.02822721893494</v>
      </c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83">
        <v>750.02822721893494</v>
      </c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83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96"/>
      <c r="CQ174" s="77"/>
      <c r="CR174" s="77">
        <v>12255.751686746988</v>
      </c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96">
        <v>12255.751686746988</v>
      </c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96"/>
    </row>
    <row r="175" spans="1:120" s="22" customFormat="1" hidden="1" collapsed="1" x14ac:dyDescent="0.35">
      <c r="B175" s="106" t="s">
        <v>143</v>
      </c>
      <c r="C175" s="76"/>
      <c r="D175" s="78">
        <v>9625</v>
      </c>
      <c r="E175" s="78"/>
      <c r="F175" s="78"/>
      <c r="G175" s="78"/>
      <c r="H175" s="78">
        <v>10000</v>
      </c>
      <c r="I175" s="78"/>
      <c r="J175" s="78"/>
      <c r="K175" s="78">
        <v>5500</v>
      </c>
      <c r="L175" s="78"/>
      <c r="M175" s="78">
        <v>5500</v>
      </c>
      <c r="N175" s="78">
        <v>11000</v>
      </c>
      <c r="O175" s="78">
        <v>1375</v>
      </c>
      <c r="P175" s="81">
        <v>43000</v>
      </c>
      <c r="Q175" s="78"/>
      <c r="R175" s="78">
        <v>41500</v>
      </c>
      <c r="S175" s="78"/>
      <c r="T175" s="78">
        <v>12500</v>
      </c>
      <c r="U175" s="78">
        <v>5500</v>
      </c>
      <c r="V175" s="78"/>
      <c r="W175" s="78">
        <v>11000</v>
      </c>
      <c r="X175" s="78">
        <v>15125</v>
      </c>
      <c r="Y175" s="78">
        <v>27500</v>
      </c>
      <c r="Z175" s="78">
        <v>16525</v>
      </c>
      <c r="AA175" s="78">
        <v>12375</v>
      </c>
      <c r="AB175" s="78">
        <v>5500</v>
      </c>
      <c r="AC175" s="81">
        <v>147525</v>
      </c>
      <c r="AD175" s="78">
        <v>5500</v>
      </c>
      <c r="AE175" s="78"/>
      <c r="AF175" s="78">
        <v>27500</v>
      </c>
      <c r="AG175" s="78">
        <v>33000</v>
      </c>
      <c r="AH175" s="78"/>
      <c r="AI175" s="78"/>
      <c r="AJ175" s="78"/>
      <c r="AK175" s="78"/>
      <c r="AL175" s="78"/>
      <c r="AM175" s="78"/>
      <c r="AN175" s="78"/>
      <c r="AO175" s="78"/>
      <c r="AP175" s="81">
        <v>66000</v>
      </c>
      <c r="AQ175" s="78">
        <v>876.88572233632317</v>
      </c>
      <c r="AR175" s="78"/>
      <c r="AS175" s="78"/>
      <c r="AT175" s="78"/>
      <c r="AU175" s="78">
        <v>902.37265446806816</v>
      </c>
      <c r="AV175" s="78"/>
      <c r="AW175" s="78"/>
      <c r="AX175" s="78">
        <v>902.96575099884126</v>
      </c>
      <c r="AY175" s="78"/>
      <c r="AZ175" s="78">
        <v>873.18850919547424</v>
      </c>
      <c r="BA175" s="78">
        <v>883.42257876276369</v>
      </c>
      <c r="BB175" s="78">
        <v>882.78355718493685</v>
      </c>
      <c r="BC175" s="84">
        <v>887.53664676177243</v>
      </c>
      <c r="BD175" s="78"/>
      <c r="BE175" s="78">
        <v>769.84941282463387</v>
      </c>
      <c r="BF175" s="78"/>
      <c r="BG175" s="78">
        <v>769.99640871781696</v>
      </c>
      <c r="BH175" s="78">
        <v>775.82988082063105</v>
      </c>
      <c r="BI175" s="78"/>
      <c r="BJ175" s="78">
        <v>769.58425913763119</v>
      </c>
      <c r="BK175" s="78">
        <v>717.96773189501585</v>
      </c>
      <c r="BL175" s="78">
        <v>703.70466272001977</v>
      </c>
      <c r="BM175" s="78">
        <v>714.74529872521146</v>
      </c>
      <c r="BN175" s="78">
        <v>713.05597063888376</v>
      </c>
      <c r="BO175" s="78">
        <v>765.18999336298521</v>
      </c>
      <c r="BP175" s="84">
        <v>741.30564831399306</v>
      </c>
      <c r="BQ175" s="78">
        <v>762.39268523266935</v>
      </c>
      <c r="BR175" s="78"/>
      <c r="BS175" s="78">
        <v>727.72266397684029</v>
      </c>
      <c r="BT175" s="78">
        <v>1050.2782122396188</v>
      </c>
      <c r="BU175" s="78"/>
      <c r="BV175" s="78"/>
      <c r="BW175" s="78"/>
      <c r="BX175" s="78"/>
      <c r="BY175" s="78"/>
      <c r="BZ175" s="78"/>
      <c r="CA175" s="78"/>
      <c r="CB175" s="78"/>
      <c r="CC175" s="84">
        <v>891.8896065462153</v>
      </c>
      <c r="CD175" s="78">
        <v>15050.872831168832</v>
      </c>
      <c r="CE175" s="78"/>
      <c r="CF175" s="78"/>
      <c r="CG175" s="78"/>
      <c r="CH175" s="78">
        <v>15076.330099999999</v>
      </c>
      <c r="CI175" s="78"/>
      <c r="CJ175" s="78"/>
      <c r="CK175" s="78">
        <v>15409.762000000001</v>
      </c>
      <c r="CL175" s="78"/>
      <c r="CM175" s="78">
        <v>12034.880909090909</v>
      </c>
      <c r="CN175" s="78">
        <v>12057.960909090909</v>
      </c>
      <c r="CO175" s="78">
        <v>12057.960727272728</v>
      </c>
      <c r="CP175" s="97">
        <v>13855.598930232558</v>
      </c>
      <c r="CQ175" s="78"/>
      <c r="CR175" s="78">
        <v>12255.751686746988</v>
      </c>
      <c r="CS175" s="78"/>
      <c r="CT175" s="78">
        <v>12943.758959999999</v>
      </c>
      <c r="CU175" s="78">
        <v>27556.637272727272</v>
      </c>
      <c r="CV175" s="78"/>
      <c r="CW175" s="78">
        <v>27556.633363636363</v>
      </c>
      <c r="CX175" s="78">
        <v>27556.575999999994</v>
      </c>
      <c r="CY175" s="78">
        <v>21368.151636363633</v>
      </c>
      <c r="CZ175" s="78">
        <v>21368.153524962174</v>
      </c>
      <c r="DA175" s="78">
        <v>21368.150545454544</v>
      </c>
      <c r="DB175" s="78">
        <v>23823.917818181817</v>
      </c>
      <c r="DC175" s="97">
        <v>19509.125124555161</v>
      </c>
      <c r="DD175" s="78">
        <v>47786.704545454544</v>
      </c>
      <c r="DE175" s="78"/>
      <c r="DF175" s="78">
        <v>47786.684254545456</v>
      </c>
      <c r="DG175" s="78">
        <v>47786.68441805226</v>
      </c>
      <c r="DH175" s="78"/>
      <c r="DI175" s="78"/>
      <c r="DJ175" s="78"/>
      <c r="DK175" s="78"/>
      <c r="DL175" s="78"/>
      <c r="DM175" s="78"/>
      <c r="DN175" s="78"/>
      <c r="DO175" s="78"/>
      <c r="DP175" s="97">
        <v>47786.68602720795</v>
      </c>
    </row>
    <row r="176" spans="1:120" s="22" customFormat="1" hidden="1" outlineLevel="1" x14ac:dyDescent="0.35">
      <c r="B176" s="25" t="s">
        <v>144</v>
      </c>
      <c r="C176" s="75" t="s">
        <v>5</v>
      </c>
      <c r="D176" s="77"/>
      <c r="E176" s="77">
        <v>200</v>
      </c>
      <c r="F176" s="77"/>
      <c r="G176" s="77">
        <v>150</v>
      </c>
      <c r="H176" s="77"/>
      <c r="I176" s="77"/>
      <c r="J176" s="77"/>
      <c r="K176" s="77"/>
      <c r="L176" s="77"/>
      <c r="M176" s="77"/>
      <c r="N176" s="77">
        <v>1375</v>
      </c>
      <c r="O176" s="77"/>
      <c r="P176" s="80">
        <v>1725</v>
      </c>
      <c r="Q176" s="77"/>
      <c r="R176" s="77">
        <v>1000</v>
      </c>
      <c r="S176" s="77"/>
      <c r="T176" s="77"/>
      <c r="U176" s="77"/>
      <c r="V176" s="77">
        <v>1375</v>
      </c>
      <c r="W176" s="77">
        <v>1375</v>
      </c>
      <c r="X176" s="77"/>
      <c r="Y176" s="77"/>
      <c r="Z176" s="77"/>
      <c r="AA176" s="77">
        <v>1375</v>
      </c>
      <c r="AB176" s="77"/>
      <c r="AC176" s="80">
        <v>5125</v>
      </c>
      <c r="AD176" s="77"/>
      <c r="AE176" s="77"/>
      <c r="AF176" s="77">
        <v>1375</v>
      </c>
      <c r="AG176" s="77"/>
      <c r="AH176" s="77"/>
      <c r="AI176" s="77"/>
      <c r="AJ176" s="77"/>
      <c r="AK176" s="77"/>
      <c r="AL176" s="77"/>
      <c r="AM176" s="77"/>
      <c r="AN176" s="77"/>
      <c r="AO176" s="77"/>
      <c r="AP176" s="80">
        <v>1375</v>
      </c>
      <c r="AQ176" s="77"/>
      <c r="AR176" s="77">
        <v>681.07778982627428</v>
      </c>
      <c r="AS176" s="77"/>
      <c r="AT176" s="77">
        <v>665.2320252162117</v>
      </c>
      <c r="AU176" s="77"/>
      <c r="AV176" s="77"/>
      <c r="AW176" s="77"/>
      <c r="AX176" s="77"/>
      <c r="AY176" s="77"/>
      <c r="AZ176" s="77"/>
      <c r="BA176" s="77">
        <v>883.42258598113051</v>
      </c>
      <c r="BB176" s="77"/>
      <c r="BC176" s="83">
        <v>840.98922751984992</v>
      </c>
      <c r="BD176" s="77"/>
      <c r="BE176" s="77">
        <v>799.88151222720785</v>
      </c>
      <c r="BF176" s="77"/>
      <c r="BG176" s="77"/>
      <c r="BH176" s="77"/>
      <c r="BI176" s="77">
        <v>771.75642589621691</v>
      </c>
      <c r="BJ176" s="77">
        <v>769.58425913763119</v>
      </c>
      <c r="BK176" s="77"/>
      <c r="BL176" s="77"/>
      <c r="BM176" s="77"/>
      <c r="BN176" s="77">
        <v>763.70131073511413</v>
      </c>
      <c r="BO176" s="77"/>
      <c r="BP176" s="83">
        <v>774.50034271405491</v>
      </c>
      <c r="BQ176" s="77"/>
      <c r="BR176" s="77"/>
      <c r="BS176" s="77">
        <v>721.12191837478531</v>
      </c>
      <c r="BT176" s="77"/>
      <c r="BU176" s="77"/>
      <c r="BV176" s="77"/>
      <c r="BW176" s="77"/>
      <c r="BX176" s="77"/>
      <c r="BY176" s="77"/>
      <c r="BZ176" s="77"/>
      <c r="CA176" s="77"/>
      <c r="CB176" s="77"/>
      <c r="CC176" s="83">
        <v>721.12191837478531</v>
      </c>
      <c r="CD176" s="77"/>
      <c r="CE176" s="77">
        <v>22617.95</v>
      </c>
      <c r="CF176" s="77"/>
      <c r="CG176" s="77">
        <v>23105.173333333336</v>
      </c>
      <c r="CH176" s="77"/>
      <c r="CI176" s="77"/>
      <c r="CJ176" s="77"/>
      <c r="CK176" s="77"/>
      <c r="CL176" s="77"/>
      <c r="CM176" s="77"/>
      <c r="CN176" s="77">
        <v>19676.924363636364</v>
      </c>
      <c r="CO176" s="77"/>
      <c r="CP176" s="96">
        <v>20316.021449275362</v>
      </c>
      <c r="CQ176" s="77"/>
      <c r="CR176" s="77">
        <v>18639.791000000001</v>
      </c>
      <c r="CS176" s="77"/>
      <c r="CT176" s="77"/>
      <c r="CU176" s="77"/>
      <c r="CV176" s="77">
        <v>18639.791272727274</v>
      </c>
      <c r="CW176" s="77">
        <v>18652.802985074628</v>
      </c>
      <c r="CX176" s="77"/>
      <c r="CY176" s="77"/>
      <c r="CZ176" s="77"/>
      <c r="DA176" s="77">
        <v>18652.802181818181</v>
      </c>
      <c r="DB176" s="77"/>
      <c r="DC176" s="96">
        <v>18646.772898434658</v>
      </c>
      <c r="DD176" s="77"/>
      <c r="DE176" s="77"/>
      <c r="DF176" s="77">
        <v>18653.748363636365</v>
      </c>
      <c r="DG176" s="77"/>
      <c r="DH176" s="77"/>
      <c r="DI176" s="77"/>
      <c r="DJ176" s="77"/>
      <c r="DK176" s="77"/>
      <c r="DL176" s="77"/>
      <c r="DM176" s="77"/>
      <c r="DN176" s="77"/>
      <c r="DO176" s="77"/>
      <c r="DP176" s="96">
        <v>18653.748363636365</v>
      </c>
    </row>
    <row r="177" spans="2:120" s="22" customFormat="1" hidden="1" outlineLevel="1" x14ac:dyDescent="0.35">
      <c r="B177" s="25" t="s">
        <v>144</v>
      </c>
      <c r="C177" s="75" t="s">
        <v>141</v>
      </c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80"/>
      <c r="Q177" s="77"/>
      <c r="R177" s="77"/>
      <c r="S177" s="77"/>
      <c r="T177" s="77"/>
      <c r="U177" s="77"/>
      <c r="V177" s="77"/>
      <c r="W177" s="77">
        <v>300</v>
      </c>
      <c r="X177" s="77"/>
      <c r="Y177" s="77"/>
      <c r="Z177" s="77"/>
      <c r="AA177" s="77"/>
      <c r="AB177" s="77"/>
      <c r="AC177" s="80">
        <v>300</v>
      </c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80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83"/>
      <c r="BD177" s="77"/>
      <c r="BE177" s="77"/>
      <c r="BF177" s="77"/>
      <c r="BG177" s="77"/>
      <c r="BH177" s="77"/>
      <c r="BI177" s="77"/>
      <c r="BJ177" s="77">
        <v>579.57128192946459</v>
      </c>
      <c r="BK177" s="77"/>
      <c r="BL177" s="77"/>
      <c r="BM177" s="77"/>
      <c r="BN177" s="77"/>
      <c r="BO177" s="77"/>
      <c r="BP177" s="83">
        <v>579.57128192946459</v>
      </c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83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77"/>
      <c r="CP177" s="96"/>
      <c r="CQ177" s="77"/>
      <c r="CR177" s="77"/>
      <c r="CS177" s="77"/>
      <c r="CT177" s="77"/>
      <c r="CU177" s="77"/>
      <c r="CV177" s="77"/>
      <c r="CW177" s="77">
        <v>18652.802985074624</v>
      </c>
      <c r="CX177" s="77"/>
      <c r="CY177" s="77"/>
      <c r="CZ177" s="77"/>
      <c r="DA177" s="77"/>
      <c r="DB177" s="77"/>
      <c r="DC177" s="96">
        <v>18652.802985074624</v>
      </c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96"/>
    </row>
    <row r="178" spans="2:120" s="22" customFormat="1" hidden="1" outlineLevel="1" x14ac:dyDescent="0.35">
      <c r="B178" s="25" t="s">
        <v>144</v>
      </c>
      <c r="C178" s="75" t="s">
        <v>380</v>
      </c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80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80"/>
      <c r="AD178" s="77"/>
      <c r="AE178" s="77"/>
      <c r="AF178" s="77"/>
      <c r="AG178" s="77">
        <v>50</v>
      </c>
      <c r="AH178" s="77"/>
      <c r="AI178" s="77"/>
      <c r="AJ178" s="77"/>
      <c r="AK178" s="77"/>
      <c r="AL178" s="77"/>
      <c r="AM178" s="77"/>
      <c r="AN178" s="77"/>
      <c r="AO178" s="77"/>
      <c r="AP178" s="80">
        <v>50</v>
      </c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83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83"/>
      <c r="BQ178" s="77"/>
      <c r="BR178" s="77"/>
      <c r="BS178" s="77"/>
      <c r="BT178" s="77">
        <v>1235.0857142857144</v>
      </c>
      <c r="BU178" s="77"/>
      <c r="BV178" s="77"/>
      <c r="BW178" s="77"/>
      <c r="BX178" s="77"/>
      <c r="BY178" s="77"/>
      <c r="BZ178" s="77"/>
      <c r="CA178" s="77"/>
      <c r="CB178" s="77"/>
      <c r="CC178" s="83">
        <v>1235.0857142857144</v>
      </c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96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96"/>
      <c r="DD178" s="77"/>
      <c r="DE178" s="77"/>
      <c r="DF178" s="77"/>
      <c r="DG178" s="77">
        <v>18653.748791368515</v>
      </c>
      <c r="DH178" s="77"/>
      <c r="DI178" s="77"/>
      <c r="DJ178" s="77"/>
      <c r="DK178" s="77"/>
      <c r="DL178" s="77"/>
      <c r="DM178" s="77"/>
      <c r="DN178" s="77"/>
      <c r="DO178" s="77"/>
      <c r="DP178" s="96">
        <v>18653.748791368515</v>
      </c>
    </row>
    <row r="179" spans="2:120" s="22" customFormat="1" hidden="1" collapsed="1" x14ac:dyDescent="0.35">
      <c r="B179" s="106" t="s">
        <v>145</v>
      </c>
      <c r="C179" s="76"/>
      <c r="D179" s="78"/>
      <c r="E179" s="78">
        <v>200</v>
      </c>
      <c r="F179" s="78"/>
      <c r="G179" s="78">
        <v>150</v>
      </c>
      <c r="H179" s="78"/>
      <c r="I179" s="78"/>
      <c r="J179" s="78"/>
      <c r="K179" s="78"/>
      <c r="L179" s="78"/>
      <c r="M179" s="78"/>
      <c r="N179" s="78">
        <v>1375</v>
      </c>
      <c r="O179" s="78"/>
      <c r="P179" s="81">
        <v>1725</v>
      </c>
      <c r="Q179" s="78"/>
      <c r="R179" s="78">
        <v>1000</v>
      </c>
      <c r="S179" s="78"/>
      <c r="T179" s="78"/>
      <c r="U179" s="78"/>
      <c r="V179" s="78">
        <v>1375</v>
      </c>
      <c r="W179" s="78">
        <v>1675</v>
      </c>
      <c r="X179" s="78"/>
      <c r="Y179" s="78"/>
      <c r="Z179" s="78"/>
      <c r="AA179" s="78">
        <v>1375</v>
      </c>
      <c r="AB179" s="78"/>
      <c r="AC179" s="81">
        <v>5425</v>
      </c>
      <c r="AD179" s="78"/>
      <c r="AE179" s="78"/>
      <c r="AF179" s="78">
        <v>1375</v>
      </c>
      <c r="AG179" s="78">
        <v>50</v>
      </c>
      <c r="AH179" s="78"/>
      <c r="AI179" s="78"/>
      <c r="AJ179" s="78"/>
      <c r="AK179" s="78"/>
      <c r="AL179" s="78"/>
      <c r="AM179" s="78"/>
      <c r="AN179" s="78"/>
      <c r="AO179" s="78"/>
      <c r="AP179" s="81">
        <v>1425</v>
      </c>
      <c r="AQ179" s="78"/>
      <c r="AR179" s="78">
        <v>681.07778982627428</v>
      </c>
      <c r="AS179" s="78"/>
      <c r="AT179" s="78">
        <v>665.2320252162117</v>
      </c>
      <c r="AU179" s="78"/>
      <c r="AV179" s="78"/>
      <c r="AW179" s="78"/>
      <c r="AX179" s="78"/>
      <c r="AY179" s="78"/>
      <c r="AZ179" s="78"/>
      <c r="BA179" s="78">
        <v>883.42258598113051</v>
      </c>
      <c r="BB179" s="78"/>
      <c r="BC179" s="84">
        <v>840.98922751984992</v>
      </c>
      <c r="BD179" s="78"/>
      <c r="BE179" s="78">
        <v>799.88151222720785</v>
      </c>
      <c r="BF179" s="78"/>
      <c r="BG179" s="78"/>
      <c r="BH179" s="78"/>
      <c r="BI179" s="78">
        <v>771.75642589621691</v>
      </c>
      <c r="BJ179" s="78">
        <v>735.55208411527292</v>
      </c>
      <c r="BK179" s="78"/>
      <c r="BL179" s="78"/>
      <c r="BM179" s="78"/>
      <c r="BN179" s="78">
        <v>763.70131073511413</v>
      </c>
      <c r="BO179" s="78"/>
      <c r="BP179" s="84">
        <v>763.72085548172743</v>
      </c>
      <c r="BQ179" s="78"/>
      <c r="BR179" s="78"/>
      <c r="BS179" s="78">
        <v>721.12191837478531</v>
      </c>
      <c r="BT179" s="78">
        <v>1235.0857142857144</v>
      </c>
      <c r="BU179" s="78"/>
      <c r="BV179" s="78"/>
      <c r="BW179" s="78"/>
      <c r="BX179" s="78"/>
      <c r="BY179" s="78"/>
      <c r="BZ179" s="78"/>
      <c r="CA179" s="78"/>
      <c r="CB179" s="78"/>
      <c r="CC179" s="84">
        <v>739.15573577516875</v>
      </c>
      <c r="CD179" s="78"/>
      <c r="CE179" s="78">
        <v>22617.95</v>
      </c>
      <c r="CF179" s="78"/>
      <c r="CG179" s="78">
        <v>23105.173333333336</v>
      </c>
      <c r="CH179" s="78"/>
      <c r="CI179" s="78"/>
      <c r="CJ179" s="78"/>
      <c r="CK179" s="78"/>
      <c r="CL179" s="78"/>
      <c r="CM179" s="78"/>
      <c r="CN179" s="78">
        <v>19676.924363636364</v>
      </c>
      <c r="CO179" s="78"/>
      <c r="CP179" s="97">
        <v>20316.021449275362</v>
      </c>
      <c r="CQ179" s="78"/>
      <c r="CR179" s="78">
        <v>18639.791000000001</v>
      </c>
      <c r="CS179" s="78"/>
      <c r="CT179" s="78"/>
      <c r="CU179" s="78"/>
      <c r="CV179" s="78">
        <v>18639.791272727274</v>
      </c>
      <c r="CW179" s="78">
        <v>18652.802985074628</v>
      </c>
      <c r="CX179" s="78"/>
      <c r="CY179" s="78"/>
      <c r="CZ179" s="78"/>
      <c r="DA179" s="78">
        <v>18652.802181818181</v>
      </c>
      <c r="DB179" s="78"/>
      <c r="DC179" s="97">
        <v>18647.106359447003</v>
      </c>
      <c r="DD179" s="78"/>
      <c r="DE179" s="78"/>
      <c r="DF179" s="78">
        <v>18653.748363636365</v>
      </c>
      <c r="DG179" s="78">
        <v>18653.748791368515</v>
      </c>
      <c r="DH179" s="78"/>
      <c r="DI179" s="78"/>
      <c r="DJ179" s="78"/>
      <c r="DK179" s="78"/>
      <c r="DL179" s="78"/>
      <c r="DM179" s="78"/>
      <c r="DN179" s="78"/>
      <c r="DO179" s="78"/>
      <c r="DP179" s="97">
        <v>18653.748378644508</v>
      </c>
    </row>
    <row r="180" spans="2:120" s="22" customFormat="1" hidden="1" outlineLevel="1" x14ac:dyDescent="0.35">
      <c r="B180" s="25" t="s">
        <v>146</v>
      </c>
      <c r="C180" s="75" t="s">
        <v>5</v>
      </c>
      <c r="D180" s="77">
        <v>5500</v>
      </c>
      <c r="E180" s="77"/>
      <c r="F180" s="77"/>
      <c r="G180" s="77">
        <v>2750</v>
      </c>
      <c r="H180" s="77">
        <v>18250</v>
      </c>
      <c r="I180" s="77"/>
      <c r="J180" s="77"/>
      <c r="K180" s="77"/>
      <c r="L180" s="77"/>
      <c r="M180" s="77"/>
      <c r="N180" s="77">
        <v>4125</v>
      </c>
      <c r="O180" s="77">
        <v>2750</v>
      </c>
      <c r="P180" s="80">
        <v>33375</v>
      </c>
      <c r="Q180" s="77"/>
      <c r="R180" s="77">
        <v>5500</v>
      </c>
      <c r="S180" s="77">
        <v>11000</v>
      </c>
      <c r="T180" s="77"/>
      <c r="U180" s="77">
        <v>5500</v>
      </c>
      <c r="V180" s="77"/>
      <c r="W180" s="77">
        <v>5500</v>
      </c>
      <c r="X180" s="77"/>
      <c r="Y180" s="77">
        <v>2750</v>
      </c>
      <c r="Z180" s="77">
        <v>2750</v>
      </c>
      <c r="AA180" s="77">
        <v>5500</v>
      </c>
      <c r="AB180" s="77">
        <v>5500</v>
      </c>
      <c r="AC180" s="80">
        <v>44000</v>
      </c>
      <c r="AD180" s="77"/>
      <c r="AE180" s="77">
        <v>5500</v>
      </c>
      <c r="AF180" s="77"/>
      <c r="AG180" s="77">
        <v>5500</v>
      </c>
      <c r="AH180" s="77"/>
      <c r="AI180" s="77"/>
      <c r="AJ180" s="77"/>
      <c r="AK180" s="77"/>
      <c r="AL180" s="77"/>
      <c r="AM180" s="77"/>
      <c r="AN180" s="77"/>
      <c r="AO180" s="77"/>
      <c r="AP180" s="80">
        <v>11000</v>
      </c>
      <c r="AQ180" s="77">
        <v>876.88572127072541</v>
      </c>
      <c r="AR180" s="77"/>
      <c r="AS180" s="77"/>
      <c r="AT180" s="77">
        <v>909.42051326281785</v>
      </c>
      <c r="AU180" s="77">
        <v>904.80747458419387</v>
      </c>
      <c r="AV180" s="77"/>
      <c r="AW180" s="77"/>
      <c r="AX180" s="77"/>
      <c r="AY180" s="77"/>
      <c r="AZ180" s="77"/>
      <c r="BA180" s="77">
        <v>883.42257635664123</v>
      </c>
      <c r="BB180" s="77">
        <v>882.78357160046767</v>
      </c>
      <c r="BC180" s="83">
        <v>896.12845659912239</v>
      </c>
      <c r="BD180" s="77"/>
      <c r="BE180" s="77">
        <v>799.88151222720796</v>
      </c>
      <c r="BF180" s="77">
        <v>816.28397683315472</v>
      </c>
      <c r="BG180" s="77"/>
      <c r="BH180" s="77">
        <v>775.82988082063105</v>
      </c>
      <c r="BI180" s="77"/>
      <c r="BJ180" s="77">
        <v>769.58425913763119</v>
      </c>
      <c r="BK180" s="77"/>
      <c r="BL180" s="77">
        <v>763.05324906685746</v>
      </c>
      <c r="BM180" s="77">
        <v>764.19956608517043</v>
      </c>
      <c r="BN180" s="77">
        <v>763.70131073511413</v>
      </c>
      <c r="BO180" s="77">
        <v>765.18999336298521</v>
      </c>
      <c r="BP180" s="83">
        <v>783.79766469073638</v>
      </c>
      <c r="BQ180" s="77"/>
      <c r="BR180" s="77">
        <v>747.61679200279139</v>
      </c>
      <c r="BS180" s="77"/>
      <c r="BT180" s="77">
        <v>1195.1619047619047</v>
      </c>
      <c r="BU180" s="77"/>
      <c r="BV180" s="77"/>
      <c r="BW180" s="77"/>
      <c r="BX180" s="77"/>
      <c r="BY180" s="77"/>
      <c r="BZ180" s="77"/>
      <c r="CA180" s="77"/>
      <c r="CB180" s="77"/>
      <c r="CC180" s="83">
        <v>971.38934838234798</v>
      </c>
      <c r="CD180" s="77">
        <v>45405.774181818182</v>
      </c>
      <c r="CE180" s="77"/>
      <c r="CF180" s="77"/>
      <c r="CG180" s="77">
        <v>45405.774909090906</v>
      </c>
      <c r="CH180" s="77">
        <v>38458.31024657534</v>
      </c>
      <c r="CI180" s="77"/>
      <c r="CJ180" s="77"/>
      <c r="CK180" s="77"/>
      <c r="CL180" s="77"/>
      <c r="CM180" s="77"/>
      <c r="CN180" s="77">
        <v>77055.114666666661</v>
      </c>
      <c r="CO180" s="77">
        <v>77055.105454545454</v>
      </c>
      <c r="CP180" s="96">
        <v>48126.312779026215</v>
      </c>
      <c r="CQ180" s="77"/>
      <c r="CR180" s="77">
        <v>40216.689454545456</v>
      </c>
      <c r="CS180" s="77">
        <v>34347.680181818185</v>
      </c>
      <c r="CT180" s="77"/>
      <c r="CU180" s="77">
        <v>34347.680727272724</v>
      </c>
      <c r="CV180" s="77"/>
      <c r="CW180" s="77">
        <v>30401.628363636362</v>
      </c>
      <c r="CX180" s="77"/>
      <c r="CY180" s="77">
        <v>23388.808126482218</v>
      </c>
      <c r="CZ180" s="77">
        <v>23388.810259067355</v>
      </c>
      <c r="DA180" s="77">
        <v>23417.882545454544</v>
      </c>
      <c r="DB180" s="77">
        <v>21943.237636363636</v>
      </c>
      <c r="DC180" s="96">
        <v>30301.411035460482</v>
      </c>
      <c r="DD180" s="77"/>
      <c r="DE180" s="77">
        <v>21943.237454545455</v>
      </c>
      <c r="DF180" s="77"/>
      <c r="DG180" s="77">
        <v>21943.237235317618</v>
      </c>
      <c r="DH180" s="77"/>
      <c r="DI180" s="77"/>
      <c r="DJ180" s="77"/>
      <c r="DK180" s="77"/>
      <c r="DL180" s="77"/>
      <c r="DM180" s="77"/>
      <c r="DN180" s="77"/>
      <c r="DO180" s="77"/>
      <c r="DP180" s="96">
        <v>21943.237344931538</v>
      </c>
    </row>
    <row r="181" spans="2:120" s="22" customFormat="1" hidden="1" outlineLevel="1" x14ac:dyDescent="0.35">
      <c r="B181" s="25" t="s">
        <v>146</v>
      </c>
      <c r="C181" s="75" t="s">
        <v>147</v>
      </c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80"/>
      <c r="Q181" s="77"/>
      <c r="R181" s="77"/>
      <c r="S181" s="77"/>
      <c r="T181" s="77"/>
      <c r="U181" s="77"/>
      <c r="V181" s="77">
        <v>5500</v>
      </c>
      <c r="W181" s="77"/>
      <c r="X181" s="77"/>
      <c r="Y181" s="77"/>
      <c r="Z181" s="77"/>
      <c r="AA181" s="77"/>
      <c r="AB181" s="77"/>
      <c r="AC181" s="80">
        <v>5500</v>
      </c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80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83"/>
      <c r="BD181" s="77"/>
      <c r="BE181" s="77"/>
      <c r="BF181" s="77"/>
      <c r="BG181" s="77"/>
      <c r="BH181" s="77"/>
      <c r="BI181" s="77">
        <v>692.82336682137918</v>
      </c>
      <c r="BJ181" s="77"/>
      <c r="BK181" s="77"/>
      <c r="BL181" s="77"/>
      <c r="BM181" s="77"/>
      <c r="BN181" s="77"/>
      <c r="BO181" s="77"/>
      <c r="BP181" s="83">
        <v>692.82336682137918</v>
      </c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83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96"/>
      <c r="CQ181" s="77"/>
      <c r="CR181" s="77"/>
      <c r="CS181" s="77"/>
      <c r="CT181" s="77"/>
      <c r="CU181" s="77"/>
      <c r="CV181" s="77">
        <v>34347.684000000001</v>
      </c>
      <c r="CW181" s="77"/>
      <c r="CX181" s="77"/>
      <c r="CY181" s="77"/>
      <c r="CZ181" s="77"/>
      <c r="DA181" s="77"/>
      <c r="DB181" s="77"/>
      <c r="DC181" s="96">
        <v>34347.684000000001</v>
      </c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96"/>
    </row>
    <row r="182" spans="2:120" s="22" customFormat="1" hidden="1" outlineLevel="1" x14ac:dyDescent="0.35">
      <c r="B182" s="25" t="s">
        <v>146</v>
      </c>
      <c r="C182" s="75" t="s">
        <v>141</v>
      </c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80"/>
      <c r="Q182" s="77"/>
      <c r="R182" s="77"/>
      <c r="S182" s="77"/>
      <c r="T182" s="77">
        <v>1500</v>
      </c>
      <c r="U182" s="77"/>
      <c r="V182" s="77"/>
      <c r="W182" s="77"/>
      <c r="X182" s="77">
        <v>37125</v>
      </c>
      <c r="Y182" s="77">
        <v>28875</v>
      </c>
      <c r="Z182" s="77">
        <v>6875</v>
      </c>
      <c r="AA182" s="77"/>
      <c r="AB182" s="77"/>
      <c r="AC182" s="80">
        <v>74375</v>
      </c>
      <c r="AD182" s="77">
        <v>11000</v>
      </c>
      <c r="AE182" s="77"/>
      <c r="AF182" s="77">
        <v>11000</v>
      </c>
      <c r="AG182" s="77"/>
      <c r="AH182" s="77"/>
      <c r="AI182" s="77"/>
      <c r="AJ182" s="77"/>
      <c r="AK182" s="77"/>
      <c r="AL182" s="77"/>
      <c r="AM182" s="77"/>
      <c r="AN182" s="77"/>
      <c r="AO182" s="77"/>
      <c r="AP182" s="80">
        <v>22000</v>
      </c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83"/>
      <c r="BD182" s="77"/>
      <c r="BE182" s="77"/>
      <c r="BF182" s="77"/>
      <c r="BG182" s="77">
        <v>703.34128749552747</v>
      </c>
      <c r="BH182" s="77"/>
      <c r="BI182" s="77"/>
      <c r="BJ182" s="77"/>
      <c r="BK182" s="77">
        <v>708.79996389353846</v>
      </c>
      <c r="BL182" s="77">
        <v>688.86751299521256</v>
      </c>
      <c r="BM182" s="77">
        <v>689.90238357897215</v>
      </c>
      <c r="BN182" s="77"/>
      <c r="BO182" s="77"/>
      <c r="BP182" s="83">
        <v>699.20455684884826</v>
      </c>
      <c r="BQ182" s="77">
        <v>705.21323384021912</v>
      </c>
      <c r="BR182" s="77"/>
      <c r="BS182" s="77">
        <v>705.8600788324618</v>
      </c>
      <c r="BT182" s="77"/>
      <c r="BU182" s="77"/>
      <c r="BV182" s="77"/>
      <c r="BW182" s="77"/>
      <c r="BX182" s="77"/>
      <c r="BY182" s="77"/>
      <c r="BZ182" s="77"/>
      <c r="CA182" s="77"/>
      <c r="CB182" s="77"/>
      <c r="CC182" s="83">
        <v>705.53665633634046</v>
      </c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96"/>
      <c r="CQ182" s="77"/>
      <c r="CR182" s="77"/>
      <c r="CS182" s="77"/>
      <c r="CT182" s="77">
        <v>34347.679333333333</v>
      </c>
      <c r="CU182" s="77"/>
      <c r="CV182" s="77"/>
      <c r="CW182" s="77"/>
      <c r="CX182" s="77">
        <v>39088.663730639732</v>
      </c>
      <c r="CY182" s="77">
        <v>23388.808126482218</v>
      </c>
      <c r="CZ182" s="77">
        <v>23388.810259067362</v>
      </c>
      <c r="DA182" s="77"/>
      <c r="DB182" s="77"/>
      <c r="DC182" s="96">
        <v>31446.562220951419</v>
      </c>
      <c r="DD182" s="77">
        <v>21943.237636363636</v>
      </c>
      <c r="DE182" s="77"/>
      <c r="DF182" s="77">
        <v>21943.237363636363</v>
      </c>
      <c r="DG182" s="77"/>
      <c r="DH182" s="77"/>
      <c r="DI182" s="77"/>
      <c r="DJ182" s="77"/>
      <c r="DK182" s="77"/>
      <c r="DL182" s="77"/>
      <c r="DM182" s="77"/>
      <c r="DN182" s="77"/>
      <c r="DO182" s="77"/>
      <c r="DP182" s="96">
        <v>21943.237499999999</v>
      </c>
    </row>
    <row r="183" spans="2:120" s="22" customFormat="1" hidden="1" outlineLevel="1" x14ac:dyDescent="0.35">
      <c r="B183" s="25" t="s">
        <v>146</v>
      </c>
      <c r="C183" s="75" t="s">
        <v>25</v>
      </c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80"/>
      <c r="Q183" s="77"/>
      <c r="R183" s="77"/>
      <c r="S183" s="77"/>
      <c r="T183" s="77"/>
      <c r="U183" s="77"/>
      <c r="V183" s="77"/>
      <c r="W183" s="77"/>
      <c r="X183" s="77"/>
      <c r="Y183" s="77"/>
      <c r="Z183" s="77">
        <v>25</v>
      </c>
      <c r="AA183" s="77"/>
      <c r="AB183" s="77"/>
      <c r="AC183" s="80">
        <v>25</v>
      </c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80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83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>
        <v>765.68975523903657</v>
      </c>
      <c r="BN183" s="77"/>
      <c r="BO183" s="77"/>
      <c r="BP183" s="83">
        <v>765.68975523903657</v>
      </c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83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96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>
        <v>23388.810259067366</v>
      </c>
      <c r="DA183" s="77"/>
      <c r="DB183" s="77"/>
      <c r="DC183" s="96">
        <v>23388.810259067366</v>
      </c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96"/>
    </row>
    <row r="184" spans="2:120" s="22" customFormat="1" hidden="1" collapsed="1" x14ac:dyDescent="0.35">
      <c r="B184" s="106" t="s">
        <v>148</v>
      </c>
      <c r="C184" s="76"/>
      <c r="D184" s="78">
        <v>5500</v>
      </c>
      <c r="E184" s="78"/>
      <c r="F184" s="78"/>
      <c r="G184" s="78">
        <v>2750</v>
      </c>
      <c r="H184" s="78">
        <v>18250</v>
      </c>
      <c r="I184" s="78"/>
      <c r="J184" s="78"/>
      <c r="K184" s="78"/>
      <c r="L184" s="78"/>
      <c r="M184" s="78"/>
      <c r="N184" s="78">
        <v>4125</v>
      </c>
      <c r="O184" s="78">
        <v>2750</v>
      </c>
      <c r="P184" s="81">
        <v>33375</v>
      </c>
      <c r="Q184" s="78"/>
      <c r="R184" s="78">
        <v>5500</v>
      </c>
      <c r="S184" s="78">
        <v>11000</v>
      </c>
      <c r="T184" s="78">
        <v>1500</v>
      </c>
      <c r="U184" s="78">
        <v>5500</v>
      </c>
      <c r="V184" s="78">
        <v>5500</v>
      </c>
      <c r="W184" s="78">
        <v>5500</v>
      </c>
      <c r="X184" s="78">
        <v>37125</v>
      </c>
      <c r="Y184" s="78">
        <v>31625</v>
      </c>
      <c r="Z184" s="78">
        <v>9650</v>
      </c>
      <c r="AA184" s="78">
        <v>5500</v>
      </c>
      <c r="AB184" s="78">
        <v>5500</v>
      </c>
      <c r="AC184" s="81">
        <v>123900</v>
      </c>
      <c r="AD184" s="78">
        <v>11000</v>
      </c>
      <c r="AE184" s="78">
        <v>5500</v>
      </c>
      <c r="AF184" s="78">
        <v>11000</v>
      </c>
      <c r="AG184" s="78">
        <v>5500</v>
      </c>
      <c r="AH184" s="78"/>
      <c r="AI184" s="78"/>
      <c r="AJ184" s="78"/>
      <c r="AK184" s="78"/>
      <c r="AL184" s="78"/>
      <c r="AM184" s="78"/>
      <c r="AN184" s="78"/>
      <c r="AO184" s="78"/>
      <c r="AP184" s="81">
        <v>33000</v>
      </c>
      <c r="AQ184" s="78">
        <v>876.88572127072541</v>
      </c>
      <c r="AR184" s="78"/>
      <c r="AS184" s="78"/>
      <c r="AT184" s="78">
        <v>909.42051326281785</v>
      </c>
      <c r="AU184" s="78">
        <v>904.80747458419387</v>
      </c>
      <c r="AV184" s="78"/>
      <c r="AW184" s="78"/>
      <c r="AX184" s="78"/>
      <c r="AY184" s="78"/>
      <c r="AZ184" s="78"/>
      <c r="BA184" s="78">
        <v>883.42257635664123</v>
      </c>
      <c r="BB184" s="78">
        <v>882.78357160046767</v>
      </c>
      <c r="BC184" s="84">
        <v>896.12845659912239</v>
      </c>
      <c r="BD184" s="78"/>
      <c r="BE184" s="78">
        <v>799.88151222720796</v>
      </c>
      <c r="BF184" s="78">
        <v>816.28397683315472</v>
      </c>
      <c r="BG184" s="78">
        <v>703.34128749552747</v>
      </c>
      <c r="BH184" s="78">
        <v>775.82988082063105</v>
      </c>
      <c r="BI184" s="78">
        <v>692.82336682137918</v>
      </c>
      <c r="BJ184" s="78">
        <v>769.58425913763119</v>
      </c>
      <c r="BK184" s="78">
        <v>708.79996389353846</v>
      </c>
      <c r="BL184" s="78">
        <v>695.31844656665987</v>
      </c>
      <c r="BM184" s="78">
        <v>711.27149613685265</v>
      </c>
      <c r="BN184" s="78">
        <v>763.70131073511413</v>
      </c>
      <c r="BO184" s="78">
        <v>765.18999336298521</v>
      </c>
      <c r="BP184" s="84">
        <v>728.97584280406841</v>
      </c>
      <c r="BQ184" s="78">
        <v>705.21323384021912</v>
      </c>
      <c r="BR184" s="78">
        <v>747.61679200279139</v>
      </c>
      <c r="BS184" s="78">
        <v>705.8600788324618</v>
      </c>
      <c r="BT184" s="78">
        <v>1195.1619047619047</v>
      </c>
      <c r="BU184" s="78"/>
      <c r="BV184" s="78"/>
      <c r="BW184" s="78"/>
      <c r="BX184" s="78"/>
      <c r="BY184" s="78"/>
      <c r="BZ184" s="78"/>
      <c r="CA184" s="78"/>
      <c r="CB184" s="78"/>
      <c r="CC184" s="84">
        <v>794.15422035167637</v>
      </c>
      <c r="CD184" s="78">
        <v>45405.774181818182</v>
      </c>
      <c r="CE184" s="78"/>
      <c r="CF184" s="78"/>
      <c r="CG184" s="78">
        <v>45405.774909090906</v>
      </c>
      <c r="CH184" s="78">
        <v>38458.31024657534</v>
      </c>
      <c r="CI184" s="78"/>
      <c r="CJ184" s="78"/>
      <c r="CK184" s="78"/>
      <c r="CL184" s="78"/>
      <c r="CM184" s="78"/>
      <c r="CN184" s="78">
        <v>77055.114666666661</v>
      </c>
      <c r="CO184" s="78">
        <v>77055.105454545454</v>
      </c>
      <c r="CP184" s="97">
        <v>48126.312779026215</v>
      </c>
      <c r="CQ184" s="78"/>
      <c r="CR184" s="78">
        <v>40216.689454545456</v>
      </c>
      <c r="CS184" s="78">
        <v>34347.680181818185</v>
      </c>
      <c r="CT184" s="78">
        <v>34347.679333333333</v>
      </c>
      <c r="CU184" s="78">
        <v>34347.680727272724</v>
      </c>
      <c r="CV184" s="78">
        <v>34347.684000000001</v>
      </c>
      <c r="CW184" s="78">
        <v>30401.628363636362</v>
      </c>
      <c r="CX184" s="78">
        <v>39088.663730639732</v>
      </c>
      <c r="CY184" s="78">
        <v>23388.808126482218</v>
      </c>
      <c r="CZ184" s="78">
        <v>23388.810259067359</v>
      </c>
      <c r="DA184" s="78">
        <v>23417.882545454544</v>
      </c>
      <c r="DB184" s="78">
        <v>21943.237636363636</v>
      </c>
      <c r="DC184" s="97">
        <v>31167.047078288942</v>
      </c>
      <c r="DD184" s="78">
        <v>21943.237636363636</v>
      </c>
      <c r="DE184" s="78">
        <v>21943.237454545455</v>
      </c>
      <c r="DF184" s="78">
        <v>21943.237363636363</v>
      </c>
      <c r="DG184" s="78">
        <v>21943.237235317618</v>
      </c>
      <c r="DH184" s="78"/>
      <c r="DI184" s="78"/>
      <c r="DJ184" s="78"/>
      <c r="DK184" s="78"/>
      <c r="DL184" s="78"/>
      <c r="DM184" s="78"/>
      <c r="DN184" s="78"/>
      <c r="DO184" s="78"/>
      <c r="DP184" s="97">
        <v>21943.237448310512</v>
      </c>
    </row>
    <row r="185" spans="2:120" s="22" customFormat="1" hidden="1" outlineLevel="1" x14ac:dyDescent="0.35">
      <c r="B185" s="25" t="s">
        <v>149</v>
      </c>
      <c r="C185" s="75" t="s">
        <v>150</v>
      </c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>
        <v>3500</v>
      </c>
      <c r="O185" s="77"/>
      <c r="P185" s="80">
        <v>3500</v>
      </c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80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80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>
        <v>1061.5258298973215</v>
      </c>
      <c r="BB185" s="77"/>
      <c r="BC185" s="83">
        <v>1061.5258298973215</v>
      </c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83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83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>
        <v>8192.35</v>
      </c>
      <c r="CO185" s="77"/>
      <c r="CP185" s="96">
        <v>8192.35</v>
      </c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96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96"/>
    </row>
    <row r="186" spans="2:120" s="22" customFormat="1" hidden="1" outlineLevel="1" x14ac:dyDescent="0.35">
      <c r="B186" s="25" t="s">
        <v>149</v>
      </c>
      <c r="C186" s="75" t="s">
        <v>151</v>
      </c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80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80"/>
      <c r="AD186" s="77"/>
      <c r="AE186" s="77">
        <v>25</v>
      </c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80">
        <v>25</v>
      </c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83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83"/>
      <c r="BQ186" s="77"/>
      <c r="BR186" s="77">
        <v>742.80587313533442</v>
      </c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83">
        <v>742.80587313533442</v>
      </c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96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96"/>
      <c r="DD186" s="77"/>
      <c r="DE186" s="77">
        <v>11030.44</v>
      </c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96">
        <v>11030.44</v>
      </c>
    </row>
    <row r="187" spans="2:120" s="22" customFormat="1" hidden="1" outlineLevel="1" x14ac:dyDescent="0.35">
      <c r="B187" s="25" t="s">
        <v>149</v>
      </c>
      <c r="C187" s="75" t="s">
        <v>152</v>
      </c>
      <c r="D187" s="77"/>
      <c r="E187" s="77"/>
      <c r="F187" s="77"/>
      <c r="G187" s="77"/>
      <c r="H187" s="77"/>
      <c r="I187" s="77"/>
      <c r="J187" s="77">
        <v>50</v>
      </c>
      <c r="K187" s="77"/>
      <c r="L187" s="77"/>
      <c r="M187" s="77"/>
      <c r="N187" s="77"/>
      <c r="O187" s="77"/>
      <c r="P187" s="80">
        <v>50</v>
      </c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80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80"/>
      <c r="AQ187" s="77"/>
      <c r="AR187" s="77"/>
      <c r="AS187" s="77"/>
      <c r="AT187" s="77"/>
      <c r="AU187" s="77"/>
      <c r="AV187" s="77"/>
      <c r="AW187" s="77">
        <v>1324.7475734657796</v>
      </c>
      <c r="AX187" s="77"/>
      <c r="AY187" s="77"/>
      <c r="AZ187" s="77"/>
      <c r="BA187" s="77"/>
      <c r="BB187" s="77"/>
      <c r="BC187" s="83">
        <v>1324.7475734657796</v>
      </c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83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83"/>
      <c r="CD187" s="77"/>
      <c r="CE187" s="77"/>
      <c r="CF187" s="77"/>
      <c r="CG187" s="77"/>
      <c r="CH187" s="77"/>
      <c r="CI187" s="77"/>
      <c r="CJ187" s="77">
        <v>7965.7</v>
      </c>
      <c r="CK187" s="77"/>
      <c r="CL187" s="77"/>
      <c r="CM187" s="77"/>
      <c r="CN187" s="77"/>
      <c r="CO187" s="77"/>
      <c r="CP187" s="96">
        <v>7965.7</v>
      </c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96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96"/>
    </row>
    <row r="188" spans="2:120" s="22" customFormat="1" hidden="1" outlineLevel="1" x14ac:dyDescent="0.35">
      <c r="B188" s="25" t="s">
        <v>149</v>
      </c>
      <c r="C188" s="75" t="s">
        <v>153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80"/>
      <c r="Q188" s="77">
        <v>3000</v>
      </c>
      <c r="R188" s="77"/>
      <c r="S188" s="77">
        <v>5000</v>
      </c>
      <c r="T188" s="77"/>
      <c r="U188" s="77"/>
      <c r="V188" s="77"/>
      <c r="W188" s="77"/>
      <c r="X188" s="77">
        <v>3000</v>
      </c>
      <c r="Y188" s="77"/>
      <c r="Z188" s="77">
        <v>2000</v>
      </c>
      <c r="AA188" s="77"/>
      <c r="AB188" s="77">
        <v>3000</v>
      </c>
      <c r="AC188" s="80">
        <v>16000</v>
      </c>
      <c r="AD188" s="77"/>
      <c r="AE188" s="77"/>
      <c r="AF188" s="77">
        <v>3000</v>
      </c>
      <c r="AG188" s="77">
        <v>3000</v>
      </c>
      <c r="AH188" s="77"/>
      <c r="AI188" s="77"/>
      <c r="AJ188" s="77"/>
      <c r="AK188" s="77"/>
      <c r="AL188" s="77"/>
      <c r="AM188" s="77"/>
      <c r="AN188" s="77"/>
      <c r="AO188" s="77"/>
      <c r="AP188" s="80">
        <v>6000</v>
      </c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83"/>
      <c r="BD188" s="77">
        <v>1063.9283127799652</v>
      </c>
      <c r="BE188" s="77"/>
      <c r="BF188" s="77">
        <v>1063.0827187768994</v>
      </c>
      <c r="BG188" s="77"/>
      <c r="BH188" s="77"/>
      <c r="BI188" s="77"/>
      <c r="BJ188" s="77"/>
      <c r="BK188" s="77">
        <v>1060.7291999072584</v>
      </c>
      <c r="BL188" s="77"/>
      <c r="BM188" s="77">
        <v>1061.0910975092593</v>
      </c>
      <c r="BN188" s="77"/>
      <c r="BO188" s="77">
        <v>1060.935925797779</v>
      </c>
      <c r="BP188" s="83">
        <v>1062.1485065223765</v>
      </c>
      <c r="BQ188" s="77"/>
      <c r="BR188" s="77"/>
      <c r="BS188" s="77">
        <v>1050.777652488973</v>
      </c>
      <c r="BT188" s="77">
        <v>1247.1428571428571</v>
      </c>
      <c r="BU188" s="77"/>
      <c r="BV188" s="77"/>
      <c r="BW188" s="77"/>
      <c r="BX188" s="77"/>
      <c r="BY188" s="77"/>
      <c r="BZ188" s="77"/>
      <c r="CA188" s="77"/>
      <c r="CB188" s="77"/>
      <c r="CC188" s="83">
        <v>1148.9602548159151</v>
      </c>
      <c r="CD188" s="77"/>
      <c r="CE188" s="77"/>
      <c r="CF188" s="77"/>
      <c r="CG188" s="77"/>
      <c r="CH188" s="77"/>
      <c r="CI188" s="77"/>
      <c r="CJ188" s="77"/>
      <c r="CK188" s="77"/>
      <c r="CL188" s="77"/>
      <c r="CM188" s="77"/>
      <c r="CN188" s="77"/>
      <c r="CO188" s="77"/>
      <c r="CP188" s="96"/>
      <c r="CQ188" s="77">
        <v>8254.641333333333</v>
      </c>
      <c r="CR188" s="77"/>
      <c r="CS188" s="77">
        <v>8269.1345999999994</v>
      </c>
      <c r="CT188" s="77"/>
      <c r="CU188" s="77"/>
      <c r="CV188" s="77"/>
      <c r="CW188" s="77"/>
      <c r="CX188" s="77">
        <v>8417.7806666666675</v>
      </c>
      <c r="CY188" s="77"/>
      <c r="CZ188" s="77">
        <v>8417.7805000000008</v>
      </c>
      <c r="DA188" s="77"/>
      <c r="DB188" s="77">
        <v>9662.0086666666666</v>
      </c>
      <c r="DC188" s="96">
        <v>8574.0328750000008</v>
      </c>
      <c r="DD188" s="77"/>
      <c r="DE188" s="77"/>
      <c r="DF188" s="77">
        <v>11030.439354838707</v>
      </c>
      <c r="DG188" s="77">
        <v>11030.439382686072</v>
      </c>
      <c r="DH188" s="77"/>
      <c r="DI188" s="77"/>
      <c r="DJ188" s="77"/>
      <c r="DK188" s="77"/>
      <c r="DL188" s="77"/>
      <c r="DM188" s="77"/>
      <c r="DN188" s="77"/>
      <c r="DO188" s="77"/>
      <c r="DP188" s="96">
        <v>11030.439368762391</v>
      </c>
    </row>
    <row r="189" spans="2:120" s="22" customFormat="1" hidden="1" outlineLevel="1" x14ac:dyDescent="0.35">
      <c r="B189" s="25" t="s">
        <v>149</v>
      </c>
      <c r="C189" s="75" t="s">
        <v>154</v>
      </c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80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80"/>
      <c r="AD189" s="77"/>
      <c r="AE189" s="77"/>
      <c r="AF189" s="77">
        <v>100</v>
      </c>
      <c r="AG189" s="77"/>
      <c r="AH189" s="77"/>
      <c r="AI189" s="77"/>
      <c r="AJ189" s="77"/>
      <c r="AK189" s="77"/>
      <c r="AL189" s="77"/>
      <c r="AM189" s="77"/>
      <c r="AN189" s="77"/>
      <c r="AO189" s="77"/>
      <c r="AP189" s="80">
        <v>100</v>
      </c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83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83"/>
      <c r="BQ189" s="77"/>
      <c r="BR189" s="77"/>
      <c r="BS189" s="77">
        <v>736.05698006588943</v>
      </c>
      <c r="BT189" s="77"/>
      <c r="BU189" s="77"/>
      <c r="BV189" s="77"/>
      <c r="BW189" s="77"/>
      <c r="BX189" s="77"/>
      <c r="BY189" s="77"/>
      <c r="BZ189" s="77"/>
      <c r="CA189" s="77"/>
      <c r="CB189" s="77"/>
      <c r="CC189" s="83">
        <v>736.05698006588943</v>
      </c>
      <c r="CD189" s="77"/>
      <c r="CE189" s="77"/>
      <c r="CF189" s="77"/>
      <c r="CG189" s="77"/>
      <c r="CH189" s="77"/>
      <c r="CI189" s="77"/>
      <c r="CJ189" s="77"/>
      <c r="CK189" s="77"/>
      <c r="CL189" s="77"/>
      <c r="CM189" s="77"/>
      <c r="CN189" s="77"/>
      <c r="CO189" s="77"/>
      <c r="CP189" s="96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96"/>
      <c r="DD189" s="77"/>
      <c r="DE189" s="77"/>
      <c r="DF189" s="77">
        <v>11030.439354838711</v>
      </c>
      <c r="DG189" s="77"/>
      <c r="DH189" s="77"/>
      <c r="DI189" s="77"/>
      <c r="DJ189" s="77"/>
      <c r="DK189" s="77"/>
      <c r="DL189" s="77"/>
      <c r="DM189" s="77"/>
      <c r="DN189" s="77"/>
      <c r="DO189" s="77"/>
      <c r="DP189" s="96">
        <v>11030.439354838711</v>
      </c>
    </row>
    <row r="190" spans="2:120" s="22" customFormat="1" hidden="1" outlineLevel="1" x14ac:dyDescent="0.35">
      <c r="B190" s="25" t="s">
        <v>149</v>
      </c>
      <c r="C190" s="75" t="s">
        <v>155</v>
      </c>
      <c r="D190" s="77"/>
      <c r="E190" s="77"/>
      <c r="F190" s="77"/>
      <c r="G190" s="77"/>
      <c r="H190" s="77"/>
      <c r="I190" s="77"/>
      <c r="J190" s="77"/>
      <c r="K190" s="77">
        <v>5000</v>
      </c>
      <c r="L190" s="77"/>
      <c r="M190" s="77"/>
      <c r="N190" s="77"/>
      <c r="O190" s="77"/>
      <c r="P190" s="80">
        <v>5000</v>
      </c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80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80"/>
      <c r="AQ190" s="77"/>
      <c r="AR190" s="77"/>
      <c r="AS190" s="77"/>
      <c r="AT190" s="77"/>
      <c r="AU190" s="77"/>
      <c r="AV190" s="77"/>
      <c r="AW190" s="77"/>
      <c r="AX190" s="77">
        <v>1066.599637364907</v>
      </c>
      <c r="AY190" s="77"/>
      <c r="AZ190" s="77"/>
      <c r="BA190" s="77"/>
      <c r="BB190" s="77"/>
      <c r="BC190" s="83">
        <v>1066.599637364907</v>
      </c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83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83"/>
      <c r="CD190" s="77"/>
      <c r="CE190" s="77"/>
      <c r="CF190" s="77"/>
      <c r="CG190" s="77"/>
      <c r="CH190" s="77"/>
      <c r="CI190" s="77"/>
      <c r="CJ190" s="77"/>
      <c r="CK190" s="77">
        <v>7965.6995999999999</v>
      </c>
      <c r="CL190" s="77"/>
      <c r="CM190" s="77"/>
      <c r="CN190" s="77"/>
      <c r="CO190" s="77"/>
      <c r="CP190" s="96">
        <v>7965.6995999999999</v>
      </c>
      <c r="CQ190" s="77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96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96"/>
    </row>
    <row r="191" spans="2:120" s="22" customFormat="1" hidden="1" collapsed="1" x14ac:dyDescent="0.35">
      <c r="B191" s="106" t="s">
        <v>156</v>
      </c>
      <c r="C191" s="76"/>
      <c r="D191" s="78"/>
      <c r="E191" s="78"/>
      <c r="F191" s="78"/>
      <c r="G191" s="78"/>
      <c r="H191" s="78"/>
      <c r="I191" s="78"/>
      <c r="J191" s="78">
        <v>50</v>
      </c>
      <c r="K191" s="78">
        <v>5000</v>
      </c>
      <c r="L191" s="78"/>
      <c r="M191" s="78"/>
      <c r="N191" s="78">
        <v>3500</v>
      </c>
      <c r="O191" s="78"/>
      <c r="P191" s="81">
        <v>8550</v>
      </c>
      <c r="Q191" s="78">
        <v>3000</v>
      </c>
      <c r="R191" s="78"/>
      <c r="S191" s="78">
        <v>5000</v>
      </c>
      <c r="T191" s="78"/>
      <c r="U191" s="78"/>
      <c r="V191" s="78"/>
      <c r="W191" s="78"/>
      <c r="X191" s="78">
        <v>3000</v>
      </c>
      <c r="Y191" s="78"/>
      <c r="Z191" s="78">
        <v>2000</v>
      </c>
      <c r="AA191" s="78"/>
      <c r="AB191" s="78">
        <v>3000</v>
      </c>
      <c r="AC191" s="81">
        <v>16000</v>
      </c>
      <c r="AD191" s="78"/>
      <c r="AE191" s="78">
        <v>25</v>
      </c>
      <c r="AF191" s="78">
        <v>3100</v>
      </c>
      <c r="AG191" s="78">
        <v>3000</v>
      </c>
      <c r="AH191" s="78"/>
      <c r="AI191" s="78"/>
      <c r="AJ191" s="78"/>
      <c r="AK191" s="78"/>
      <c r="AL191" s="78"/>
      <c r="AM191" s="78"/>
      <c r="AN191" s="78"/>
      <c r="AO191" s="78"/>
      <c r="AP191" s="81">
        <v>6125</v>
      </c>
      <c r="AQ191" s="78"/>
      <c r="AR191" s="78"/>
      <c r="AS191" s="78"/>
      <c r="AT191" s="78"/>
      <c r="AU191" s="78"/>
      <c r="AV191" s="78"/>
      <c r="AW191" s="78">
        <v>1324.7475734657796</v>
      </c>
      <c r="AX191" s="78">
        <v>1066.599637364907</v>
      </c>
      <c r="AY191" s="78"/>
      <c r="AZ191" s="78"/>
      <c r="BA191" s="78">
        <v>1061.5258298973215</v>
      </c>
      <c r="BB191" s="78"/>
      <c r="BC191" s="84">
        <v>1066.0322772091752</v>
      </c>
      <c r="BD191" s="78">
        <v>1063.9283127799652</v>
      </c>
      <c r="BE191" s="78"/>
      <c r="BF191" s="78">
        <v>1063.0827187768994</v>
      </c>
      <c r="BG191" s="78"/>
      <c r="BH191" s="78"/>
      <c r="BI191" s="78"/>
      <c r="BJ191" s="78"/>
      <c r="BK191" s="78">
        <v>1060.7291999072584</v>
      </c>
      <c r="BL191" s="78"/>
      <c r="BM191" s="78">
        <v>1061.0910975092593</v>
      </c>
      <c r="BN191" s="78"/>
      <c r="BO191" s="78">
        <v>1060.935925797779</v>
      </c>
      <c r="BP191" s="84">
        <v>1062.1485065223765</v>
      </c>
      <c r="BQ191" s="78"/>
      <c r="BR191" s="78">
        <v>742.80587313533442</v>
      </c>
      <c r="BS191" s="78">
        <v>1040.6253727333897</v>
      </c>
      <c r="BT191" s="78">
        <v>1247.1428571428571</v>
      </c>
      <c r="BU191" s="78"/>
      <c r="BV191" s="78"/>
      <c r="BW191" s="78"/>
      <c r="BX191" s="78"/>
      <c r="BY191" s="78"/>
      <c r="BZ191" s="78"/>
      <c r="CA191" s="78"/>
      <c r="CB191" s="78"/>
      <c r="CC191" s="84">
        <v>1140.5612038743614</v>
      </c>
      <c r="CD191" s="78"/>
      <c r="CE191" s="78"/>
      <c r="CF191" s="78"/>
      <c r="CG191" s="78"/>
      <c r="CH191" s="78"/>
      <c r="CI191" s="78"/>
      <c r="CJ191" s="78">
        <v>7965.7</v>
      </c>
      <c r="CK191" s="78">
        <v>7965.6995999999999</v>
      </c>
      <c r="CL191" s="78"/>
      <c r="CM191" s="78"/>
      <c r="CN191" s="78">
        <v>8192.35</v>
      </c>
      <c r="CO191" s="78"/>
      <c r="CP191" s="97">
        <v>8058.480467836257</v>
      </c>
      <c r="CQ191" s="78">
        <v>8254.641333333333</v>
      </c>
      <c r="CR191" s="78"/>
      <c r="CS191" s="78">
        <v>8269.1345999999994</v>
      </c>
      <c r="CT191" s="78"/>
      <c r="CU191" s="78"/>
      <c r="CV191" s="78"/>
      <c r="CW191" s="78"/>
      <c r="CX191" s="78">
        <v>8417.7806666666675</v>
      </c>
      <c r="CY191" s="78"/>
      <c r="CZ191" s="78">
        <v>8417.7805000000008</v>
      </c>
      <c r="DA191" s="78"/>
      <c r="DB191" s="78">
        <v>9662.0086666666666</v>
      </c>
      <c r="DC191" s="97">
        <v>8574.0328750000008</v>
      </c>
      <c r="DD191" s="78"/>
      <c r="DE191" s="78">
        <v>11030.44</v>
      </c>
      <c r="DF191" s="78">
        <v>11030.439354838707</v>
      </c>
      <c r="DG191" s="78">
        <v>11030.439382686072</v>
      </c>
      <c r="DH191" s="78"/>
      <c r="DI191" s="78"/>
      <c r="DJ191" s="78"/>
      <c r="DK191" s="78"/>
      <c r="DL191" s="78"/>
      <c r="DM191" s="78"/>
      <c r="DN191" s="78"/>
      <c r="DO191" s="78"/>
      <c r="DP191" s="97">
        <v>11030.439371111544</v>
      </c>
    </row>
    <row r="192" spans="2:120" s="22" customFormat="1" hidden="1" outlineLevel="1" x14ac:dyDescent="0.35">
      <c r="B192" s="25" t="s">
        <v>157</v>
      </c>
      <c r="C192" s="75" t="s">
        <v>58</v>
      </c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80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>
        <v>250</v>
      </c>
      <c r="AC192" s="80">
        <v>250</v>
      </c>
      <c r="AD192" s="77">
        <v>500</v>
      </c>
      <c r="AE192" s="77"/>
      <c r="AF192" s="77">
        <v>1000</v>
      </c>
      <c r="AG192" s="77"/>
      <c r="AH192" s="77"/>
      <c r="AI192" s="77"/>
      <c r="AJ192" s="77"/>
      <c r="AK192" s="77"/>
      <c r="AL192" s="77"/>
      <c r="AM192" s="77"/>
      <c r="AN192" s="77"/>
      <c r="AO192" s="77"/>
      <c r="AP192" s="80">
        <v>1500</v>
      </c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83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>
        <v>1186.044489712627</v>
      </c>
      <c r="BP192" s="83">
        <v>1186.044489712627</v>
      </c>
      <c r="BQ192" s="77">
        <v>1181.7086621106375</v>
      </c>
      <c r="BR192" s="77"/>
      <c r="BS192" s="77">
        <v>1182.7925645300711</v>
      </c>
      <c r="BT192" s="77"/>
      <c r="BU192" s="77"/>
      <c r="BV192" s="77"/>
      <c r="BW192" s="77"/>
      <c r="BX192" s="77"/>
      <c r="BY192" s="77"/>
      <c r="BZ192" s="77"/>
      <c r="CA192" s="77"/>
      <c r="CB192" s="77"/>
      <c r="CC192" s="83">
        <v>1182.4312637235932</v>
      </c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96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>
        <v>29900.572190476189</v>
      </c>
      <c r="DC192" s="96">
        <v>29900.572190476189</v>
      </c>
      <c r="DD192" s="77">
        <v>27240.483714285714</v>
      </c>
      <c r="DE192" s="77"/>
      <c r="DF192" s="77">
        <v>24977.832962025317</v>
      </c>
      <c r="DG192" s="77"/>
      <c r="DH192" s="77"/>
      <c r="DI192" s="77"/>
      <c r="DJ192" s="77"/>
      <c r="DK192" s="77"/>
      <c r="DL192" s="77"/>
      <c r="DM192" s="77"/>
      <c r="DN192" s="77"/>
      <c r="DO192" s="77"/>
      <c r="DP192" s="96">
        <v>25732.049879445447</v>
      </c>
    </row>
    <row r="193" spans="2:120" s="22" customFormat="1" hidden="1" outlineLevel="1" x14ac:dyDescent="0.35">
      <c r="B193" s="25" t="s">
        <v>157</v>
      </c>
      <c r="C193" s="75" t="s">
        <v>5</v>
      </c>
      <c r="D193" s="77">
        <v>5500</v>
      </c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80">
        <v>5500</v>
      </c>
      <c r="Q193" s="77"/>
      <c r="R193" s="77"/>
      <c r="S193" s="77"/>
      <c r="T193" s="77"/>
      <c r="U193" s="77"/>
      <c r="V193" s="77"/>
      <c r="W193" s="77">
        <v>2750</v>
      </c>
      <c r="X193" s="77"/>
      <c r="Y193" s="77"/>
      <c r="Z193" s="77"/>
      <c r="AA193" s="77"/>
      <c r="AB193" s="77">
        <v>1375</v>
      </c>
      <c r="AC193" s="80">
        <v>4125</v>
      </c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80"/>
      <c r="AQ193" s="77">
        <v>876.88572127072541</v>
      </c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83">
        <v>876.88572127072541</v>
      </c>
      <c r="BD193" s="77"/>
      <c r="BE193" s="77"/>
      <c r="BF193" s="77"/>
      <c r="BG193" s="77"/>
      <c r="BH193" s="77"/>
      <c r="BI193" s="77"/>
      <c r="BJ193" s="77">
        <v>769.58425913763119</v>
      </c>
      <c r="BK193" s="77"/>
      <c r="BL193" s="77"/>
      <c r="BM193" s="77"/>
      <c r="BN193" s="77"/>
      <c r="BO193" s="77">
        <v>765.18999336298521</v>
      </c>
      <c r="BP193" s="83">
        <v>768.1195038794159</v>
      </c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83"/>
      <c r="CD193" s="77">
        <v>11512.048545454545</v>
      </c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96">
        <v>11512.048545454545</v>
      </c>
      <c r="CQ193" s="77"/>
      <c r="CR193" s="77"/>
      <c r="CS193" s="77"/>
      <c r="CT193" s="77"/>
      <c r="CU193" s="77"/>
      <c r="CV193" s="77"/>
      <c r="CW193" s="77">
        <v>27669.395636363643</v>
      </c>
      <c r="CX193" s="77"/>
      <c r="CY193" s="77"/>
      <c r="CZ193" s="77"/>
      <c r="DA193" s="77"/>
      <c r="DB193" s="77">
        <v>29900.572190476185</v>
      </c>
      <c r="DC193" s="96">
        <v>28413.121154401157</v>
      </c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96"/>
    </row>
    <row r="194" spans="2:120" s="22" customFormat="1" hidden="1" outlineLevel="1" x14ac:dyDescent="0.35">
      <c r="B194" s="25" t="s">
        <v>157</v>
      </c>
      <c r="C194" s="75" t="s">
        <v>141</v>
      </c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80"/>
      <c r="Q194" s="77"/>
      <c r="R194" s="77"/>
      <c r="S194" s="77"/>
      <c r="T194" s="77">
        <v>26875</v>
      </c>
      <c r="U194" s="77">
        <v>35750</v>
      </c>
      <c r="V194" s="77">
        <v>33000</v>
      </c>
      <c r="W194" s="77"/>
      <c r="X194" s="77">
        <v>22000</v>
      </c>
      <c r="Y194" s="77">
        <v>23375</v>
      </c>
      <c r="Z194" s="77">
        <v>16500</v>
      </c>
      <c r="AA194" s="77">
        <v>22000</v>
      </c>
      <c r="AB194" s="77">
        <v>22000</v>
      </c>
      <c r="AC194" s="80">
        <v>201500</v>
      </c>
      <c r="AD194" s="77">
        <v>27500</v>
      </c>
      <c r="AE194" s="77">
        <v>11000</v>
      </c>
      <c r="AF194" s="77">
        <v>38500</v>
      </c>
      <c r="AG194" s="77">
        <v>16500</v>
      </c>
      <c r="AH194" s="77"/>
      <c r="AI194" s="77"/>
      <c r="AJ194" s="77"/>
      <c r="AK194" s="77"/>
      <c r="AL194" s="77"/>
      <c r="AM194" s="77"/>
      <c r="AN194" s="77"/>
      <c r="AO194" s="77"/>
      <c r="AP194" s="80">
        <v>93500</v>
      </c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83"/>
      <c r="BD194" s="77"/>
      <c r="BE194" s="77"/>
      <c r="BF194" s="77"/>
      <c r="BG194" s="77">
        <v>703.34129534677902</v>
      </c>
      <c r="BH194" s="77">
        <v>696.92972891475074</v>
      </c>
      <c r="BI194" s="77">
        <v>696.72455076653102</v>
      </c>
      <c r="BJ194" s="77"/>
      <c r="BK194" s="77">
        <v>690.91107806785681</v>
      </c>
      <c r="BL194" s="77">
        <v>688.86751633733536</v>
      </c>
      <c r="BM194" s="77">
        <v>689.90238218951856</v>
      </c>
      <c r="BN194" s="77">
        <v>687.73329364802908</v>
      </c>
      <c r="BO194" s="77">
        <v>717.36561877779855</v>
      </c>
      <c r="BP194" s="83">
        <v>696.81058356236167</v>
      </c>
      <c r="BQ194" s="77">
        <v>705.213233840219</v>
      </c>
      <c r="BR194" s="77">
        <v>712.01599238361075</v>
      </c>
      <c r="BS194" s="77">
        <v>722.21204977066566</v>
      </c>
      <c r="BT194" s="77">
        <v>754.30337845297379</v>
      </c>
      <c r="BU194" s="77"/>
      <c r="BV194" s="77"/>
      <c r="BW194" s="77"/>
      <c r="BX194" s="77"/>
      <c r="BY194" s="77"/>
      <c r="BZ194" s="77"/>
      <c r="CA194" s="77"/>
      <c r="CB194" s="77"/>
      <c r="CC194" s="83">
        <v>721.67603751305262</v>
      </c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96"/>
      <c r="CQ194" s="77"/>
      <c r="CR194" s="77"/>
      <c r="CS194" s="77"/>
      <c r="CT194" s="77">
        <v>26048.623404651164</v>
      </c>
      <c r="CU194" s="77">
        <v>26673.560643356643</v>
      </c>
      <c r="CV194" s="77">
        <v>27644.730636363638</v>
      </c>
      <c r="CW194" s="77"/>
      <c r="CX194" s="77">
        <v>27838.241681818181</v>
      </c>
      <c r="CY194" s="77">
        <v>28715.227850267383</v>
      </c>
      <c r="CZ194" s="77">
        <v>29922.621845688354</v>
      </c>
      <c r="DA194" s="77">
        <v>29922.618090909091</v>
      </c>
      <c r="DB194" s="77">
        <v>29900.572190476185</v>
      </c>
      <c r="DC194" s="96">
        <v>28086.381501956992</v>
      </c>
      <c r="DD194" s="77">
        <v>27240.483714285721</v>
      </c>
      <c r="DE194" s="77">
        <v>27240.483272727273</v>
      </c>
      <c r="DF194" s="77">
        <v>24977.832962025321</v>
      </c>
      <c r="DG194" s="77">
        <v>24977.832988505746</v>
      </c>
      <c r="DH194" s="77"/>
      <c r="DI194" s="77"/>
      <c r="DJ194" s="77"/>
      <c r="DK194" s="77"/>
      <c r="DL194" s="77"/>
      <c r="DM194" s="77"/>
      <c r="DN194" s="77"/>
      <c r="DO194" s="77"/>
      <c r="DP194" s="96">
        <v>25909.512636269279</v>
      </c>
    </row>
    <row r="195" spans="2:120" s="22" customFormat="1" hidden="1" outlineLevel="1" x14ac:dyDescent="0.35">
      <c r="B195" s="25" t="s">
        <v>157</v>
      </c>
      <c r="C195" s="75" t="s">
        <v>25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80"/>
      <c r="Q195" s="77"/>
      <c r="R195" s="77"/>
      <c r="S195" s="77"/>
      <c r="T195" s="77"/>
      <c r="U195" s="77"/>
      <c r="V195" s="77"/>
      <c r="W195" s="77"/>
      <c r="X195" s="77"/>
      <c r="Y195" s="77"/>
      <c r="Z195" s="77">
        <v>25</v>
      </c>
      <c r="AA195" s="77"/>
      <c r="AB195" s="77"/>
      <c r="AC195" s="80">
        <v>25</v>
      </c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80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83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>
        <v>765.68975523903657</v>
      </c>
      <c r="BN195" s="77"/>
      <c r="BO195" s="77"/>
      <c r="BP195" s="83">
        <v>765.68975523903657</v>
      </c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83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96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>
        <v>29922.621845688351</v>
      </c>
      <c r="DA195" s="77"/>
      <c r="DB195" s="77"/>
      <c r="DC195" s="96">
        <v>29922.621845688351</v>
      </c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96"/>
    </row>
    <row r="196" spans="2:120" hidden="1" collapsed="1" x14ac:dyDescent="0.35">
      <c r="B196" s="106" t="s">
        <v>158</v>
      </c>
      <c r="C196" s="76"/>
      <c r="D196" s="78">
        <v>5500</v>
      </c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81">
        <v>5500</v>
      </c>
      <c r="Q196" s="78"/>
      <c r="R196" s="78"/>
      <c r="S196" s="78"/>
      <c r="T196" s="78">
        <v>26875</v>
      </c>
      <c r="U196" s="78">
        <v>35750</v>
      </c>
      <c r="V196" s="78">
        <v>33000</v>
      </c>
      <c r="W196" s="78">
        <v>2750</v>
      </c>
      <c r="X196" s="78">
        <v>22000</v>
      </c>
      <c r="Y196" s="78">
        <v>23375</v>
      </c>
      <c r="Z196" s="78">
        <v>16525</v>
      </c>
      <c r="AA196" s="78">
        <v>22000</v>
      </c>
      <c r="AB196" s="78">
        <v>23625</v>
      </c>
      <c r="AC196" s="81">
        <v>205900</v>
      </c>
      <c r="AD196" s="78">
        <v>28000</v>
      </c>
      <c r="AE196" s="78">
        <v>11000</v>
      </c>
      <c r="AF196" s="78">
        <v>39500</v>
      </c>
      <c r="AG196" s="78">
        <v>16500</v>
      </c>
      <c r="AH196" s="78"/>
      <c r="AI196" s="78"/>
      <c r="AJ196" s="78"/>
      <c r="AK196" s="78"/>
      <c r="AL196" s="78"/>
      <c r="AM196" s="78"/>
      <c r="AN196" s="78"/>
      <c r="AO196" s="78"/>
      <c r="AP196" s="81">
        <v>95000</v>
      </c>
      <c r="AQ196" s="78">
        <v>876.88572127072541</v>
      </c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84">
        <v>876.88572127072541</v>
      </c>
      <c r="BD196" s="78"/>
      <c r="BE196" s="78"/>
      <c r="BF196" s="78"/>
      <c r="BG196" s="78">
        <v>703.34129534677902</v>
      </c>
      <c r="BH196" s="78">
        <v>696.92972891475074</v>
      </c>
      <c r="BI196" s="78">
        <v>696.72455076653102</v>
      </c>
      <c r="BJ196" s="78">
        <v>769.58425913763119</v>
      </c>
      <c r="BK196" s="78">
        <v>690.91107806785681</v>
      </c>
      <c r="BL196" s="78">
        <v>688.86751633733536</v>
      </c>
      <c r="BM196" s="78">
        <v>690.01703782196876</v>
      </c>
      <c r="BN196" s="78">
        <v>687.73329364802908</v>
      </c>
      <c r="BO196" s="78">
        <v>725.10861275825744</v>
      </c>
      <c r="BP196" s="84">
        <v>698.84156827405332</v>
      </c>
      <c r="BQ196" s="78">
        <v>713.72208077361938</v>
      </c>
      <c r="BR196" s="78">
        <v>712.01599238361075</v>
      </c>
      <c r="BS196" s="78">
        <v>733.87231596710626</v>
      </c>
      <c r="BT196" s="78">
        <v>754.30337845297379</v>
      </c>
      <c r="BU196" s="78"/>
      <c r="BV196" s="78"/>
      <c r="BW196" s="78"/>
      <c r="BX196" s="78"/>
      <c r="BY196" s="78"/>
      <c r="BZ196" s="78"/>
      <c r="CA196" s="78"/>
      <c r="CB196" s="78"/>
      <c r="CC196" s="84">
        <v>728.9511200321665</v>
      </c>
      <c r="CD196" s="78">
        <v>11512.048545454545</v>
      </c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97">
        <v>11512.048545454545</v>
      </c>
      <c r="CQ196" s="78"/>
      <c r="CR196" s="78"/>
      <c r="CS196" s="78"/>
      <c r="CT196" s="78">
        <v>26048.623404651164</v>
      </c>
      <c r="CU196" s="78">
        <v>26673.560643356643</v>
      </c>
      <c r="CV196" s="78">
        <v>27644.730636363638</v>
      </c>
      <c r="CW196" s="78">
        <v>27669.395636363643</v>
      </c>
      <c r="CX196" s="78">
        <v>27838.241681818181</v>
      </c>
      <c r="CY196" s="78">
        <v>28715.227850267383</v>
      </c>
      <c r="CZ196" s="78">
        <v>29922.621845688354</v>
      </c>
      <c r="DA196" s="78">
        <v>29922.618090909091</v>
      </c>
      <c r="DB196" s="78">
        <v>29900.572190476185</v>
      </c>
      <c r="DC196" s="97">
        <v>28095.353113161727</v>
      </c>
      <c r="DD196" s="78">
        <v>27240.483714285718</v>
      </c>
      <c r="DE196" s="78">
        <v>27240.483272727273</v>
      </c>
      <c r="DF196" s="78">
        <v>24977.832962025321</v>
      </c>
      <c r="DG196" s="78">
        <v>24977.832988505746</v>
      </c>
      <c r="DH196" s="78"/>
      <c r="DI196" s="78"/>
      <c r="DJ196" s="78"/>
      <c r="DK196" s="78"/>
      <c r="DL196" s="78"/>
      <c r="DM196" s="78"/>
      <c r="DN196" s="78"/>
      <c r="DO196" s="78"/>
      <c r="DP196" s="97">
        <v>25906.710592740481</v>
      </c>
    </row>
    <row r="197" spans="2:120" s="22" customFormat="1" hidden="1" outlineLevel="1" x14ac:dyDescent="0.35">
      <c r="B197" s="25" t="s">
        <v>159</v>
      </c>
      <c r="C197" s="75" t="s">
        <v>5</v>
      </c>
      <c r="D197" s="77"/>
      <c r="E197" s="77"/>
      <c r="F197" s="77">
        <v>10000</v>
      </c>
      <c r="G197" s="77"/>
      <c r="H197" s="77"/>
      <c r="I197" s="77"/>
      <c r="J197" s="77"/>
      <c r="K197" s="77">
        <v>9625</v>
      </c>
      <c r="L197" s="77"/>
      <c r="M197" s="77">
        <v>1500</v>
      </c>
      <c r="N197" s="77"/>
      <c r="O197" s="77"/>
      <c r="P197" s="80">
        <v>21125</v>
      </c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80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80"/>
      <c r="AQ197" s="77"/>
      <c r="AR197" s="77"/>
      <c r="AS197" s="77">
        <v>907.31498345737896</v>
      </c>
      <c r="AT197" s="77"/>
      <c r="AU197" s="77"/>
      <c r="AV197" s="77"/>
      <c r="AW197" s="77"/>
      <c r="AX197" s="77">
        <v>923.46288949342591</v>
      </c>
      <c r="AY197" s="77"/>
      <c r="AZ197" s="77">
        <v>891.76698811452695</v>
      </c>
      <c r="BA197" s="77"/>
      <c r="BB197" s="77"/>
      <c r="BC197" s="83">
        <v>913.56831375715058</v>
      </c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83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83"/>
      <c r="CD197" s="77"/>
      <c r="CE197" s="77"/>
      <c r="CF197" s="77">
        <v>19608</v>
      </c>
      <c r="CG197" s="77"/>
      <c r="CH197" s="77"/>
      <c r="CI197" s="77"/>
      <c r="CJ197" s="77"/>
      <c r="CK197" s="77">
        <v>23075.413194805195</v>
      </c>
      <c r="CL197" s="77"/>
      <c r="CM197" s="77">
        <v>23075.413333333334</v>
      </c>
      <c r="CN197" s="77"/>
      <c r="CO197" s="77"/>
      <c r="CP197" s="96">
        <v>21434.034177514794</v>
      </c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96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96"/>
    </row>
    <row r="198" spans="2:120" hidden="1" collapsed="1" x14ac:dyDescent="0.35">
      <c r="B198" s="106" t="s">
        <v>160</v>
      </c>
      <c r="C198" s="76"/>
      <c r="D198" s="78"/>
      <c r="E198" s="78"/>
      <c r="F198" s="78">
        <v>10000</v>
      </c>
      <c r="G198" s="78"/>
      <c r="H198" s="78"/>
      <c r="I198" s="78"/>
      <c r="J198" s="78"/>
      <c r="K198" s="78">
        <v>9625</v>
      </c>
      <c r="L198" s="78"/>
      <c r="M198" s="78">
        <v>1500</v>
      </c>
      <c r="N198" s="78"/>
      <c r="O198" s="78"/>
      <c r="P198" s="81">
        <v>21125</v>
      </c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81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81"/>
      <c r="AQ198" s="78"/>
      <c r="AR198" s="78"/>
      <c r="AS198" s="78">
        <v>907.31498345737896</v>
      </c>
      <c r="AT198" s="78"/>
      <c r="AU198" s="78"/>
      <c r="AV198" s="78"/>
      <c r="AW198" s="78"/>
      <c r="AX198" s="78">
        <v>923.46288949342591</v>
      </c>
      <c r="AY198" s="78"/>
      <c r="AZ198" s="78">
        <v>891.76698811452695</v>
      </c>
      <c r="BA198" s="78"/>
      <c r="BB198" s="78"/>
      <c r="BC198" s="84">
        <v>913.56831375715058</v>
      </c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84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84"/>
      <c r="CD198" s="78"/>
      <c r="CE198" s="78"/>
      <c r="CF198" s="78">
        <v>19608</v>
      </c>
      <c r="CG198" s="78"/>
      <c r="CH198" s="78"/>
      <c r="CI198" s="78"/>
      <c r="CJ198" s="78"/>
      <c r="CK198" s="78">
        <v>23075.413194805195</v>
      </c>
      <c r="CL198" s="78"/>
      <c r="CM198" s="78">
        <v>23075.413333333334</v>
      </c>
      <c r="CN198" s="78"/>
      <c r="CO198" s="78"/>
      <c r="CP198" s="97">
        <v>21434.034177514794</v>
      </c>
      <c r="CQ198" s="78"/>
      <c r="CR198" s="78"/>
      <c r="CS198" s="78"/>
      <c r="CT198" s="78"/>
      <c r="CU198" s="78"/>
      <c r="CV198" s="78"/>
      <c r="CW198" s="78"/>
      <c r="CX198" s="78"/>
      <c r="CY198" s="78"/>
      <c r="CZ198" s="78"/>
      <c r="DA198" s="78"/>
      <c r="DB198" s="78"/>
      <c r="DC198" s="97"/>
      <c r="DD198" s="78"/>
      <c r="DE198" s="78"/>
      <c r="DF198" s="78"/>
      <c r="DG198" s="78"/>
      <c r="DH198" s="78"/>
      <c r="DI198" s="78"/>
      <c r="DJ198" s="78"/>
      <c r="DK198" s="78"/>
      <c r="DL198" s="78"/>
      <c r="DM198" s="78"/>
      <c r="DN198" s="78"/>
      <c r="DO198" s="78"/>
      <c r="DP198" s="97"/>
    </row>
    <row r="199" spans="2:120" s="22" customFormat="1" hidden="1" outlineLevel="1" x14ac:dyDescent="0.35">
      <c r="B199" s="25" t="s">
        <v>161</v>
      </c>
      <c r="C199" s="75" t="s">
        <v>78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>
        <v>25</v>
      </c>
      <c r="O199" s="77">
        <v>25</v>
      </c>
      <c r="P199" s="80">
        <v>50</v>
      </c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80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80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>
        <v>889.04977360830026</v>
      </c>
      <c r="BB199" s="77">
        <v>887.87691670970514</v>
      </c>
      <c r="BC199" s="83">
        <v>888.46334515900287</v>
      </c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83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83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>
        <v>17901</v>
      </c>
      <c r="CO199" s="77">
        <v>17901</v>
      </c>
      <c r="CP199" s="96">
        <v>17901</v>
      </c>
      <c r="CQ199" s="77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96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96"/>
    </row>
    <row r="200" spans="2:120" hidden="1" collapsed="1" x14ac:dyDescent="0.35">
      <c r="B200" s="106" t="s">
        <v>162</v>
      </c>
      <c r="C200" s="76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>
        <v>25</v>
      </c>
      <c r="O200" s="78">
        <v>25</v>
      </c>
      <c r="P200" s="81">
        <v>50</v>
      </c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81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81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>
        <v>889.04977360830026</v>
      </c>
      <c r="BB200" s="78">
        <v>887.87691670970514</v>
      </c>
      <c r="BC200" s="84">
        <v>888.46334515900287</v>
      </c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84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84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>
        <v>17901</v>
      </c>
      <c r="CO200" s="78">
        <v>17901</v>
      </c>
      <c r="CP200" s="97">
        <v>17901</v>
      </c>
      <c r="CQ200" s="78"/>
      <c r="CR200" s="78"/>
      <c r="CS200" s="78"/>
      <c r="CT200" s="78"/>
      <c r="CU200" s="78"/>
      <c r="CV200" s="78"/>
      <c r="CW200" s="78"/>
      <c r="CX200" s="78"/>
      <c r="CY200" s="78"/>
      <c r="CZ200" s="78"/>
      <c r="DA200" s="78"/>
      <c r="DB200" s="78"/>
      <c r="DC200" s="97"/>
      <c r="DD200" s="78"/>
      <c r="DE200" s="78"/>
      <c r="DF200" s="78"/>
      <c r="DG200" s="78"/>
      <c r="DH200" s="78"/>
      <c r="DI200" s="78"/>
      <c r="DJ200" s="78"/>
      <c r="DK200" s="78"/>
      <c r="DL200" s="78"/>
      <c r="DM200" s="78"/>
      <c r="DN200" s="78"/>
      <c r="DO200" s="78"/>
      <c r="DP200" s="97"/>
    </row>
    <row r="201" spans="2:120" s="22" customFormat="1" hidden="1" outlineLevel="1" x14ac:dyDescent="0.35">
      <c r="B201" s="25" t="s">
        <v>163</v>
      </c>
      <c r="C201" s="75" t="s">
        <v>5</v>
      </c>
      <c r="D201" s="77"/>
      <c r="E201" s="77"/>
      <c r="F201" s="77"/>
      <c r="G201" s="77">
        <v>2750</v>
      </c>
      <c r="H201" s="77">
        <v>18250</v>
      </c>
      <c r="I201" s="77">
        <v>11000</v>
      </c>
      <c r="J201" s="77"/>
      <c r="K201" s="77"/>
      <c r="L201" s="77"/>
      <c r="M201" s="77"/>
      <c r="N201" s="77"/>
      <c r="O201" s="77"/>
      <c r="P201" s="80">
        <v>32000</v>
      </c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80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80"/>
      <c r="AQ201" s="77"/>
      <c r="AR201" s="77"/>
      <c r="AS201" s="77"/>
      <c r="AT201" s="77">
        <v>909.42051326281785</v>
      </c>
      <c r="AU201" s="77">
        <v>904.80747458419387</v>
      </c>
      <c r="AV201" s="77">
        <v>905.95337844687731</v>
      </c>
      <c r="AW201" s="77"/>
      <c r="AX201" s="77"/>
      <c r="AY201" s="77"/>
      <c r="AZ201" s="77"/>
      <c r="BA201" s="77"/>
      <c r="BB201" s="77"/>
      <c r="BC201" s="83">
        <v>905.59781204843557</v>
      </c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83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83"/>
      <c r="CD201" s="77"/>
      <c r="CE201" s="77"/>
      <c r="CF201" s="77"/>
      <c r="CG201" s="77">
        <v>16269.642545454546</v>
      </c>
      <c r="CH201" s="77">
        <v>23477.417095890414</v>
      </c>
      <c r="CI201" s="77">
        <v>26395.735363636362</v>
      </c>
      <c r="CJ201" s="77"/>
      <c r="CK201" s="77"/>
      <c r="CL201" s="77"/>
      <c r="CM201" s="77"/>
      <c r="CN201" s="77"/>
      <c r="CO201" s="77"/>
      <c r="CP201" s="96">
        <v>23861.170875</v>
      </c>
      <c r="CQ201" s="77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96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96"/>
    </row>
    <row r="202" spans="2:120" s="22" customFormat="1" hidden="1" collapsed="1" x14ac:dyDescent="0.35">
      <c r="B202" s="106" t="s">
        <v>164</v>
      </c>
      <c r="C202" s="76"/>
      <c r="D202" s="78"/>
      <c r="E202" s="78"/>
      <c r="F202" s="78"/>
      <c r="G202" s="78">
        <v>2750</v>
      </c>
      <c r="H202" s="78">
        <v>18250</v>
      </c>
      <c r="I202" s="78">
        <v>11000</v>
      </c>
      <c r="J202" s="78"/>
      <c r="K202" s="78"/>
      <c r="L202" s="78"/>
      <c r="M202" s="78"/>
      <c r="N202" s="78"/>
      <c r="O202" s="78"/>
      <c r="P202" s="81">
        <v>32000</v>
      </c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81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81"/>
      <c r="AQ202" s="78"/>
      <c r="AR202" s="78"/>
      <c r="AS202" s="78"/>
      <c r="AT202" s="78">
        <v>909.42051326281785</v>
      </c>
      <c r="AU202" s="78">
        <v>904.80747458419387</v>
      </c>
      <c r="AV202" s="78">
        <v>905.95337844687731</v>
      </c>
      <c r="AW202" s="78"/>
      <c r="AX202" s="78"/>
      <c r="AY202" s="78"/>
      <c r="AZ202" s="78"/>
      <c r="BA202" s="78"/>
      <c r="BB202" s="78"/>
      <c r="BC202" s="84">
        <v>905.59781204843557</v>
      </c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84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84"/>
      <c r="CD202" s="78"/>
      <c r="CE202" s="78"/>
      <c r="CF202" s="78"/>
      <c r="CG202" s="78">
        <v>16269.642545454546</v>
      </c>
      <c r="CH202" s="78">
        <v>23477.417095890414</v>
      </c>
      <c r="CI202" s="78">
        <v>26395.735363636362</v>
      </c>
      <c r="CJ202" s="78"/>
      <c r="CK202" s="78"/>
      <c r="CL202" s="78"/>
      <c r="CM202" s="78"/>
      <c r="CN202" s="78"/>
      <c r="CO202" s="78"/>
      <c r="CP202" s="97">
        <v>23861.170875</v>
      </c>
      <c r="CQ202" s="78"/>
      <c r="CR202" s="78"/>
      <c r="CS202" s="78"/>
      <c r="CT202" s="78"/>
      <c r="CU202" s="78"/>
      <c r="CV202" s="78"/>
      <c r="CW202" s="78"/>
      <c r="CX202" s="78"/>
      <c r="CY202" s="78"/>
      <c r="CZ202" s="78"/>
      <c r="DA202" s="78"/>
      <c r="DB202" s="78"/>
      <c r="DC202" s="97"/>
      <c r="DD202" s="78"/>
      <c r="DE202" s="78"/>
      <c r="DF202" s="78"/>
      <c r="DG202" s="78"/>
      <c r="DH202" s="78"/>
      <c r="DI202" s="78"/>
      <c r="DJ202" s="78"/>
      <c r="DK202" s="78"/>
      <c r="DL202" s="78"/>
      <c r="DM202" s="78"/>
      <c r="DN202" s="78"/>
      <c r="DO202" s="78"/>
      <c r="DP202" s="97"/>
    </row>
    <row r="203" spans="2:120" s="22" customFormat="1" hidden="1" outlineLevel="1" x14ac:dyDescent="0.35">
      <c r="B203" s="25" t="s">
        <v>165</v>
      </c>
      <c r="C203" s="75" t="s">
        <v>58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80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80"/>
      <c r="AD203" s="77">
        <v>500</v>
      </c>
      <c r="AE203" s="77"/>
      <c r="AF203" s="77">
        <v>1000</v>
      </c>
      <c r="AG203" s="77"/>
      <c r="AH203" s="77"/>
      <c r="AI203" s="77"/>
      <c r="AJ203" s="77"/>
      <c r="AK203" s="77"/>
      <c r="AL203" s="77"/>
      <c r="AM203" s="77"/>
      <c r="AN203" s="77"/>
      <c r="AO203" s="77"/>
      <c r="AP203" s="80">
        <v>1500</v>
      </c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83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83"/>
      <c r="BQ203" s="77">
        <v>1277.0077477647212</v>
      </c>
      <c r="BR203" s="77"/>
      <c r="BS203" s="77">
        <v>1278.179061669593</v>
      </c>
      <c r="BT203" s="77"/>
      <c r="BU203" s="77"/>
      <c r="BV203" s="77"/>
      <c r="BW203" s="77"/>
      <c r="BX203" s="77"/>
      <c r="BY203" s="77"/>
      <c r="BZ203" s="77"/>
      <c r="CA203" s="77"/>
      <c r="CB203" s="77"/>
      <c r="CC203" s="83">
        <v>1277.7886237013024</v>
      </c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96"/>
      <c r="CQ203" s="77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96"/>
      <c r="DD203" s="77">
        <v>28922.7842247191</v>
      </c>
      <c r="DE203" s="77"/>
      <c r="DF203" s="77">
        <v>27898.369735294124</v>
      </c>
      <c r="DG203" s="77"/>
      <c r="DH203" s="77"/>
      <c r="DI203" s="77"/>
      <c r="DJ203" s="77"/>
      <c r="DK203" s="77"/>
      <c r="DL203" s="77"/>
      <c r="DM203" s="77"/>
      <c r="DN203" s="77"/>
      <c r="DO203" s="77"/>
      <c r="DP203" s="96">
        <v>28239.841231769115</v>
      </c>
    </row>
    <row r="204" spans="2:120" s="22" customFormat="1" hidden="1" outlineLevel="1" x14ac:dyDescent="0.35">
      <c r="B204" s="25" t="s">
        <v>165</v>
      </c>
      <c r="C204" s="75" t="s">
        <v>49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80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80"/>
      <c r="AD204" s="77"/>
      <c r="AE204" s="77"/>
      <c r="AF204" s="77"/>
      <c r="AG204" s="77">
        <v>1375</v>
      </c>
      <c r="AH204" s="77"/>
      <c r="AI204" s="77"/>
      <c r="AJ204" s="77"/>
      <c r="AK204" s="77"/>
      <c r="AL204" s="77"/>
      <c r="AM204" s="77"/>
      <c r="AN204" s="77"/>
      <c r="AO204" s="77"/>
      <c r="AP204" s="80">
        <v>1375</v>
      </c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83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83"/>
      <c r="BQ204" s="77"/>
      <c r="BR204" s="77"/>
      <c r="BS204" s="77"/>
      <c r="BT204" s="77">
        <v>1411.9104831168829</v>
      </c>
      <c r="BU204" s="77"/>
      <c r="BV204" s="77"/>
      <c r="BW204" s="77"/>
      <c r="BX204" s="77"/>
      <c r="BY204" s="77"/>
      <c r="BZ204" s="77"/>
      <c r="CA204" s="77"/>
      <c r="CB204" s="77"/>
      <c r="CC204" s="83">
        <v>1411.9104831168829</v>
      </c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96"/>
      <c r="CQ204" s="7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96"/>
      <c r="DD204" s="77"/>
      <c r="DE204" s="77"/>
      <c r="DF204" s="77"/>
      <c r="DG204" s="77">
        <v>27898.369697797869</v>
      </c>
      <c r="DH204" s="77"/>
      <c r="DI204" s="77"/>
      <c r="DJ204" s="77"/>
      <c r="DK204" s="77"/>
      <c r="DL204" s="77"/>
      <c r="DM204" s="77"/>
      <c r="DN204" s="77"/>
      <c r="DO204" s="77"/>
      <c r="DP204" s="96">
        <v>27898.369697797869</v>
      </c>
    </row>
    <row r="205" spans="2:120" s="22" customFormat="1" hidden="1" outlineLevel="1" x14ac:dyDescent="0.35">
      <c r="B205" s="25" t="s">
        <v>165</v>
      </c>
      <c r="C205" s="75" t="s">
        <v>166</v>
      </c>
      <c r="D205" s="77"/>
      <c r="E205" s="77"/>
      <c r="F205" s="77"/>
      <c r="G205" s="77"/>
      <c r="H205" s="77">
        <v>200</v>
      </c>
      <c r="I205" s="77"/>
      <c r="J205" s="77"/>
      <c r="K205" s="77"/>
      <c r="L205" s="77"/>
      <c r="M205" s="77"/>
      <c r="N205" s="77"/>
      <c r="O205" s="77"/>
      <c r="P205" s="80">
        <v>200</v>
      </c>
      <c r="Q205" s="77"/>
      <c r="R205" s="77"/>
      <c r="S205" s="77">
        <v>300</v>
      </c>
      <c r="T205" s="77"/>
      <c r="U205" s="77"/>
      <c r="V205" s="77"/>
      <c r="W205" s="77"/>
      <c r="X205" s="77"/>
      <c r="Y205" s="77"/>
      <c r="Z205" s="77"/>
      <c r="AA205" s="77"/>
      <c r="AB205" s="77"/>
      <c r="AC205" s="80">
        <v>300</v>
      </c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80"/>
      <c r="AQ205" s="77"/>
      <c r="AR205" s="77"/>
      <c r="AS205" s="77"/>
      <c r="AT205" s="77"/>
      <c r="AU205" s="77">
        <v>1360.9846947902197</v>
      </c>
      <c r="AV205" s="77"/>
      <c r="AW205" s="77"/>
      <c r="AX205" s="77"/>
      <c r="AY205" s="77"/>
      <c r="AZ205" s="77"/>
      <c r="BA205" s="77"/>
      <c r="BB205" s="77"/>
      <c r="BC205" s="83">
        <v>1360.9846947902197</v>
      </c>
      <c r="BD205" s="77"/>
      <c r="BE205" s="77"/>
      <c r="BF205" s="77">
        <v>1316.173255198966</v>
      </c>
      <c r="BG205" s="77"/>
      <c r="BH205" s="77"/>
      <c r="BI205" s="77"/>
      <c r="BJ205" s="77"/>
      <c r="BK205" s="77"/>
      <c r="BL205" s="77"/>
      <c r="BM205" s="77"/>
      <c r="BN205" s="77"/>
      <c r="BO205" s="77"/>
      <c r="BP205" s="83">
        <v>1316.173255198966</v>
      </c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83"/>
      <c r="CD205" s="77"/>
      <c r="CE205" s="77"/>
      <c r="CF205" s="77"/>
      <c r="CG205" s="77"/>
      <c r="CH205" s="77">
        <v>33886.485000000001</v>
      </c>
      <c r="CI205" s="77"/>
      <c r="CJ205" s="77"/>
      <c r="CK205" s="77"/>
      <c r="CL205" s="77"/>
      <c r="CM205" s="77"/>
      <c r="CN205" s="77"/>
      <c r="CO205" s="77"/>
      <c r="CP205" s="96">
        <v>33886.485000000001</v>
      </c>
      <c r="CQ205" s="77"/>
      <c r="CR205" s="77"/>
      <c r="CS205" s="77">
        <v>42618.504684684689</v>
      </c>
      <c r="CT205" s="77"/>
      <c r="CU205" s="77"/>
      <c r="CV205" s="77"/>
      <c r="CW205" s="77"/>
      <c r="CX205" s="77"/>
      <c r="CY205" s="77"/>
      <c r="CZ205" s="77"/>
      <c r="DA205" s="77"/>
      <c r="DB205" s="77"/>
      <c r="DC205" s="96">
        <v>42618.504684684689</v>
      </c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96"/>
    </row>
    <row r="206" spans="2:120" s="22" customFormat="1" hidden="1" outlineLevel="1" x14ac:dyDescent="0.35">
      <c r="B206" s="25" t="s">
        <v>165</v>
      </c>
      <c r="C206" s="75" t="s">
        <v>167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80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80"/>
      <c r="AD206" s="77"/>
      <c r="AE206" s="77"/>
      <c r="AF206" s="77"/>
      <c r="AG206" s="77">
        <v>50</v>
      </c>
      <c r="AH206" s="77"/>
      <c r="AI206" s="77"/>
      <c r="AJ206" s="77"/>
      <c r="AK206" s="77"/>
      <c r="AL206" s="77"/>
      <c r="AM206" s="77"/>
      <c r="AN206" s="77"/>
      <c r="AO206" s="77"/>
      <c r="AP206" s="80">
        <v>50</v>
      </c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83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83"/>
      <c r="BQ206" s="77"/>
      <c r="BR206" s="77"/>
      <c r="BS206" s="77"/>
      <c r="BT206" s="77">
        <v>1319.1999999999998</v>
      </c>
      <c r="BU206" s="77"/>
      <c r="BV206" s="77"/>
      <c r="BW206" s="77"/>
      <c r="BX206" s="77"/>
      <c r="BY206" s="77"/>
      <c r="BZ206" s="77"/>
      <c r="CA206" s="77"/>
      <c r="CB206" s="77"/>
      <c r="CC206" s="83">
        <v>1319.1999999999998</v>
      </c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96"/>
      <c r="CQ206" s="77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96"/>
      <c r="DD206" s="77"/>
      <c r="DE206" s="77"/>
      <c r="DF206" s="77"/>
      <c r="DG206" s="77">
        <v>27898.369697797865</v>
      </c>
      <c r="DH206" s="77"/>
      <c r="DI206" s="77"/>
      <c r="DJ206" s="77"/>
      <c r="DK206" s="77"/>
      <c r="DL206" s="77"/>
      <c r="DM206" s="77"/>
      <c r="DN206" s="77"/>
      <c r="DO206" s="77"/>
      <c r="DP206" s="96">
        <v>27898.369697797865</v>
      </c>
    </row>
    <row r="207" spans="2:120" s="22" customFormat="1" hidden="1" outlineLevel="1" x14ac:dyDescent="0.35">
      <c r="B207" s="25" t="s">
        <v>165</v>
      </c>
      <c r="C207" s="75" t="s">
        <v>53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>
        <v>49500</v>
      </c>
      <c r="P207" s="80">
        <v>49500</v>
      </c>
      <c r="Q207" s="77">
        <v>22000</v>
      </c>
      <c r="R207" s="77">
        <v>22000</v>
      </c>
      <c r="S207" s="77">
        <v>33000</v>
      </c>
      <c r="T207" s="77">
        <v>33000</v>
      </c>
      <c r="U207" s="77">
        <v>33000</v>
      </c>
      <c r="V207" s="77">
        <v>33000</v>
      </c>
      <c r="W207" s="77">
        <v>33000</v>
      </c>
      <c r="X207" s="77">
        <v>33000</v>
      </c>
      <c r="Y207" s="77">
        <v>33000</v>
      </c>
      <c r="Z207" s="77"/>
      <c r="AA207" s="77"/>
      <c r="AB207" s="77"/>
      <c r="AC207" s="80">
        <v>275000</v>
      </c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80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>
        <v>1363.2553138736293</v>
      </c>
      <c r="BC207" s="83">
        <v>1363.2553138736293</v>
      </c>
      <c r="BD207" s="77">
        <v>1369.0275613486194</v>
      </c>
      <c r="BE207" s="77">
        <v>1365.3248191103767</v>
      </c>
      <c r="BF207" s="77">
        <v>1346.0459781214086</v>
      </c>
      <c r="BG207" s="77">
        <v>1253.8411183325718</v>
      </c>
      <c r="BH207" s="77">
        <v>1255.7129883532255</v>
      </c>
      <c r="BI207" s="77">
        <v>1261.3394085741297</v>
      </c>
      <c r="BJ207" s="77">
        <v>1263.5611554715983</v>
      </c>
      <c r="BK207" s="77">
        <v>1256.5546573576696</v>
      </c>
      <c r="BL207" s="77">
        <v>1237.4854219404212</v>
      </c>
      <c r="BM207" s="77"/>
      <c r="BN207" s="77"/>
      <c r="BO207" s="77"/>
      <c r="BP207" s="83">
        <v>1283.6930778148428</v>
      </c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83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>
        <v>33602.858444444442</v>
      </c>
      <c r="CP207" s="96">
        <v>33602.858444444442</v>
      </c>
      <c r="CQ207" s="77">
        <v>33602.858500000002</v>
      </c>
      <c r="CR207" s="77">
        <v>53201.189181818183</v>
      </c>
      <c r="CS207" s="77">
        <v>42618.504684684689</v>
      </c>
      <c r="CT207" s="77">
        <v>40444.343999999997</v>
      </c>
      <c r="CU207" s="77">
        <v>36449.168212121214</v>
      </c>
      <c r="CV207" s="77">
        <v>35645.294393939403</v>
      </c>
      <c r="CW207" s="77">
        <v>33031.829878787874</v>
      </c>
      <c r="CX207" s="77">
        <v>32879.005484848487</v>
      </c>
      <c r="CY207" s="77">
        <v>32300.673666666662</v>
      </c>
      <c r="CZ207" s="77"/>
      <c r="DA207" s="77"/>
      <c r="DB207" s="77"/>
      <c r="DC207" s="96">
        <v>37348.582253071225</v>
      </c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96"/>
    </row>
    <row r="208" spans="2:120" s="22" customFormat="1" hidden="1" outlineLevel="1" x14ac:dyDescent="0.35">
      <c r="B208" s="25" t="s">
        <v>165</v>
      </c>
      <c r="C208" s="75" t="s">
        <v>168</v>
      </c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80"/>
      <c r="Q208" s="77"/>
      <c r="R208" s="77"/>
      <c r="S208" s="77"/>
      <c r="T208" s="77"/>
      <c r="U208" s="77"/>
      <c r="V208" s="77"/>
      <c r="W208" s="77"/>
      <c r="X208" s="77"/>
      <c r="Y208" s="77"/>
      <c r="Z208" s="77">
        <v>44000</v>
      </c>
      <c r="AA208" s="77">
        <v>33000</v>
      </c>
      <c r="AB208" s="77">
        <v>55000</v>
      </c>
      <c r="AC208" s="80">
        <v>132000</v>
      </c>
      <c r="AD208" s="77">
        <v>44000</v>
      </c>
      <c r="AE208" s="77">
        <v>22000</v>
      </c>
      <c r="AF208" s="77">
        <v>33000</v>
      </c>
      <c r="AG208" s="77">
        <v>66000</v>
      </c>
      <c r="AH208" s="77"/>
      <c r="AI208" s="77"/>
      <c r="AJ208" s="77"/>
      <c r="AK208" s="77"/>
      <c r="AL208" s="77"/>
      <c r="AM208" s="77"/>
      <c r="AN208" s="77"/>
      <c r="AO208" s="77"/>
      <c r="AP208" s="80">
        <v>165000</v>
      </c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83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>
        <v>1222.9374847123902</v>
      </c>
      <c r="BN208" s="77">
        <v>1220.3014651386425</v>
      </c>
      <c r="BO208" s="77">
        <v>1210.8575143155888</v>
      </c>
      <c r="BP208" s="83">
        <v>1217.2451588202857</v>
      </c>
      <c r="BQ208" s="77">
        <v>1207.8492013055525</v>
      </c>
      <c r="BR208" s="77">
        <v>1218.5480181004054</v>
      </c>
      <c r="BS208" s="77">
        <v>1202.3277191442453</v>
      </c>
      <c r="BT208" s="77">
        <v>1257.1365079365082</v>
      </c>
      <c r="BU208" s="77"/>
      <c r="BV208" s="77"/>
      <c r="BW208" s="77"/>
      <c r="BX208" s="77"/>
      <c r="BY208" s="77"/>
      <c r="BZ208" s="77"/>
      <c r="CA208" s="77"/>
      <c r="CB208" s="77"/>
      <c r="CC208" s="83">
        <v>1227.8863364316533</v>
      </c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96"/>
      <c r="CQ208" s="77"/>
      <c r="CR208" s="77"/>
      <c r="CS208" s="77"/>
      <c r="CT208" s="77"/>
      <c r="CU208" s="77"/>
      <c r="CV208" s="77"/>
      <c r="CW208" s="77"/>
      <c r="CX208" s="77"/>
      <c r="CY208" s="77"/>
      <c r="CZ208" s="77">
        <v>32215.734909090908</v>
      </c>
      <c r="DA208" s="77">
        <v>32193.192333333325</v>
      </c>
      <c r="DB208" s="77">
        <v>32115.47152727273</v>
      </c>
      <c r="DC208" s="96">
        <v>32168.322856060615</v>
      </c>
      <c r="DD208" s="77">
        <v>28922.784224719097</v>
      </c>
      <c r="DE208" s="77">
        <v>28459.481</v>
      </c>
      <c r="DF208" s="77">
        <v>27898.369735294116</v>
      </c>
      <c r="DG208" s="77">
        <v>27898.369697797865</v>
      </c>
      <c r="DH208" s="77"/>
      <c r="DI208" s="77"/>
      <c r="DJ208" s="77"/>
      <c r="DK208" s="77"/>
      <c r="DL208" s="77"/>
      <c r="DM208" s="77"/>
      <c r="DN208" s="77"/>
      <c r="DO208" s="77"/>
      <c r="DP208" s="96">
        <v>28246.361752769735</v>
      </c>
    </row>
    <row r="209" spans="2:120" s="22" customFormat="1" hidden="1" collapsed="1" x14ac:dyDescent="0.35">
      <c r="B209" s="106" t="s">
        <v>169</v>
      </c>
      <c r="C209" s="76"/>
      <c r="D209" s="78"/>
      <c r="E209" s="78"/>
      <c r="F209" s="78"/>
      <c r="G209" s="78"/>
      <c r="H209" s="78">
        <v>200</v>
      </c>
      <c r="I209" s="78"/>
      <c r="J209" s="78"/>
      <c r="K209" s="78"/>
      <c r="L209" s="78"/>
      <c r="M209" s="78"/>
      <c r="N209" s="78"/>
      <c r="O209" s="78">
        <v>49500</v>
      </c>
      <c r="P209" s="81">
        <v>49700</v>
      </c>
      <c r="Q209" s="78">
        <v>22000</v>
      </c>
      <c r="R209" s="78">
        <v>22000</v>
      </c>
      <c r="S209" s="78">
        <v>33300</v>
      </c>
      <c r="T209" s="78">
        <v>33000</v>
      </c>
      <c r="U209" s="78">
        <v>33000</v>
      </c>
      <c r="V209" s="78">
        <v>33000</v>
      </c>
      <c r="W209" s="78">
        <v>33000</v>
      </c>
      <c r="X209" s="78">
        <v>33000</v>
      </c>
      <c r="Y209" s="78">
        <v>33000</v>
      </c>
      <c r="Z209" s="78">
        <v>44000</v>
      </c>
      <c r="AA209" s="78">
        <v>33000</v>
      </c>
      <c r="AB209" s="78">
        <v>55000</v>
      </c>
      <c r="AC209" s="81">
        <v>407300</v>
      </c>
      <c r="AD209" s="78">
        <v>44500</v>
      </c>
      <c r="AE209" s="78">
        <v>22000</v>
      </c>
      <c r="AF209" s="78">
        <v>34000</v>
      </c>
      <c r="AG209" s="78">
        <v>67425</v>
      </c>
      <c r="AH209" s="78"/>
      <c r="AI209" s="78"/>
      <c r="AJ209" s="78"/>
      <c r="AK209" s="78"/>
      <c r="AL209" s="78"/>
      <c r="AM209" s="78"/>
      <c r="AN209" s="78"/>
      <c r="AO209" s="78"/>
      <c r="AP209" s="81">
        <v>167925</v>
      </c>
      <c r="AQ209" s="78"/>
      <c r="AR209" s="78"/>
      <c r="AS209" s="78"/>
      <c r="AT209" s="78"/>
      <c r="AU209" s="78">
        <v>1360.9846947902197</v>
      </c>
      <c r="AV209" s="78"/>
      <c r="AW209" s="78"/>
      <c r="AX209" s="78"/>
      <c r="AY209" s="78"/>
      <c r="AZ209" s="78"/>
      <c r="BA209" s="78"/>
      <c r="BB209" s="78">
        <v>1363.2553138736293</v>
      </c>
      <c r="BC209" s="84">
        <v>1363.2461765734952</v>
      </c>
      <c r="BD209" s="78">
        <v>1369.0275613486194</v>
      </c>
      <c r="BE209" s="78">
        <v>1365.3248191103767</v>
      </c>
      <c r="BF209" s="78">
        <v>1345.7768544914768</v>
      </c>
      <c r="BG209" s="78">
        <v>1253.8411183325718</v>
      </c>
      <c r="BH209" s="78">
        <v>1255.7129883532255</v>
      </c>
      <c r="BI209" s="78">
        <v>1261.3394085741297</v>
      </c>
      <c r="BJ209" s="78">
        <v>1263.5611554715983</v>
      </c>
      <c r="BK209" s="78">
        <v>1256.5546573576696</v>
      </c>
      <c r="BL209" s="78">
        <v>1237.4854219404212</v>
      </c>
      <c r="BM209" s="78">
        <v>1222.9374847123902</v>
      </c>
      <c r="BN209" s="78">
        <v>1220.3014651386425</v>
      </c>
      <c r="BO209" s="78">
        <v>1210.8575143155888</v>
      </c>
      <c r="BP209" s="84">
        <v>1262.1821982320635</v>
      </c>
      <c r="BQ209" s="78">
        <v>1208.6262636253184</v>
      </c>
      <c r="BR209" s="78">
        <v>1218.5480181004054</v>
      </c>
      <c r="BS209" s="78">
        <v>1204.558640983226</v>
      </c>
      <c r="BT209" s="78">
        <v>1260.338842240938</v>
      </c>
      <c r="BU209" s="78"/>
      <c r="BV209" s="78"/>
      <c r="BW209" s="78"/>
      <c r="BX209" s="78"/>
      <c r="BY209" s="78"/>
      <c r="BZ209" s="78"/>
      <c r="CA209" s="78"/>
      <c r="CB209" s="78"/>
      <c r="CC209" s="84">
        <v>1229.8661030880478</v>
      </c>
      <c r="CD209" s="78"/>
      <c r="CE209" s="78"/>
      <c r="CF209" s="78"/>
      <c r="CG209" s="78"/>
      <c r="CH209" s="78">
        <v>33886.485000000001</v>
      </c>
      <c r="CI209" s="78"/>
      <c r="CJ209" s="78"/>
      <c r="CK209" s="78"/>
      <c r="CL209" s="78"/>
      <c r="CM209" s="78"/>
      <c r="CN209" s="78"/>
      <c r="CO209" s="78">
        <v>33602.858444444442</v>
      </c>
      <c r="CP209" s="97">
        <v>33603.999798792756</v>
      </c>
      <c r="CQ209" s="78">
        <v>33602.858500000002</v>
      </c>
      <c r="CR209" s="78">
        <v>53201.189181818183</v>
      </c>
      <c r="CS209" s="78">
        <v>42618.504684684682</v>
      </c>
      <c r="CT209" s="78">
        <v>40444.343999999997</v>
      </c>
      <c r="CU209" s="78">
        <v>36449.168212121214</v>
      </c>
      <c r="CV209" s="78">
        <v>35645.294393939403</v>
      </c>
      <c r="CW209" s="78">
        <v>33031.829878787874</v>
      </c>
      <c r="CX209" s="78">
        <v>32879.005484848487</v>
      </c>
      <c r="CY209" s="78">
        <v>32300.673666666662</v>
      </c>
      <c r="CZ209" s="78">
        <v>32215.734909090908</v>
      </c>
      <c r="DA209" s="78">
        <v>32193.192333333325</v>
      </c>
      <c r="DB209" s="78">
        <v>32115.47152727273</v>
      </c>
      <c r="DC209" s="97">
        <v>35673.617205990646</v>
      </c>
      <c r="DD209" s="78">
        <v>28922.784224719097</v>
      </c>
      <c r="DE209" s="78">
        <v>28459.481</v>
      </c>
      <c r="DF209" s="78">
        <v>27898.369735294116</v>
      </c>
      <c r="DG209" s="78">
        <v>27898.369697797865</v>
      </c>
      <c r="DH209" s="78"/>
      <c r="DI209" s="78"/>
      <c r="DJ209" s="78"/>
      <c r="DK209" s="78"/>
      <c r="DL209" s="78"/>
      <c r="DM209" s="78"/>
      <c r="DN209" s="78"/>
      <c r="DO209" s="78"/>
      <c r="DP209" s="97">
        <v>28243.350471186677</v>
      </c>
    </row>
    <row r="210" spans="2:120" s="22" customFormat="1" hidden="1" outlineLevel="1" x14ac:dyDescent="0.35">
      <c r="B210" s="25" t="s">
        <v>170</v>
      </c>
      <c r="C210" s="75" t="s">
        <v>78</v>
      </c>
      <c r="D210" s="77"/>
      <c r="E210" s="77"/>
      <c r="F210" s="77">
        <v>500</v>
      </c>
      <c r="G210" s="77">
        <v>225</v>
      </c>
      <c r="H210" s="77"/>
      <c r="I210" s="77"/>
      <c r="J210" s="77">
        <v>300</v>
      </c>
      <c r="K210" s="77">
        <v>300</v>
      </c>
      <c r="L210" s="77">
        <v>200</v>
      </c>
      <c r="M210" s="77"/>
      <c r="N210" s="77">
        <v>300</v>
      </c>
      <c r="O210" s="77">
        <v>300</v>
      </c>
      <c r="P210" s="80">
        <v>2125</v>
      </c>
      <c r="Q210" s="77"/>
      <c r="R210" s="77"/>
      <c r="S210" s="77"/>
      <c r="T210" s="77"/>
      <c r="U210" s="77"/>
      <c r="V210" s="77"/>
      <c r="W210" s="77"/>
      <c r="X210" s="77"/>
      <c r="Y210" s="77">
        <v>100</v>
      </c>
      <c r="Z210" s="77"/>
      <c r="AA210" s="77">
        <v>200</v>
      </c>
      <c r="AB210" s="77"/>
      <c r="AC210" s="80">
        <v>300</v>
      </c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80"/>
      <c r="AQ210" s="77"/>
      <c r="AR210" s="77"/>
      <c r="AS210" s="77">
        <v>1275.7025727849652</v>
      </c>
      <c r="AT210" s="77">
        <v>1251.6755451359211</v>
      </c>
      <c r="AU210" s="77"/>
      <c r="AV210" s="77"/>
      <c r="AW210" s="77">
        <v>1235.7875219436107</v>
      </c>
      <c r="AX210" s="77">
        <v>1249.7393538825893</v>
      </c>
      <c r="AY210" s="77">
        <v>1263.4863229197467</v>
      </c>
      <c r="AZ210" s="77"/>
      <c r="BA210" s="77">
        <v>1243.38136280097</v>
      </c>
      <c r="BB210" s="77">
        <v>1241.6881031750297</v>
      </c>
      <c r="BC210" s="83">
        <v>1253.3432711400819</v>
      </c>
      <c r="BD210" s="77"/>
      <c r="BE210" s="77"/>
      <c r="BF210" s="77"/>
      <c r="BG210" s="77"/>
      <c r="BH210" s="77"/>
      <c r="BI210" s="77"/>
      <c r="BJ210" s="77"/>
      <c r="BK210" s="77"/>
      <c r="BL210" s="77">
        <v>1282.8832749936541</v>
      </c>
      <c r="BM210" s="77"/>
      <c r="BN210" s="77">
        <v>1306.0819816191924</v>
      </c>
      <c r="BO210" s="77"/>
      <c r="BP210" s="83">
        <v>1298.3490794106795</v>
      </c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83"/>
      <c r="CD210" s="77"/>
      <c r="CE210" s="77"/>
      <c r="CF210" s="77">
        <v>27087.822857142852</v>
      </c>
      <c r="CG210" s="77">
        <v>27087.822222222221</v>
      </c>
      <c r="CH210" s="77"/>
      <c r="CI210" s="77"/>
      <c r="CJ210" s="77">
        <v>27087.82</v>
      </c>
      <c r="CK210" s="77">
        <v>27087.823333333334</v>
      </c>
      <c r="CL210" s="77">
        <v>27087.82</v>
      </c>
      <c r="CM210" s="77"/>
      <c r="CN210" s="77">
        <v>27087.82</v>
      </c>
      <c r="CO210" s="77">
        <v>27087.82</v>
      </c>
      <c r="CP210" s="96">
        <v>27087.82137815126</v>
      </c>
      <c r="CQ210" s="77"/>
      <c r="CR210" s="77"/>
      <c r="CS210" s="77"/>
      <c r="CT210" s="77"/>
      <c r="CU210" s="77"/>
      <c r="CV210" s="77"/>
      <c r="CW210" s="77"/>
      <c r="CX210" s="77"/>
      <c r="CY210" s="77">
        <v>31171.45</v>
      </c>
      <c r="CZ210" s="77"/>
      <c r="DA210" s="77">
        <v>31171.45</v>
      </c>
      <c r="DB210" s="77"/>
      <c r="DC210" s="96">
        <v>31171.45</v>
      </c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96"/>
    </row>
    <row r="211" spans="2:120" s="22" customFormat="1" hidden="1" outlineLevel="1" x14ac:dyDescent="0.35">
      <c r="B211" s="25" t="s">
        <v>170</v>
      </c>
      <c r="C211" s="75" t="s">
        <v>171</v>
      </c>
      <c r="D211" s="77"/>
      <c r="E211" s="77"/>
      <c r="F211" s="77">
        <v>25</v>
      </c>
      <c r="G211" s="77"/>
      <c r="H211" s="77"/>
      <c r="I211" s="77"/>
      <c r="J211" s="77"/>
      <c r="K211" s="77"/>
      <c r="L211" s="77"/>
      <c r="M211" s="77"/>
      <c r="N211" s="77"/>
      <c r="O211" s="77"/>
      <c r="P211" s="80">
        <v>25</v>
      </c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80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80"/>
      <c r="AQ211" s="77"/>
      <c r="AR211" s="77"/>
      <c r="AS211" s="77">
        <v>1298.8084102002031</v>
      </c>
      <c r="AT211" s="77"/>
      <c r="AU211" s="77"/>
      <c r="AV211" s="77"/>
      <c r="AW211" s="77"/>
      <c r="AX211" s="77"/>
      <c r="AY211" s="77"/>
      <c r="AZ211" s="77"/>
      <c r="BA211" s="77"/>
      <c r="BB211" s="77"/>
      <c r="BC211" s="83">
        <v>1298.8084102002031</v>
      </c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83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83"/>
      <c r="CD211" s="77"/>
      <c r="CE211" s="77"/>
      <c r="CF211" s="77">
        <v>27087.822857142855</v>
      </c>
      <c r="CG211" s="77"/>
      <c r="CH211" s="77"/>
      <c r="CI211" s="77"/>
      <c r="CJ211" s="77"/>
      <c r="CK211" s="77"/>
      <c r="CL211" s="77"/>
      <c r="CM211" s="77"/>
      <c r="CN211" s="77"/>
      <c r="CO211" s="77"/>
      <c r="CP211" s="96">
        <v>27087.822857142855</v>
      </c>
      <c r="CQ211" s="77"/>
      <c r="CR211" s="77"/>
      <c r="CS211" s="77"/>
      <c r="CT211" s="77"/>
      <c r="CU211" s="77"/>
      <c r="CV211" s="77"/>
      <c r="CW211" s="77"/>
      <c r="CX211" s="77"/>
      <c r="CY211" s="77"/>
      <c r="CZ211" s="77"/>
      <c r="DA211" s="77"/>
      <c r="DB211" s="77"/>
      <c r="DC211" s="96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96"/>
    </row>
    <row r="212" spans="2:120" s="22" customFormat="1" hidden="1" collapsed="1" x14ac:dyDescent="0.35">
      <c r="B212" s="106" t="s">
        <v>172</v>
      </c>
      <c r="C212" s="76"/>
      <c r="D212" s="78"/>
      <c r="E212" s="78"/>
      <c r="F212" s="78">
        <v>525</v>
      </c>
      <c r="G212" s="78">
        <v>225</v>
      </c>
      <c r="H212" s="78"/>
      <c r="I212" s="78"/>
      <c r="J212" s="78">
        <v>300</v>
      </c>
      <c r="K212" s="78">
        <v>300</v>
      </c>
      <c r="L212" s="78">
        <v>200</v>
      </c>
      <c r="M212" s="78"/>
      <c r="N212" s="78">
        <v>300</v>
      </c>
      <c r="O212" s="78">
        <v>300</v>
      </c>
      <c r="P212" s="81">
        <v>2150</v>
      </c>
      <c r="Q212" s="78"/>
      <c r="R212" s="78"/>
      <c r="S212" s="78"/>
      <c r="T212" s="78"/>
      <c r="U212" s="78"/>
      <c r="V212" s="78"/>
      <c r="W212" s="78"/>
      <c r="X212" s="78"/>
      <c r="Y212" s="78">
        <v>100</v>
      </c>
      <c r="Z212" s="78"/>
      <c r="AA212" s="78">
        <v>200</v>
      </c>
      <c r="AB212" s="78"/>
      <c r="AC212" s="81">
        <v>300</v>
      </c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81"/>
      <c r="AQ212" s="78"/>
      <c r="AR212" s="78"/>
      <c r="AS212" s="78">
        <v>1276.8028507571194</v>
      </c>
      <c r="AT212" s="78">
        <v>1251.6755451359211</v>
      </c>
      <c r="AU212" s="78"/>
      <c r="AV212" s="78"/>
      <c r="AW212" s="78">
        <v>1235.7875219436107</v>
      </c>
      <c r="AX212" s="78">
        <v>1249.7393538825893</v>
      </c>
      <c r="AY212" s="78">
        <v>1263.4863229197467</v>
      </c>
      <c r="AZ212" s="78"/>
      <c r="BA212" s="78">
        <v>1243.38136280097</v>
      </c>
      <c r="BB212" s="78">
        <v>1241.6881031750297</v>
      </c>
      <c r="BC212" s="84">
        <v>1253.8719355477579</v>
      </c>
      <c r="BD212" s="78"/>
      <c r="BE212" s="78"/>
      <c r="BF212" s="78"/>
      <c r="BG212" s="78"/>
      <c r="BH212" s="78"/>
      <c r="BI212" s="78"/>
      <c r="BJ212" s="78"/>
      <c r="BK212" s="78"/>
      <c r="BL212" s="78">
        <v>1282.8832749936541</v>
      </c>
      <c r="BM212" s="78"/>
      <c r="BN212" s="78">
        <v>1306.0819816191924</v>
      </c>
      <c r="BO212" s="78"/>
      <c r="BP212" s="84">
        <v>1298.3490794106795</v>
      </c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84"/>
      <c r="CD212" s="78"/>
      <c r="CE212" s="78"/>
      <c r="CF212" s="78">
        <v>27087.822857142852</v>
      </c>
      <c r="CG212" s="78">
        <v>27087.822222222221</v>
      </c>
      <c r="CH212" s="78"/>
      <c r="CI212" s="78"/>
      <c r="CJ212" s="78">
        <v>27087.82</v>
      </c>
      <c r="CK212" s="78">
        <v>27087.823333333334</v>
      </c>
      <c r="CL212" s="78">
        <v>27087.82</v>
      </c>
      <c r="CM212" s="78"/>
      <c r="CN212" s="78">
        <v>27087.82</v>
      </c>
      <c r="CO212" s="78">
        <v>27087.82</v>
      </c>
      <c r="CP212" s="97">
        <v>27087.821395348838</v>
      </c>
      <c r="CQ212" s="78"/>
      <c r="CR212" s="78"/>
      <c r="CS212" s="78"/>
      <c r="CT212" s="78"/>
      <c r="CU212" s="78"/>
      <c r="CV212" s="78"/>
      <c r="CW212" s="78"/>
      <c r="CX212" s="78"/>
      <c r="CY212" s="78">
        <v>31171.45</v>
      </c>
      <c r="CZ212" s="78"/>
      <c r="DA212" s="78">
        <v>31171.45</v>
      </c>
      <c r="DB212" s="78"/>
      <c r="DC212" s="97">
        <v>31171.45</v>
      </c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97"/>
    </row>
    <row r="213" spans="2:120" s="22" customFormat="1" hidden="1" outlineLevel="1" x14ac:dyDescent="0.35">
      <c r="B213" s="25" t="s">
        <v>173</v>
      </c>
      <c r="C213" s="75" t="s">
        <v>174</v>
      </c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80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80"/>
      <c r="AD213" s="77"/>
      <c r="AE213" s="77"/>
      <c r="AF213" s="77">
        <v>21000</v>
      </c>
      <c r="AG213" s="77"/>
      <c r="AH213" s="77"/>
      <c r="AI213" s="77"/>
      <c r="AJ213" s="77"/>
      <c r="AK213" s="77"/>
      <c r="AL213" s="77"/>
      <c r="AM213" s="77"/>
      <c r="AN213" s="77"/>
      <c r="AO213" s="77"/>
      <c r="AP213" s="80">
        <v>21000</v>
      </c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83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83"/>
      <c r="BQ213" s="77"/>
      <c r="BR213" s="77"/>
      <c r="BS213" s="77">
        <v>647.07480052099504</v>
      </c>
      <c r="BT213" s="77"/>
      <c r="BU213" s="77"/>
      <c r="BV213" s="77"/>
      <c r="BW213" s="77"/>
      <c r="BX213" s="77"/>
      <c r="BY213" s="77"/>
      <c r="BZ213" s="77"/>
      <c r="CA213" s="77"/>
      <c r="CB213" s="77"/>
      <c r="CC213" s="83">
        <v>647.07480052099504</v>
      </c>
      <c r="CD213" s="77"/>
      <c r="CE213" s="77"/>
      <c r="CF213" s="77"/>
      <c r="CG213" s="77"/>
      <c r="CH213" s="77"/>
      <c r="CI213" s="77"/>
      <c r="CJ213" s="77"/>
      <c r="CK213" s="77"/>
      <c r="CL213" s="77"/>
      <c r="CM213" s="77"/>
      <c r="CN213" s="77"/>
      <c r="CO213" s="77"/>
      <c r="CP213" s="96"/>
      <c r="CQ213" s="77"/>
      <c r="CR213" s="77"/>
      <c r="CS213" s="77"/>
      <c r="CT213" s="77"/>
      <c r="CU213" s="77"/>
      <c r="CV213" s="77"/>
      <c r="CW213" s="77"/>
      <c r="CX213" s="77"/>
      <c r="CY213" s="77"/>
      <c r="CZ213" s="77"/>
      <c r="DA213" s="77"/>
      <c r="DB213" s="77"/>
      <c r="DC213" s="96"/>
      <c r="DD213" s="77"/>
      <c r="DE213" s="77"/>
      <c r="DF213" s="77">
        <v>26034.094761904762</v>
      </c>
      <c r="DG213" s="77"/>
      <c r="DH213" s="77"/>
      <c r="DI213" s="77"/>
      <c r="DJ213" s="77"/>
      <c r="DK213" s="77"/>
      <c r="DL213" s="77"/>
      <c r="DM213" s="77"/>
      <c r="DN213" s="77"/>
      <c r="DO213" s="77"/>
      <c r="DP213" s="96">
        <v>26034.094761904762</v>
      </c>
    </row>
    <row r="214" spans="2:120" s="22" customFormat="1" hidden="1" outlineLevel="1" x14ac:dyDescent="0.35">
      <c r="B214" s="25" t="s">
        <v>173</v>
      </c>
      <c r="C214" s="75" t="s">
        <v>175</v>
      </c>
      <c r="D214" s="77"/>
      <c r="E214" s="77">
        <v>-50000</v>
      </c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80">
        <v>-50000</v>
      </c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80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80"/>
      <c r="AQ214" s="77"/>
      <c r="AR214" s="77">
        <v>957.14734124310758</v>
      </c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83">
        <v>957.14734124310758</v>
      </c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83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83"/>
      <c r="CD214" s="77"/>
      <c r="CE214" s="77">
        <v>16212.184880000001</v>
      </c>
      <c r="CF214" s="77"/>
      <c r="CG214" s="77"/>
      <c r="CH214" s="77"/>
      <c r="CI214" s="77"/>
      <c r="CJ214" s="77"/>
      <c r="CK214" s="77"/>
      <c r="CL214" s="77"/>
      <c r="CM214" s="77"/>
      <c r="CN214" s="77"/>
      <c r="CO214" s="77"/>
      <c r="CP214" s="96">
        <v>16212.184880000001</v>
      </c>
      <c r="CQ214" s="77"/>
      <c r="CR214" s="77"/>
      <c r="CS214" s="77"/>
      <c r="CT214" s="77"/>
      <c r="CU214" s="77"/>
      <c r="CV214" s="77"/>
      <c r="CW214" s="77"/>
      <c r="CX214" s="77"/>
      <c r="CY214" s="77"/>
      <c r="CZ214" s="77"/>
      <c r="DA214" s="77"/>
      <c r="DB214" s="77"/>
      <c r="DC214" s="96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96"/>
    </row>
    <row r="215" spans="2:120" s="22" customFormat="1" hidden="1" outlineLevel="1" x14ac:dyDescent="0.35">
      <c r="B215" s="25" t="s">
        <v>173</v>
      </c>
      <c r="C215" s="75" t="s">
        <v>176</v>
      </c>
      <c r="D215" s="77"/>
      <c r="E215" s="77"/>
      <c r="F215" s="77">
        <v>75</v>
      </c>
      <c r="G215" s="77"/>
      <c r="H215" s="77"/>
      <c r="I215" s="77"/>
      <c r="J215" s="77"/>
      <c r="K215" s="77"/>
      <c r="L215" s="77"/>
      <c r="M215" s="77"/>
      <c r="N215" s="77"/>
      <c r="O215" s="77"/>
      <c r="P215" s="80">
        <v>75</v>
      </c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80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80"/>
      <c r="AQ215" s="77"/>
      <c r="AR215" s="77"/>
      <c r="AS215" s="77">
        <v>901.77253626135291</v>
      </c>
      <c r="AT215" s="77"/>
      <c r="AU215" s="77"/>
      <c r="AV215" s="77"/>
      <c r="AW215" s="77"/>
      <c r="AX215" s="77"/>
      <c r="AY215" s="77"/>
      <c r="AZ215" s="77"/>
      <c r="BA215" s="77"/>
      <c r="BB215" s="77"/>
      <c r="BC215" s="83">
        <v>901.77253626135291</v>
      </c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83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83"/>
      <c r="CD215" s="77"/>
      <c r="CE215" s="77"/>
      <c r="CF215" s="77">
        <v>16212.186666666666</v>
      </c>
      <c r="CG215" s="77"/>
      <c r="CH215" s="77"/>
      <c r="CI215" s="77"/>
      <c r="CJ215" s="77"/>
      <c r="CK215" s="77"/>
      <c r="CL215" s="77"/>
      <c r="CM215" s="77"/>
      <c r="CN215" s="77"/>
      <c r="CO215" s="77"/>
      <c r="CP215" s="96">
        <v>16212.186666666666</v>
      </c>
      <c r="CQ215" s="77"/>
      <c r="CR215" s="77"/>
      <c r="CS215" s="77"/>
      <c r="CT215" s="77"/>
      <c r="CU215" s="77"/>
      <c r="CV215" s="77"/>
      <c r="CW215" s="77"/>
      <c r="CX215" s="77"/>
      <c r="CY215" s="77"/>
      <c r="CZ215" s="77"/>
      <c r="DA215" s="77"/>
      <c r="DB215" s="77"/>
      <c r="DC215" s="96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96"/>
    </row>
    <row r="216" spans="2:120" s="22" customFormat="1" hidden="1" outlineLevel="1" x14ac:dyDescent="0.35">
      <c r="B216" s="25" t="s">
        <v>173</v>
      </c>
      <c r="C216" s="75" t="s">
        <v>177</v>
      </c>
      <c r="D216" s="77">
        <v>22000</v>
      </c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80">
        <v>22000</v>
      </c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80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80"/>
      <c r="AQ216" s="77">
        <v>975.486868895567</v>
      </c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83">
        <v>975.486868895567</v>
      </c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83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83"/>
      <c r="CD216" s="77">
        <v>16212.184909090909</v>
      </c>
      <c r="CE216" s="77"/>
      <c r="CF216" s="77"/>
      <c r="CG216" s="77"/>
      <c r="CH216" s="77"/>
      <c r="CI216" s="77"/>
      <c r="CJ216" s="77"/>
      <c r="CK216" s="77"/>
      <c r="CL216" s="77"/>
      <c r="CM216" s="77"/>
      <c r="CN216" s="77"/>
      <c r="CO216" s="77"/>
      <c r="CP216" s="96">
        <v>16212.184909090909</v>
      </c>
      <c r="CQ216" s="77"/>
      <c r="CR216" s="77"/>
      <c r="CS216" s="77"/>
      <c r="CT216" s="77"/>
      <c r="CU216" s="77"/>
      <c r="CV216" s="77"/>
      <c r="CW216" s="77"/>
      <c r="CX216" s="77"/>
      <c r="CY216" s="77"/>
      <c r="CZ216" s="77"/>
      <c r="DA216" s="77"/>
      <c r="DB216" s="77"/>
      <c r="DC216" s="96"/>
      <c r="DD216" s="77"/>
      <c r="DE216" s="77"/>
      <c r="DF216" s="77"/>
      <c r="DG216" s="77"/>
      <c r="DH216" s="77"/>
      <c r="DI216" s="77"/>
      <c r="DJ216" s="77"/>
      <c r="DK216" s="77"/>
      <c r="DL216" s="77"/>
      <c r="DM216" s="77"/>
      <c r="DN216" s="77"/>
      <c r="DO216" s="77"/>
      <c r="DP216" s="96"/>
    </row>
    <row r="217" spans="2:120" s="22" customFormat="1" hidden="1" outlineLevel="1" x14ac:dyDescent="0.35">
      <c r="B217" s="25" t="s">
        <v>173</v>
      </c>
      <c r="C217" s="75" t="s">
        <v>25</v>
      </c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80"/>
      <c r="Q217" s="77"/>
      <c r="R217" s="77"/>
      <c r="S217" s="77"/>
      <c r="T217" s="77"/>
      <c r="U217" s="77"/>
      <c r="V217" s="77"/>
      <c r="W217" s="77"/>
      <c r="X217" s="77"/>
      <c r="Y217" s="77"/>
      <c r="Z217" s="77">
        <v>25</v>
      </c>
      <c r="AA217" s="77"/>
      <c r="AB217" s="77"/>
      <c r="AC217" s="80">
        <v>25</v>
      </c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80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83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>
        <v>1038.9721052684902</v>
      </c>
      <c r="BN217" s="77"/>
      <c r="BO217" s="77"/>
      <c r="BP217" s="83">
        <v>1038.9721052684902</v>
      </c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83"/>
      <c r="CD217" s="77"/>
      <c r="CE217" s="77"/>
      <c r="CF217" s="77"/>
      <c r="CG217" s="77"/>
      <c r="CH217" s="77"/>
      <c r="CI217" s="77"/>
      <c r="CJ217" s="77"/>
      <c r="CK217" s="77"/>
      <c r="CL217" s="77"/>
      <c r="CM217" s="77"/>
      <c r="CN217" s="77"/>
      <c r="CO217" s="77"/>
      <c r="CP217" s="96"/>
      <c r="CQ217" s="77"/>
      <c r="CR217" s="77"/>
      <c r="CS217" s="77"/>
      <c r="CT217" s="77"/>
      <c r="CU217" s="77"/>
      <c r="CV217" s="77"/>
      <c r="CW217" s="77"/>
      <c r="CX217" s="77"/>
      <c r="CY217" s="77"/>
      <c r="CZ217" s="77">
        <v>24398.84</v>
      </c>
      <c r="DA217" s="77"/>
      <c r="DB217" s="77"/>
      <c r="DC217" s="96">
        <v>24398.84</v>
      </c>
      <c r="DD217" s="77"/>
      <c r="DE217" s="77"/>
      <c r="DF217" s="77"/>
      <c r="DG217" s="77"/>
      <c r="DH217" s="77"/>
      <c r="DI217" s="77"/>
      <c r="DJ217" s="77"/>
      <c r="DK217" s="77"/>
      <c r="DL217" s="77"/>
      <c r="DM217" s="77"/>
      <c r="DN217" s="77"/>
      <c r="DO217" s="77"/>
      <c r="DP217" s="96"/>
    </row>
    <row r="218" spans="2:120" s="22" customFormat="1" hidden="1" outlineLevel="1" x14ac:dyDescent="0.35">
      <c r="B218" s="25" t="s">
        <v>173</v>
      </c>
      <c r="C218" s="75" t="s">
        <v>178</v>
      </c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80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>
        <v>22000</v>
      </c>
      <c r="AC218" s="80">
        <v>22000</v>
      </c>
      <c r="AD218" s="77">
        <v>-17600</v>
      </c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80">
        <v>-17600</v>
      </c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83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>
        <v>947.50360657094859</v>
      </c>
      <c r="BP218" s="83">
        <v>947.50360657094859</v>
      </c>
      <c r="BQ218" s="77">
        <v>944.04417803940305</v>
      </c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83">
        <v>944.04417803940305</v>
      </c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96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>
        <v>25455.013579545455</v>
      </c>
      <c r="DC218" s="96">
        <v>25455.013579545455</v>
      </c>
      <c r="DD218" s="77">
        <v>25455.013636363637</v>
      </c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96">
        <v>25455.013636363637</v>
      </c>
    </row>
    <row r="219" spans="2:120" s="22" customFormat="1" hidden="1" outlineLevel="1" x14ac:dyDescent="0.35">
      <c r="B219" s="25" t="s">
        <v>173</v>
      </c>
      <c r="C219" s="75" t="s">
        <v>179</v>
      </c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80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>
        <v>66000</v>
      </c>
      <c r="AC219" s="80">
        <v>66000</v>
      </c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80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83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>
        <v>644.8781348843977</v>
      </c>
      <c r="BP219" s="83">
        <v>644.8781348843977</v>
      </c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83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96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>
        <v>25455.013579545455</v>
      </c>
      <c r="DC219" s="96">
        <v>25455.013579545455</v>
      </c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96"/>
    </row>
    <row r="220" spans="2:120" s="22" customFormat="1" hidden="1" collapsed="1" x14ac:dyDescent="0.35">
      <c r="B220" s="106" t="s">
        <v>180</v>
      </c>
      <c r="C220" s="76"/>
      <c r="D220" s="78">
        <v>22000</v>
      </c>
      <c r="E220" s="78">
        <v>-50000</v>
      </c>
      <c r="F220" s="78">
        <v>75</v>
      </c>
      <c r="G220" s="78"/>
      <c r="H220" s="78"/>
      <c r="I220" s="78"/>
      <c r="J220" s="78"/>
      <c r="K220" s="78"/>
      <c r="L220" s="78"/>
      <c r="M220" s="78"/>
      <c r="N220" s="78"/>
      <c r="O220" s="78"/>
      <c r="P220" s="81">
        <v>-27925</v>
      </c>
      <c r="Q220" s="78"/>
      <c r="R220" s="78"/>
      <c r="S220" s="78"/>
      <c r="T220" s="78"/>
      <c r="U220" s="78"/>
      <c r="V220" s="78"/>
      <c r="W220" s="78"/>
      <c r="X220" s="78"/>
      <c r="Y220" s="78"/>
      <c r="Z220" s="78">
        <v>25</v>
      </c>
      <c r="AA220" s="78"/>
      <c r="AB220" s="78">
        <v>88000</v>
      </c>
      <c r="AC220" s="81">
        <v>88025</v>
      </c>
      <c r="AD220" s="78">
        <v>-17600</v>
      </c>
      <c r="AE220" s="78"/>
      <c r="AF220" s="78">
        <v>21000</v>
      </c>
      <c r="AG220" s="78"/>
      <c r="AH220" s="78"/>
      <c r="AI220" s="78"/>
      <c r="AJ220" s="78"/>
      <c r="AK220" s="78"/>
      <c r="AL220" s="78"/>
      <c r="AM220" s="78"/>
      <c r="AN220" s="78"/>
      <c r="AO220" s="78"/>
      <c r="AP220" s="81">
        <v>3400</v>
      </c>
      <c r="AQ220" s="78">
        <v>975.486868895567</v>
      </c>
      <c r="AR220" s="78">
        <v>957.14734124310758</v>
      </c>
      <c r="AS220" s="78">
        <v>901.77253626135291</v>
      </c>
      <c r="AT220" s="78"/>
      <c r="AU220" s="78"/>
      <c r="AV220" s="78"/>
      <c r="AW220" s="78"/>
      <c r="AX220" s="78"/>
      <c r="AY220" s="78"/>
      <c r="AZ220" s="78"/>
      <c r="BA220" s="78"/>
      <c r="BB220" s="78"/>
      <c r="BC220" s="84">
        <v>942.84773522769228</v>
      </c>
      <c r="BD220" s="78"/>
      <c r="BE220" s="78"/>
      <c r="BF220" s="78"/>
      <c r="BG220" s="78"/>
      <c r="BH220" s="78"/>
      <c r="BI220" s="78"/>
      <c r="BJ220" s="78"/>
      <c r="BK220" s="78"/>
      <c r="BL220" s="78"/>
      <c r="BM220" s="78">
        <v>1038.9721052684902</v>
      </c>
      <c r="BN220" s="78"/>
      <c r="BO220" s="78">
        <v>720.53450280603545</v>
      </c>
      <c r="BP220" s="84">
        <v>720.62494234095811</v>
      </c>
      <c r="BQ220" s="78">
        <v>944.04417803940305</v>
      </c>
      <c r="BR220" s="78"/>
      <c r="BS220" s="78">
        <v>647.07480052099504</v>
      </c>
      <c r="BT220" s="78"/>
      <c r="BU220" s="78"/>
      <c r="BV220" s="78"/>
      <c r="BW220" s="78"/>
      <c r="BX220" s="78"/>
      <c r="BY220" s="78"/>
      <c r="BZ220" s="78"/>
      <c r="CA220" s="78"/>
      <c r="CB220" s="78"/>
      <c r="CC220" s="84">
        <v>-890.17844780958717</v>
      </c>
      <c r="CD220" s="78">
        <v>16212.184909090909</v>
      </c>
      <c r="CE220" s="78">
        <v>16212.184880000001</v>
      </c>
      <c r="CF220" s="78">
        <v>16212.186666666666</v>
      </c>
      <c r="CG220" s="78"/>
      <c r="CH220" s="78"/>
      <c r="CI220" s="78"/>
      <c r="CJ220" s="78"/>
      <c r="CK220" s="78"/>
      <c r="CL220" s="78"/>
      <c r="CM220" s="78"/>
      <c r="CN220" s="78"/>
      <c r="CO220" s="78"/>
      <c r="CP220" s="97">
        <v>16212.1848522829</v>
      </c>
      <c r="CQ220" s="78"/>
      <c r="CR220" s="78"/>
      <c r="CS220" s="78"/>
      <c r="CT220" s="78"/>
      <c r="CU220" s="78"/>
      <c r="CV220" s="78"/>
      <c r="CW220" s="78"/>
      <c r="CX220" s="78"/>
      <c r="CY220" s="78"/>
      <c r="CZ220" s="78">
        <v>24398.84</v>
      </c>
      <c r="DA220" s="78"/>
      <c r="DB220" s="78">
        <v>25455.013579545455</v>
      </c>
      <c r="DC220" s="97">
        <v>25454.713615450157</v>
      </c>
      <c r="DD220" s="78">
        <v>25455.013636363637</v>
      </c>
      <c r="DE220" s="78"/>
      <c r="DF220" s="78">
        <v>26034.094761904762</v>
      </c>
      <c r="DG220" s="78"/>
      <c r="DH220" s="78"/>
      <c r="DI220" s="78"/>
      <c r="DJ220" s="78"/>
      <c r="DK220" s="78"/>
      <c r="DL220" s="78"/>
      <c r="DM220" s="78"/>
      <c r="DN220" s="78"/>
      <c r="DO220" s="78"/>
      <c r="DP220" s="97">
        <v>29031.691176470587</v>
      </c>
    </row>
    <row r="221" spans="2:120" s="22" customFormat="1" hidden="1" outlineLevel="1" x14ac:dyDescent="0.35">
      <c r="B221" s="25" t="s">
        <v>181</v>
      </c>
      <c r="C221" s="75" t="s">
        <v>182</v>
      </c>
      <c r="D221" s="77"/>
      <c r="E221" s="77">
        <v>25</v>
      </c>
      <c r="F221" s="77"/>
      <c r="G221" s="77"/>
      <c r="H221" s="77">
        <v>50</v>
      </c>
      <c r="I221" s="77"/>
      <c r="J221" s="77"/>
      <c r="K221" s="77"/>
      <c r="L221" s="77"/>
      <c r="M221" s="77"/>
      <c r="N221" s="77"/>
      <c r="O221" s="77"/>
      <c r="P221" s="80">
        <v>75</v>
      </c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80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80"/>
      <c r="AQ221" s="77"/>
      <c r="AR221" s="77">
        <v>1112.9678216660711</v>
      </c>
      <c r="AS221" s="77"/>
      <c r="AT221" s="77"/>
      <c r="AU221" s="77">
        <v>1109.975790510272</v>
      </c>
      <c r="AV221" s="77"/>
      <c r="AW221" s="77"/>
      <c r="AX221" s="77"/>
      <c r="AY221" s="77"/>
      <c r="AZ221" s="77"/>
      <c r="BA221" s="77"/>
      <c r="BB221" s="77"/>
      <c r="BC221" s="83">
        <v>1110.9731342288717</v>
      </c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83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83"/>
      <c r="CD221" s="77"/>
      <c r="CE221" s="77">
        <v>6160.8</v>
      </c>
      <c r="CF221" s="77"/>
      <c r="CG221" s="77"/>
      <c r="CH221" s="77">
        <v>6215.72</v>
      </c>
      <c r="CI221" s="77"/>
      <c r="CJ221" s="77"/>
      <c r="CK221" s="77"/>
      <c r="CL221" s="77"/>
      <c r="CM221" s="77"/>
      <c r="CN221" s="77"/>
      <c r="CO221" s="77"/>
      <c r="CP221" s="96">
        <v>6197.413333333333</v>
      </c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96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96"/>
    </row>
    <row r="222" spans="2:120" s="22" customFormat="1" hidden="1" outlineLevel="1" x14ac:dyDescent="0.35">
      <c r="B222" s="25" t="s">
        <v>181</v>
      </c>
      <c r="C222" s="75" t="s">
        <v>183</v>
      </c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80"/>
      <c r="Q222" s="77"/>
      <c r="R222" s="77"/>
      <c r="S222" s="77"/>
      <c r="T222" s="77">
        <v>1000</v>
      </c>
      <c r="U222" s="77"/>
      <c r="V222" s="77"/>
      <c r="W222" s="77"/>
      <c r="X222" s="77"/>
      <c r="Y222" s="77"/>
      <c r="Z222" s="77"/>
      <c r="AA222" s="77"/>
      <c r="AB222" s="77"/>
      <c r="AC222" s="80">
        <v>1000</v>
      </c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80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83"/>
      <c r="BD222" s="77"/>
      <c r="BE222" s="77"/>
      <c r="BF222" s="77"/>
      <c r="BG222" s="77">
        <v>1038.3043662919542</v>
      </c>
      <c r="BH222" s="77"/>
      <c r="BI222" s="77"/>
      <c r="BJ222" s="77"/>
      <c r="BK222" s="77"/>
      <c r="BL222" s="77"/>
      <c r="BM222" s="77"/>
      <c r="BN222" s="77"/>
      <c r="BO222" s="77"/>
      <c r="BP222" s="83">
        <v>1038.3043662919542</v>
      </c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83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  <c r="CP222" s="96"/>
      <c r="CQ222" s="77"/>
      <c r="CR222" s="77"/>
      <c r="CS222" s="77"/>
      <c r="CT222" s="77">
        <v>24402.915000000001</v>
      </c>
      <c r="CU222" s="77"/>
      <c r="CV222" s="77"/>
      <c r="CW222" s="77"/>
      <c r="CX222" s="77"/>
      <c r="CY222" s="77"/>
      <c r="CZ222" s="77"/>
      <c r="DA222" s="77"/>
      <c r="DB222" s="77"/>
      <c r="DC222" s="96">
        <v>24402.915000000001</v>
      </c>
      <c r="DD222" s="77"/>
      <c r="DE222" s="77"/>
      <c r="DF222" s="77"/>
      <c r="DG222" s="77"/>
      <c r="DH222" s="77"/>
      <c r="DI222" s="77"/>
      <c r="DJ222" s="77"/>
      <c r="DK222" s="77"/>
      <c r="DL222" s="77"/>
      <c r="DM222" s="77"/>
      <c r="DN222" s="77"/>
      <c r="DO222" s="77"/>
      <c r="DP222" s="96"/>
    </row>
    <row r="223" spans="2:120" s="22" customFormat="1" hidden="1" outlineLevel="1" x14ac:dyDescent="0.35">
      <c r="B223" s="25" t="s">
        <v>181</v>
      </c>
      <c r="C223" s="75" t="s">
        <v>184</v>
      </c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80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80"/>
      <c r="AD223" s="77"/>
      <c r="AE223" s="77">
        <v>9450</v>
      </c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80">
        <v>9450</v>
      </c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83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83"/>
      <c r="BQ223" s="77"/>
      <c r="BR223" s="77">
        <v>961.5967215395292</v>
      </c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83">
        <v>961.5967215395292</v>
      </c>
      <c r="CD223" s="77"/>
      <c r="CE223" s="77"/>
      <c r="CF223" s="77"/>
      <c r="CG223" s="77"/>
      <c r="CH223" s="77"/>
      <c r="CI223" s="77"/>
      <c r="CJ223" s="77"/>
      <c r="CK223" s="77"/>
      <c r="CL223" s="77"/>
      <c r="CM223" s="77"/>
      <c r="CN223" s="77"/>
      <c r="CO223" s="77"/>
      <c r="CP223" s="96"/>
      <c r="CQ223" s="77"/>
      <c r="CR223" s="77"/>
      <c r="CS223" s="77"/>
      <c r="CT223" s="77"/>
      <c r="CU223" s="77"/>
      <c r="CV223" s="77"/>
      <c r="CW223" s="77"/>
      <c r="CX223" s="77"/>
      <c r="CY223" s="77"/>
      <c r="CZ223" s="77"/>
      <c r="DA223" s="77"/>
      <c r="DB223" s="77"/>
      <c r="DC223" s="96"/>
      <c r="DD223" s="77"/>
      <c r="DE223" s="77">
        <v>32984.313650793651</v>
      </c>
      <c r="DF223" s="77"/>
      <c r="DG223" s="77"/>
      <c r="DH223" s="77"/>
      <c r="DI223" s="77"/>
      <c r="DJ223" s="77"/>
      <c r="DK223" s="77"/>
      <c r="DL223" s="77"/>
      <c r="DM223" s="77"/>
      <c r="DN223" s="77"/>
      <c r="DO223" s="77"/>
      <c r="DP223" s="96">
        <v>32984.313650793651</v>
      </c>
    </row>
    <row r="224" spans="2:120" s="22" customFormat="1" hidden="1" collapsed="1" x14ac:dyDescent="0.35">
      <c r="B224" s="106" t="s">
        <v>185</v>
      </c>
      <c r="C224" s="76"/>
      <c r="D224" s="78"/>
      <c r="E224" s="78">
        <v>25</v>
      </c>
      <c r="F224" s="78"/>
      <c r="G224" s="78"/>
      <c r="H224" s="78">
        <v>50</v>
      </c>
      <c r="I224" s="78"/>
      <c r="J224" s="78"/>
      <c r="K224" s="78"/>
      <c r="L224" s="78"/>
      <c r="M224" s="78"/>
      <c r="N224" s="78"/>
      <c r="O224" s="78"/>
      <c r="P224" s="81">
        <v>75</v>
      </c>
      <c r="Q224" s="78"/>
      <c r="R224" s="78"/>
      <c r="S224" s="78"/>
      <c r="T224" s="78">
        <v>1000</v>
      </c>
      <c r="U224" s="78"/>
      <c r="V224" s="78"/>
      <c r="W224" s="78"/>
      <c r="X224" s="78"/>
      <c r="Y224" s="78"/>
      <c r="Z224" s="78"/>
      <c r="AA224" s="78"/>
      <c r="AB224" s="78"/>
      <c r="AC224" s="81">
        <v>1000</v>
      </c>
      <c r="AD224" s="78"/>
      <c r="AE224" s="78">
        <v>9450</v>
      </c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81">
        <v>9450</v>
      </c>
      <c r="AQ224" s="78"/>
      <c r="AR224" s="78">
        <v>1112.9678216660711</v>
      </c>
      <c r="AS224" s="78"/>
      <c r="AT224" s="78"/>
      <c r="AU224" s="78">
        <v>1109.975790510272</v>
      </c>
      <c r="AV224" s="78"/>
      <c r="AW224" s="78"/>
      <c r="AX224" s="78"/>
      <c r="AY224" s="78"/>
      <c r="AZ224" s="78"/>
      <c r="BA224" s="78"/>
      <c r="BB224" s="78"/>
      <c r="BC224" s="84">
        <v>1110.9731342288717</v>
      </c>
      <c r="BD224" s="78"/>
      <c r="BE224" s="78"/>
      <c r="BF224" s="78"/>
      <c r="BG224" s="78">
        <v>1038.3043662919542</v>
      </c>
      <c r="BH224" s="78"/>
      <c r="BI224" s="78"/>
      <c r="BJ224" s="78"/>
      <c r="BK224" s="78"/>
      <c r="BL224" s="78"/>
      <c r="BM224" s="78"/>
      <c r="BN224" s="78"/>
      <c r="BO224" s="78"/>
      <c r="BP224" s="84">
        <v>1038.3043662919542</v>
      </c>
      <c r="BQ224" s="78"/>
      <c r="BR224" s="78">
        <v>961.5967215395292</v>
      </c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84">
        <v>961.5967215395292</v>
      </c>
      <c r="CD224" s="78"/>
      <c r="CE224" s="78">
        <v>6160.8</v>
      </c>
      <c r="CF224" s="78"/>
      <c r="CG224" s="78"/>
      <c r="CH224" s="78">
        <v>6215.72</v>
      </c>
      <c r="CI224" s="78"/>
      <c r="CJ224" s="78"/>
      <c r="CK224" s="78"/>
      <c r="CL224" s="78"/>
      <c r="CM224" s="78"/>
      <c r="CN224" s="78"/>
      <c r="CO224" s="78"/>
      <c r="CP224" s="97">
        <v>6197.413333333333</v>
      </c>
      <c r="CQ224" s="78"/>
      <c r="CR224" s="78"/>
      <c r="CS224" s="78"/>
      <c r="CT224" s="78">
        <v>24402.915000000001</v>
      </c>
      <c r="CU224" s="78"/>
      <c r="CV224" s="78"/>
      <c r="CW224" s="78"/>
      <c r="CX224" s="78"/>
      <c r="CY224" s="78"/>
      <c r="CZ224" s="78"/>
      <c r="DA224" s="78"/>
      <c r="DB224" s="78"/>
      <c r="DC224" s="97">
        <v>24402.915000000001</v>
      </c>
      <c r="DD224" s="78"/>
      <c r="DE224" s="78">
        <v>32984.313650793651</v>
      </c>
      <c r="DF224" s="78"/>
      <c r="DG224" s="78"/>
      <c r="DH224" s="78"/>
      <c r="DI224" s="78"/>
      <c r="DJ224" s="78"/>
      <c r="DK224" s="78"/>
      <c r="DL224" s="78"/>
      <c r="DM224" s="78"/>
      <c r="DN224" s="78"/>
      <c r="DO224" s="78"/>
      <c r="DP224" s="97">
        <v>32984.313650793651</v>
      </c>
    </row>
    <row r="225" spans="2:120" s="22" customFormat="1" hidden="1" outlineLevel="1" x14ac:dyDescent="0.35">
      <c r="B225" s="25" t="s">
        <v>186</v>
      </c>
      <c r="C225" s="75" t="s">
        <v>187</v>
      </c>
      <c r="D225" s="77">
        <v>44000</v>
      </c>
      <c r="E225" s="77"/>
      <c r="F225" s="77"/>
      <c r="G225" s="77"/>
      <c r="H225" s="77"/>
      <c r="I225" s="77"/>
      <c r="J225" s="77"/>
      <c r="K225" s="77">
        <v>-44000</v>
      </c>
      <c r="L225" s="77"/>
      <c r="M225" s="77"/>
      <c r="N225" s="77"/>
      <c r="O225" s="77"/>
      <c r="P225" s="80">
        <v>0</v>
      </c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80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80"/>
      <c r="AQ225" s="77">
        <v>1298.1869543780003</v>
      </c>
      <c r="AR225" s="77"/>
      <c r="AS225" s="77"/>
      <c r="AT225" s="77"/>
      <c r="AU225" s="77"/>
      <c r="AV225" s="77"/>
      <c r="AW225" s="77"/>
      <c r="AX225" s="77">
        <v>1941.1256057003463</v>
      </c>
      <c r="AY225" s="77"/>
      <c r="AZ225" s="77"/>
      <c r="BA225" s="77"/>
      <c r="BB225" s="77"/>
      <c r="BC225" s="83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83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83"/>
      <c r="CD225" s="77">
        <v>13128.607995457123</v>
      </c>
      <c r="CE225" s="77"/>
      <c r="CF225" s="77"/>
      <c r="CG225" s="77"/>
      <c r="CH225" s="77"/>
      <c r="CI225" s="77"/>
      <c r="CJ225" s="77"/>
      <c r="CK225" s="77">
        <v>27256.275182004993</v>
      </c>
      <c r="CL225" s="77"/>
      <c r="CM225" s="77"/>
      <c r="CN225" s="77"/>
      <c r="CO225" s="77"/>
      <c r="CP225" s="96"/>
      <c r="CQ225" s="77"/>
      <c r="CR225" s="77"/>
      <c r="CS225" s="77"/>
      <c r="CT225" s="77"/>
      <c r="CU225" s="77"/>
      <c r="CV225" s="77"/>
      <c r="CW225" s="77"/>
      <c r="CX225" s="77"/>
      <c r="CY225" s="77"/>
      <c r="CZ225" s="77"/>
      <c r="DA225" s="77"/>
      <c r="DB225" s="77"/>
      <c r="DC225" s="96"/>
      <c r="DD225" s="77"/>
      <c r="DE225" s="77"/>
      <c r="DF225" s="77"/>
      <c r="DG225" s="77"/>
      <c r="DH225" s="77"/>
      <c r="DI225" s="77"/>
      <c r="DJ225" s="77"/>
      <c r="DK225" s="77"/>
      <c r="DL225" s="77"/>
      <c r="DM225" s="77"/>
      <c r="DN225" s="77"/>
      <c r="DO225" s="77"/>
      <c r="DP225" s="96"/>
    </row>
    <row r="226" spans="2:120" s="22" customFormat="1" hidden="1" outlineLevel="1" x14ac:dyDescent="0.35">
      <c r="B226" s="25" t="s">
        <v>186</v>
      </c>
      <c r="C226" s="75" t="s">
        <v>6</v>
      </c>
      <c r="D226" s="77">
        <v>25</v>
      </c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80">
        <v>25</v>
      </c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80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80"/>
      <c r="AQ226" s="77">
        <v>1410.0472879658291</v>
      </c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83">
        <v>1410.0472879658291</v>
      </c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83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83"/>
      <c r="CD226" s="77">
        <v>13128.607995457125</v>
      </c>
      <c r="CE226" s="77"/>
      <c r="CF226" s="77"/>
      <c r="CG226" s="77"/>
      <c r="CH226" s="77"/>
      <c r="CI226" s="77"/>
      <c r="CJ226" s="77"/>
      <c r="CK226" s="77"/>
      <c r="CL226" s="77"/>
      <c r="CM226" s="77"/>
      <c r="CN226" s="77"/>
      <c r="CO226" s="77"/>
      <c r="CP226" s="96">
        <v>13128.607995457125</v>
      </c>
      <c r="CQ226" s="77"/>
      <c r="CR226" s="77"/>
      <c r="CS226" s="77"/>
      <c r="CT226" s="77"/>
      <c r="CU226" s="77"/>
      <c r="CV226" s="77"/>
      <c r="CW226" s="77"/>
      <c r="CX226" s="77"/>
      <c r="CY226" s="77"/>
      <c r="CZ226" s="77"/>
      <c r="DA226" s="77"/>
      <c r="DB226" s="77"/>
      <c r="DC226" s="96"/>
      <c r="DD226" s="77"/>
      <c r="DE226" s="77"/>
      <c r="DF226" s="77"/>
      <c r="DG226" s="77"/>
      <c r="DH226" s="77"/>
      <c r="DI226" s="77"/>
      <c r="DJ226" s="77"/>
      <c r="DK226" s="77"/>
      <c r="DL226" s="77"/>
      <c r="DM226" s="77"/>
      <c r="DN226" s="77"/>
      <c r="DO226" s="77"/>
      <c r="DP226" s="96"/>
    </row>
    <row r="227" spans="2:120" s="22" customFormat="1" hidden="1" outlineLevel="1" x14ac:dyDescent="0.35">
      <c r="B227" s="25" t="s">
        <v>186</v>
      </c>
      <c r="C227" s="75" t="s">
        <v>91</v>
      </c>
      <c r="D227" s="77"/>
      <c r="E227" s="77"/>
      <c r="F227" s="77"/>
      <c r="G227" s="77"/>
      <c r="H227" s="77"/>
      <c r="I227" s="77"/>
      <c r="J227" s="77"/>
      <c r="K227" s="77">
        <v>44000</v>
      </c>
      <c r="L227" s="77"/>
      <c r="M227" s="77"/>
      <c r="N227" s="77"/>
      <c r="O227" s="77"/>
      <c r="P227" s="80">
        <v>44000</v>
      </c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80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80"/>
      <c r="AQ227" s="77"/>
      <c r="AR227" s="77"/>
      <c r="AS227" s="77"/>
      <c r="AT227" s="77"/>
      <c r="AU227" s="77"/>
      <c r="AV227" s="77"/>
      <c r="AW227" s="77"/>
      <c r="AX227" s="77">
        <v>1628.9153241847555</v>
      </c>
      <c r="AY227" s="77"/>
      <c r="AZ227" s="77"/>
      <c r="BA227" s="77"/>
      <c r="BB227" s="77"/>
      <c r="BC227" s="83">
        <v>1628.9153241847555</v>
      </c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83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83"/>
      <c r="CD227" s="77"/>
      <c r="CE227" s="77"/>
      <c r="CF227" s="77"/>
      <c r="CG227" s="77"/>
      <c r="CH227" s="77"/>
      <c r="CI227" s="77"/>
      <c r="CJ227" s="77"/>
      <c r="CK227" s="77">
        <v>27256.275182004989</v>
      </c>
      <c r="CL227" s="77"/>
      <c r="CM227" s="77"/>
      <c r="CN227" s="77"/>
      <c r="CO227" s="77"/>
      <c r="CP227" s="96">
        <v>27256.275182004989</v>
      </c>
      <c r="CQ227" s="77"/>
      <c r="CR227" s="77"/>
      <c r="CS227" s="77"/>
      <c r="CT227" s="77"/>
      <c r="CU227" s="77"/>
      <c r="CV227" s="77"/>
      <c r="CW227" s="77"/>
      <c r="CX227" s="77"/>
      <c r="CY227" s="77"/>
      <c r="CZ227" s="77"/>
      <c r="DA227" s="77"/>
      <c r="DB227" s="77"/>
      <c r="DC227" s="96"/>
      <c r="DD227" s="77"/>
      <c r="DE227" s="77"/>
      <c r="DF227" s="77"/>
      <c r="DG227" s="77"/>
      <c r="DH227" s="77"/>
      <c r="DI227" s="77"/>
      <c r="DJ227" s="77"/>
      <c r="DK227" s="77"/>
      <c r="DL227" s="77"/>
      <c r="DM227" s="77"/>
      <c r="DN227" s="77"/>
      <c r="DO227" s="77"/>
      <c r="DP227" s="96"/>
    </row>
    <row r="228" spans="2:120" hidden="1" collapsed="1" x14ac:dyDescent="0.35">
      <c r="B228" s="106" t="s">
        <v>188</v>
      </c>
      <c r="C228" s="76"/>
      <c r="D228" s="78">
        <v>44025</v>
      </c>
      <c r="E228" s="78"/>
      <c r="F228" s="78"/>
      <c r="G228" s="78"/>
      <c r="H228" s="78"/>
      <c r="I228" s="78"/>
      <c r="J228" s="78"/>
      <c r="K228" s="78">
        <v>0</v>
      </c>
      <c r="L228" s="78"/>
      <c r="M228" s="78"/>
      <c r="N228" s="78"/>
      <c r="O228" s="78"/>
      <c r="P228" s="81">
        <v>44025</v>
      </c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81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81"/>
      <c r="AQ228" s="78">
        <v>1298.2504752942909</v>
      </c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84">
        <v>986.2174852503158</v>
      </c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84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84"/>
      <c r="CD228" s="78">
        <v>13128.607995457123</v>
      </c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97">
        <v>13128.607995457112</v>
      </c>
      <c r="CQ228" s="78"/>
      <c r="CR228" s="78"/>
      <c r="CS228" s="78"/>
      <c r="CT228" s="78"/>
      <c r="CU228" s="78"/>
      <c r="CV228" s="78"/>
      <c r="CW228" s="78"/>
      <c r="CX228" s="78"/>
      <c r="CY228" s="78"/>
      <c r="CZ228" s="78"/>
      <c r="DA228" s="78"/>
      <c r="DB228" s="78"/>
      <c r="DC228" s="97"/>
      <c r="DD228" s="78"/>
      <c r="DE228" s="78"/>
      <c r="DF228" s="78"/>
      <c r="DG228" s="78"/>
      <c r="DH228" s="78"/>
      <c r="DI228" s="78"/>
      <c r="DJ228" s="78"/>
      <c r="DK228" s="78"/>
      <c r="DL228" s="78"/>
      <c r="DM228" s="78"/>
      <c r="DN228" s="78"/>
      <c r="DO228" s="78"/>
      <c r="DP228" s="97"/>
    </row>
    <row r="229" spans="2:120" s="22" customFormat="1" hidden="1" outlineLevel="1" x14ac:dyDescent="0.35">
      <c r="B229" s="25" t="s">
        <v>189</v>
      </c>
      <c r="C229" s="75" t="s">
        <v>25</v>
      </c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80"/>
      <c r="Q229" s="77"/>
      <c r="R229" s="77"/>
      <c r="S229" s="77"/>
      <c r="T229" s="77"/>
      <c r="U229" s="77"/>
      <c r="V229" s="77"/>
      <c r="W229" s="77"/>
      <c r="X229" s="77"/>
      <c r="Y229" s="77"/>
      <c r="Z229" s="77">
        <v>25</v>
      </c>
      <c r="AA229" s="77"/>
      <c r="AB229" s="77"/>
      <c r="AC229" s="80">
        <v>25</v>
      </c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80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83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>
        <v>1038.9721052684902</v>
      </c>
      <c r="BN229" s="77"/>
      <c r="BO229" s="77"/>
      <c r="BP229" s="83">
        <v>1038.9721052684902</v>
      </c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83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96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>
        <v>32080.6</v>
      </c>
      <c r="DA229" s="77"/>
      <c r="DB229" s="77"/>
      <c r="DC229" s="96">
        <v>32080.6</v>
      </c>
      <c r="DD229" s="77"/>
      <c r="DE229" s="77"/>
      <c r="DF229" s="77"/>
      <c r="DG229" s="77"/>
      <c r="DH229" s="77"/>
      <c r="DI229" s="77"/>
      <c r="DJ229" s="77"/>
      <c r="DK229" s="77"/>
      <c r="DL229" s="77"/>
      <c r="DM229" s="77"/>
      <c r="DN229" s="77"/>
      <c r="DO229" s="77"/>
      <c r="DP229" s="96"/>
    </row>
    <row r="230" spans="2:120" s="22" customFormat="1" hidden="1" collapsed="1" x14ac:dyDescent="0.35">
      <c r="B230" s="106" t="s">
        <v>190</v>
      </c>
      <c r="C230" s="76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81"/>
      <c r="Q230" s="78"/>
      <c r="R230" s="78"/>
      <c r="S230" s="78"/>
      <c r="T230" s="78"/>
      <c r="U230" s="78"/>
      <c r="V230" s="78"/>
      <c r="W230" s="78"/>
      <c r="X230" s="78"/>
      <c r="Y230" s="78"/>
      <c r="Z230" s="78">
        <v>25</v>
      </c>
      <c r="AA230" s="78"/>
      <c r="AB230" s="78"/>
      <c r="AC230" s="81">
        <v>25</v>
      </c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81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84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>
        <v>1038.9721052684902</v>
      </c>
      <c r="BN230" s="78"/>
      <c r="BO230" s="78"/>
      <c r="BP230" s="84">
        <v>1038.9721052684902</v>
      </c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84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97"/>
      <c r="CQ230" s="78"/>
      <c r="CR230" s="78"/>
      <c r="CS230" s="78"/>
      <c r="CT230" s="78"/>
      <c r="CU230" s="78"/>
      <c r="CV230" s="78"/>
      <c r="CW230" s="78"/>
      <c r="CX230" s="78"/>
      <c r="CY230" s="78"/>
      <c r="CZ230" s="78">
        <v>32080.6</v>
      </c>
      <c r="DA230" s="78"/>
      <c r="DB230" s="78"/>
      <c r="DC230" s="97">
        <v>32080.6</v>
      </c>
      <c r="DD230" s="78"/>
      <c r="DE230" s="78"/>
      <c r="DF230" s="78"/>
      <c r="DG230" s="78"/>
      <c r="DH230" s="78"/>
      <c r="DI230" s="78"/>
      <c r="DJ230" s="78"/>
      <c r="DK230" s="78"/>
      <c r="DL230" s="78"/>
      <c r="DM230" s="78"/>
      <c r="DN230" s="78"/>
      <c r="DO230" s="78"/>
      <c r="DP230" s="97"/>
    </row>
    <row r="231" spans="2:120" s="22" customFormat="1" hidden="1" outlineLevel="1" x14ac:dyDescent="0.35">
      <c r="B231" s="25" t="s">
        <v>191</v>
      </c>
      <c r="C231" s="75" t="s">
        <v>5</v>
      </c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80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80"/>
      <c r="AD231" s="77"/>
      <c r="AE231" s="77">
        <v>200</v>
      </c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80">
        <v>200</v>
      </c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83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83"/>
      <c r="BQ231" s="77"/>
      <c r="BR231" s="77">
        <v>764.07244377055008</v>
      </c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83">
        <v>764.07244377055008</v>
      </c>
      <c r="CD231" s="77"/>
      <c r="CE231" s="77"/>
      <c r="CF231" s="77"/>
      <c r="CG231" s="77"/>
      <c r="CH231" s="77"/>
      <c r="CI231" s="77"/>
      <c r="CJ231" s="77"/>
      <c r="CK231" s="77"/>
      <c r="CL231" s="77"/>
      <c r="CM231" s="77"/>
      <c r="CN231" s="77"/>
      <c r="CO231" s="77"/>
      <c r="CP231" s="96"/>
      <c r="CQ231" s="77"/>
      <c r="CR231" s="77"/>
      <c r="CS231" s="77"/>
      <c r="CT231" s="77"/>
      <c r="CU231" s="77"/>
      <c r="CV231" s="77"/>
      <c r="CW231" s="77"/>
      <c r="CX231" s="77"/>
      <c r="CY231" s="77"/>
      <c r="CZ231" s="77"/>
      <c r="DA231" s="77"/>
      <c r="DB231" s="77"/>
      <c r="DC231" s="96"/>
      <c r="DD231" s="77"/>
      <c r="DE231" s="77">
        <v>27617.235000000001</v>
      </c>
      <c r="DF231" s="77"/>
      <c r="DG231" s="77"/>
      <c r="DH231" s="77"/>
      <c r="DI231" s="77"/>
      <c r="DJ231" s="77"/>
      <c r="DK231" s="77"/>
      <c r="DL231" s="77"/>
      <c r="DM231" s="77"/>
      <c r="DN231" s="77"/>
      <c r="DO231" s="77"/>
      <c r="DP231" s="96">
        <v>27617.235000000001</v>
      </c>
    </row>
    <row r="232" spans="2:120" s="22" customFormat="1" hidden="1" outlineLevel="1" x14ac:dyDescent="0.35">
      <c r="B232" s="25" t="s">
        <v>191</v>
      </c>
      <c r="C232" s="75" t="s">
        <v>147</v>
      </c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80"/>
      <c r="Q232" s="77"/>
      <c r="R232" s="77"/>
      <c r="S232" s="77">
        <v>23625</v>
      </c>
      <c r="T232" s="77">
        <v>6375</v>
      </c>
      <c r="U232" s="77"/>
      <c r="V232" s="77"/>
      <c r="W232" s="77">
        <v>11000</v>
      </c>
      <c r="X232" s="77">
        <v>16500</v>
      </c>
      <c r="Y232" s="77">
        <v>16500</v>
      </c>
      <c r="Z232" s="77">
        <v>17875</v>
      </c>
      <c r="AA232" s="77"/>
      <c r="AB232" s="77">
        <v>11000</v>
      </c>
      <c r="AC232" s="80">
        <v>102875</v>
      </c>
      <c r="AD232" s="77"/>
      <c r="AE232" s="77"/>
      <c r="AF232" s="77">
        <v>2000</v>
      </c>
      <c r="AG232" s="77"/>
      <c r="AH232" s="77"/>
      <c r="AI232" s="77"/>
      <c r="AJ232" s="77"/>
      <c r="AK232" s="77"/>
      <c r="AL232" s="77"/>
      <c r="AM232" s="77"/>
      <c r="AN232" s="77"/>
      <c r="AO232" s="77"/>
      <c r="AP232" s="80">
        <v>2000</v>
      </c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83"/>
      <c r="BD232" s="77"/>
      <c r="BE232" s="77"/>
      <c r="BF232" s="77">
        <v>766.30408971670681</v>
      </c>
      <c r="BG232" s="77">
        <v>757.44447074228992</v>
      </c>
      <c r="BH232" s="77"/>
      <c r="BI232" s="77"/>
      <c r="BJ232" s="77">
        <v>730.39246712655256</v>
      </c>
      <c r="BK232" s="77">
        <v>744.05807765083694</v>
      </c>
      <c r="BL232" s="77">
        <v>741.85732471090625</v>
      </c>
      <c r="BM232" s="77">
        <v>742.97179941052855</v>
      </c>
      <c r="BN232" s="77"/>
      <c r="BO232" s="77">
        <v>704.62817927787012</v>
      </c>
      <c r="BP232" s="83">
        <v>743.77734905875957</v>
      </c>
      <c r="BQ232" s="77"/>
      <c r="BR232" s="77"/>
      <c r="BS232" s="77">
        <v>699.30301655762241</v>
      </c>
      <c r="BT232" s="77"/>
      <c r="BU232" s="77"/>
      <c r="BV232" s="77"/>
      <c r="BW232" s="77"/>
      <c r="BX232" s="77"/>
      <c r="BY232" s="77"/>
      <c r="BZ232" s="77"/>
      <c r="CA232" s="77"/>
      <c r="CB232" s="77"/>
      <c r="CC232" s="83">
        <v>699.30301655762241</v>
      </c>
      <c r="CD232" s="77"/>
      <c r="CE232" s="77"/>
      <c r="CF232" s="77"/>
      <c r="CG232" s="77"/>
      <c r="CH232" s="77"/>
      <c r="CI232" s="77"/>
      <c r="CJ232" s="77"/>
      <c r="CK232" s="77"/>
      <c r="CL232" s="77"/>
      <c r="CM232" s="77"/>
      <c r="CN232" s="77"/>
      <c r="CO232" s="77"/>
      <c r="CP232" s="96"/>
      <c r="CQ232" s="77"/>
      <c r="CR232" s="77"/>
      <c r="CS232" s="77">
        <v>24283.233947089946</v>
      </c>
      <c r="CT232" s="77">
        <v>25700.898509803923</v>
      </c>
      <c r="CU232" s="77"/>
      <c r="CV232" s="77"/>
      <c r="CW232" s="77">
        <v>25977.527454545456</v>
      </c>
      <c r="CX232" s="77">
        <v>28248.005636363636</v>
      </c>
      <c r="CY232" s="77">
        <v>28262.376606060603</v>
      </c>
      <c r="CZ232" s="77">
        <v>28262.37605594406</v>
      </c>
      <c r="DA232" s="77"/>
      <c r="DB232" s="77">
        <v>27882.605090909092</v>
      </c>
      <c r="DC232" s="96">
        <v>26902.623251518839</v>
      </c>
      <c r="DD232" s="77"/>
      <c r="DE232" s="77"/>
      <c r="DF232" s="77">
        <v>27705.9215</v>
      </c>
      <c r="DG232" s="77"/>
      <c r="DH232" s="77"/>
      <c r="DI232" s="77"/>
      <c r="DJ232" s="77"/>
      <c r="DK232" s="77"/>
      <c r="DL232" s="77"/>
      <c r="DM232" s="77"/>
      <c r="DN232" s="77"/>
      <c r="DO232" s="77"/>
      <c r="DP232" s="96">
        <v>27705.9215</v>
      </c>
    </row>
    <row r="233" spans="2:120" s="22" customFormat="1" hidden="1" outlineLevel="1" x14ac:dyDescent="0.35">
      <c r="B233" s="25" t="s">
        <v>191</v>
      </c>
      <c r="C233" s="75" t="s">
        <v>192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80"/>
      <c r="Q233" s="77"/>
      <c r="R233" s="77">
        <v>5</v>
      </c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80">
        <v>5</v>
      </c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80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83"/>
      <c r="BD233" s="77"/>
      <c r="BE233" s="77">
        <v>830.95528287688489</v>
      </c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83">
        <v>830.95528287688489</v>
      </c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83"/>
      <c r="CD233" s="77"/>
      <c r="CE233" s="77"/>
      <c r="CF233" s="77"/>
      <c r="CG233" s="77"/>
      <c r="CH233" s="77"/>
      <c r="CI233" s="77"/>
      <c r="CJ233" s="77"/>
      <c r="CK233" s="77"/>
      <c r="CL233" s="77"/>
      <c r="CM233" s="77"/>
      <c r="CN233" s="77"/>
      <c r="CO233" s="77"/>
      <c r="CP233" s="96"/>
      <c r="CQ233" s="77"/>
      <c r="CR233" s="77">
        <v>21958.2</v>
      </c>
      <c r="CS233" s="77"/>
      <c r="CT233" s="77"/>
      <c r="CU233" s="77"/>
      <c r="CV233" s="77"/>
      <c r="CW233" s="77"/>
      <c r="CX233" s="77"/>
      <c r="CY233" s="77"/>
      <c r="CZ233" s="77"/>
      <c r="DA233" s="77"/>
      <c r="DB233" s="77"/>
      <c r="DC233" s="96">
        <v>21958.2</v>
      </c>
      <c r="DD233" s="77"/>
      <c r="DE233" s="77"/>
      <c r="DF233" s="77"/>
      <c r="DG233" s="77"/>
      <c r="DH233" s="77"/>
      <c r="DI233" s="77"/>
      <c r="DJ233" s="77"/>
      <c r="DK233" s="77"/>
      <c r="DL233" s="77"/>
      <c r="DM233" s="77"/>
      <c r="DN233" s="77"/>
      <c r="DO233" s="77"/>
      <c r="DP233" s="96"/>
    </row>
    <row r="234" spans="2:120" s="22" customFormat="1" hidden="1" collapsed="1" x14ac:dyDescent="0.35">
      <c r="B234" s="106" t="s">
        <v>193</v>
      </c>
      <c r="C234" s="76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81"/>
      <c r="Q234" s="78"/>
      <c r="R234" s="78">
        <v>5</v>
      </c>
      <c r="S234" s="78">
        <v>23625</v>
      </c>
      <c r="T234" s="78">
        <v>6375</v>
      </c>
      <c r="U234" s="78"/>
      <c r="V234" s="78"/>
      <c r="W234" s="78">
        <v>11000</v>
      </c>
      <c r="X234" s="78">
        <v>16500</v>
      </c>
      <c r="Y234" s="78">
        <v>16500</v>
      </c>
      <c r="Z234" s="78">
        <v>17875</v>
      </c>
      <c r="AA234" s="78"/>
      <c r="AB234" s="78">
        <v>11000</v>
      </c>
      <c r="AC234" s="81">
        <v>102880</v>
      </c>
      <c r="AD234" s="78"/>
      <c r="AE234" s="78">
        <v>200</v>
      </c>
      <c r="AF234" s="78">
        <v>2000</v>
      </c>
      <c r="AG234" s="78"/>
      <c r="AH234" s="78"/>
      <c r="AI234" s="78"/>
      <c r="AJ234" s="78"/>
      <c r="AK234" s="78"/>
      <c r="AL234" s="78"/>
      <c r="AM234" s="78"/>
      <c r="AN234" s="78"/>
      <c r="AO234" s="78"/>
      <c r="AP234" s="81">
        <v>2200</v>
      </c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84"/>
      <c r="BD234" s="78"/>
      <c r="BE234" s="78">
        <v>830.95528287688489</v>
      </c>
      <c r="BF234" s="78">
        <v>766.30408971670681</v>
      </c>
      <c r="BG234" s="78">
        <v>757.44447074228992</v>
      </c>
      <c r="BH234" s="78"/>
      <c r="BI234" s="78"/>
      <c r="BJ234" s="78">
        <v>730.39246712655256</v>
      </c>
      <c r="BK234" s="78">
        <v>744.05807765083694</v>
      </c>
      <c r="BL234" s="78">
        <v>741.85732471090625</v>
      </c>
      <c r="BM234" s="78">
        <v>742.97179941052855</v>
      </c>
      <c r="BN234" s="78"/>
      <c r="BO234" s="78">
        <v>704.62817927787012</v>
      </c>
      <c r="BP234" s="84">
        <v>743.78158593345916</v>
      </c>
      <c r="BQ234" s="78"/>
      <c r="BR234" s="78">
        <v>764.07244377055008</v>
      </c>
      <c r="BS234" s="78">
        <v>699.30301655762241</v>
      </c>
      <c r="BT234" s="78"/>
      <c r="BU234" s="78"/>
      <c r="BV234" s="78"/>
      <c r="BW234" s="78"/>
      <c r="BX234" s="78"/>
      <c r="BY234" s="78"/>
      <c r="BZ234" s="78"/>
      <c r="CA234" s="78"/>
      <c r="CB234" s="78"/>
      <c r="CC234" s="84">
        <v>705.19114630425213</v>
      </c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97"/>
      <c r="CQ234" s="78"/>
      <c r="CR234" s="78">
        <v>21958.2</v>
      </c>
      <c r="CS234" s="78">
        <v>24283.233947089946</v>
      </c>
      <c r="CT234" s="78">
        <v>25700.898509803923</v>
      </c>
      <c r="CU234" s="78"/>
      <c r="CV234" s="78"/>
      <c r="CW234" s="78">
        <v>25977.527454545456</v>
      </c>
      <c r="CX234" s="78">
        <v>28248.005636363636</v>
      </c>
      <c r="CY234" s="78">
        <v>28262.376606060603</v>
      </c>
      <c r="CZ234" s="78">
        <v>28262.37605594406</v>
      </c>
      <c r="DA234" s="78"/>
      <c r="DB234" s="78">
        <v>27882.605090909092</v>
      </c>
      <c r="DC234" s="97">
        <v>26902.382951010892</v>
      </c>
      <c r="DD234" s="78"/>
      <c r="DE234" s="78">
        <v>27617.235000000001</v>
      </c>
      <c r="DF234" s="78">
        <v>27705.9215</v>
      </c>
      <c r="DG234" s="78"/>
      <c r="DH234" s="78"/>
      <c r="DI234" s="78"/>
      <c r="DJ234" s="78"/>
      <c r="DK234" s="78"/>
      <c r="DL234" s="78"/>
      <c r="DM234" s="78"/>
      <c r="DN234" s="78"/>
      <c r="DO234" s="78"/>
      <c r="DP234" s="97">
        <v>27697.859090909093</v>
      </c>
    </row>
    <row r="235" spans="2:120" s="22" customFormat="1" hidden="1" outlineLevel="1" x14ac:dyDescent="0.35">
      <c r="B235" s="25" t="s">
        <v>194</v>
      </c>
      <c r="C235" s="75" t="s">
        <v>72</v>
      </c>
      <c r="D235" s="77"/>
      <c r="E235" s="77"/>
      <c r="F235" s="77"/>
      <c r="G235" s="77"/>
      <c r="H235" s="77"/>
      <c r="I235" s="77"/>
      <c r="J235" s="77"/>
      <c r="K235" s="77">
        <v>50</v>
      </c>
      <c r="L235" s="77"/>
      <c r="M235" s="77"/>
      <c r="N235" s="77"/>
      <c r="O235" s="77"/>
      <c r="P235" s="80">
        <v>50</v>
      </c>
      <c r="Q235" s="77"/>
      <c r="R235" s="77">
        <v>500</v>
      </c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80">
        <v>500</v>
      </c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80"/>
      <c r="AQ235" s="77"/>
      <c r="AR235" s="77"/>
      <c r="AS235" s="77"/>
      <c r="AT235" s="77"/>
      <c r="AU235" s="77"/>
      <c r="AV235" s="77"/>
      <c r="AW235" s="77"/>
      <c r="AX235" s="77">
        <v>817.66616280580945</v>
      </c>
      <c r="AY235" s="77"/>
      <c r="AZ235" s="77"/>
      <c r="BA235" s="77"/>
      <c r="BB235" s="77"/>
      <c r="BC235" s="83">
        <v>817.66616280580945</v>
      </c>
      <c r="BD235" s="77"/>
      <c r="BE235" s="77">
        <v>1150.0975181489016</v>
      </c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83">
        <v>1150.0975181489016</v>
      </c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83"/>
      <c r="CD235" s="77"/>
      <c r="CE235" s="77"/>
      <c r="CF235" s="77"/>
      <c r="CG235" s="77"/>
      <c r="CH235" s="77"/>
      <c r="CI235" s="77"/>
      <c r="CJ235" s="77"/>
      <c r="CK235" s="77">
        <v>19823.78</v>
      </c>
      <c r="CL235" s="77"/>
      <c r="CM235" s="77"/>
      <c r="CN235" s="77"/>
      <c r="CO235" s="77"/>
      <c r="CP235" s="96">
        <v>19823.78</v>
      </c>
      <c r="CQ235" s="77"/>
      <c r="CR235" s="77">
        <v>21426.971900826447</v>
      </c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96">
        <v>21426.971900826447</v>
      </c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96"/>
    </row>
    <row r="236" spans="2:120" s="22" customFormat="1" hidden="1" outlineLevel="1" x14ac:dyDescent="0.35">
      <c r="B236" s="25" t="s">
        <v>194</v>
      </c>
      <c r="C236" s="75" t="s">
        <v>195</v>
      </c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80"/>
      <c r="Q236" s="77"/>
      <c r="R236" s="77">
        <v>100</v>
      </c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80">
        <v>100</v>
      </c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80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83"/>
      <c r="BD236" s="77"/>
      <c r="BE236" s="77">
        <v>773.57979905919512</v>
      </c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83">
        <v>773.57979905919512</v>
      </c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83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96"/>
      <c r="CQ236" s="77"/>
      <c r="CR236" s="77">
        <v>21426.971900826451</v>
      </c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96">
        <v>21426.971900826451</v>
      </c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96"/>
    </row>
    <row r="237" spans="2:120" s="22" customFormat="1" hidden="1" outlineLevel="1" x14ac:dyDescent="0.35">
      <c r="B237" s="25" t="s">
        <v>194</v>
      </c>
      <c r="C237" s="75" t="s">
        <v>196</v>
      </c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80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80"/>
      <c r="AD237" s="77"/>
      <c r="AE237" s="77"/>
      <c r="AF237" s="77"/>
      <c r="AG237" s="77">
        <v>25</v>
      </c>
      <c r="AH237" s="77"/>
      <c r="AI237" s="77"/>
      <c r="AJ237" s="77"/>
      <c r="AK237" s="77"/>
      <c r="AL237" s="77"/>
      <c r="AM237" s="77"/>
      <c r="AN237" s="77"/>
      <c r="AO237" s="77"/>
      <c r="AP237" s="80">
        <v>25</v>
      </c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83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83"/>
      <c r="BQ237" s="77"/>
      <c r="BR237" s="77"/>
      <c r="BS237" s="77"/>
      <c r="BT237" s="77">
        <v>1194.9866666666667</v>
      </c>
      <c r="BU237" s="77"/>
      <c r="BV237" s="77"/>
      <c r="BW237" s="77"/>
      <c r="BX237" s="77"/>
      <c r="BY237" s="77"/>
      <c r="BZ237" s="77"/>
      <c r="CA237" s="77"/>
      <c r="CB237" s="77"/>
      <c r="CC237" s="83">
        <v>1194.9866666666667</v>
      </c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96"/>
      <c r="CQ237" s="77"/>
      <c r="CR237" s="77"/>
      <c r="CS237" s="77"/>
      <c r="CT237" s="77"/>
      <c r="CU237" s="77"/>
      <c r="CV237" s="77"/>
      <c r="CW237" s="77"/>
      <c r="CX237" s="77"/>
      <c r="CY237" s="77"/>
      <c r="CZ237" s="77"/>
      <c r="DA237" s="77"/>
      <c r="DB237" s="77"/>
      <c r="DC237" s="96"/>
      <c r="DD237" s="77"/>
      <c r="DE237" s="77"/>
      <c r="DF237" s="77"/>
      <c r="DG237" s="77">
        <v>18300.679315797035</v>
      </c>
      <c r="DH237" s="77"/>
      <c r="DI237" s="77"/>
      <c r="DJ237" s="77"/>
      <c r="DK237" s="77"/>
      <c r="DL237" s="77"/>
      <c r="DM237" s="77"/>
      <c r="DN237" s="77"/>
      <c r="DO237" s="77"/>
      <c r="DP237" s="96">
        <v>18300.679315797035</v>
      </c>
    </row>
    <row r="238" spans="2:120" s="22" customFormat="1" hidden="1" outlineLevel="1" x14ac:dyDescent="0.35">
      <c r="B238" s="25" t="s">
        <v>194</v>
      </c>
      <c r="C238" s="75" t="s">
        <v>197</v>
      </c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80"/>
      <c r="Q238" s="77"/>
      <c r="R238" s="77"/>
      <c r="S238" s="77"/>
      <c r="T238" s="77">
        <v>100</v>
      </c>
      <c r="U238" s="77"/>
      <c r="V238" s="77"/>
      <c r="W238" s="77"/>
      <c r="X238" s="77"/>
      <c r="Y238" s="77"/>
      <c r="Z238" s="77"/>
      <c r="AA238" s="77"/>
      <c r="AB238" s="77"/>
      <c r="AC238" s="80">
        <v>100</v>
      </c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80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83"/>
      <c r="BD238" s="77"/>
      <c r="BE238" s="77"/>
      <c r="BF238" s="77"/>
      <c r="BG238" s="77">
        <v>742.56220377795148</v>
      </c>
      <c r="BH238" s="77"/>
      <c r="BI238" s="77"/>
      <c r="BJ238" s="77"/>
      <c r="BK238" s="77"/>
      <c r="BL238" s="77"/>
      <c r="BM238" s="77"/>
      <c r="BN238" s="77"/>
      <c r="BO238" s="77"/>
      <c r="BP238" s="83">
        <v>742.56220377795148</v>
      </c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83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96"/>
      <c r="CQ238" s="77"/>
      <c r="CR238" s="77"/>
      <c r="CS238" s="77"/>
      <c r="CT238" s="77">
        <v>21426.97</v>
      </c>
      <c r="CU238" s="77"/>
      <c r="CV238" s="77"/>
      <c r="CW238" s="77"/>
      <c r="CX238" s="77"/>
      <c r="CY238" s="77"/>
      <c r="CZ238" s="77"/>
      <c r="DA238" s="77"/>
      <c r="DB238" s="77"/>
      <c r="DC238" s="96">
        <v>21426.97</v>
      </c>
      <c r="DD238" s="77"/>
      <c r="DE238" s="77"/>
      <c r="DF238" s="77"/>
      <c r="DG238" s="77"/>
      <c r="DH238" s="77"/>
      <c r="DI238" s="77"/>
      <c r="DJ238" s="77"/>
      <c r="DK238" s="77"/>
      <c r="DL238" s="77"/>
      <c r="DM238" s="77"/>
      <c r="DN238" s="77"/>
      <c r="DO238" s="77"/>
      <c r="DP238" s="96"/>
    </row>
    <row r="239" spans="2:120" s="22" customFormat="1" hidden="1" outlineLevel="1" x14ac:dyDescent="0.35">
      <c r="B239" s="25" t="s">
        <v>194</v>
      </c>
      <c r="C239" s="75" t="s">
        <v>192</v>
      </c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80"/>
      <c r="Q239" s="77"/>
      <c r="R239" s="77">
        <v>5</v>
      </c>
      <c r="S239" s="77"/>
      <c r="T239" s="77"/>
      <c r="U239" s="77"/>
      <c r="V239" s="77"/>
      <c r="W239" s="77"/>
      <c r="X239" s="77"/>
      <c r="Y239" s="77">
        <v>25</v>
      </c>
      <c r="Z239" s="77"/>
      <c r="AA239" s="77"/>
      <c r="AB239" s="77"/>
      <c r="AC239" s="80">
        <v>30</v>
      </c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80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83"/>
      <c r="BD239" s="77"/>
      <c r="BE239" s="77">
        <v>706.31199044535208</v>
      </c>
      <c r="BF239" s="77"/>
      <c r="BG239" s="77"/>
      <c r="BH239" s="77"/>
      <c r="BI239" s="77"/>
      <c r="BJ239" s="77"/>
      <c r="BK239" s="77"/>
      <c r="BL239" s="77">
        <v>667.67159293350028</v>
      </c>
      <c r="BM239" s="77"/>
      <c r="BN239" s="77"/>
      <c r="BO239" s="77"/>
      <c r="BP239" s="83">
        <v>674.11165918547567</v>
      </c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83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96"/>
      <c r="CQ239" s="77"/>
      <c r="CR239" s="77">
        <v>21426.971900826447</v>
      </c>
      <c r="CS239" s="77"/>
      <c r="CT239" s="77"/>
      <c r="CU239" s="77"/>
      <c r="CV239" s="77"/>
      <c r="CW239" s="77"/>
      <c r="CX239" s="77"/>
      <c r="CY239" s="77">
        <v>21427</v>
      </c>
      <c r="CZ239" s="77"/>
      <c r="DA239" s="77"/>
      <c r="DB239" s="77"/>
      <c r="DC239" s="96">
        <v>21426.995316804409</v>
      </c>
      <c r="DD239" s="77"/>
      <c r="DE239" s="77"/>
      <c r="DF239" s="77"/>
      <c r="DG239" s="77"/>
      <c r="DH239" s="77"/>
      <c r="DI239" s="77"/>
      <c r="DJ239" s="77"/>
      <c r="DK239" s="77"/>
      <c r="DL239" s="77"/>
      <c r="DM239" s="77"/>
      <c r="DN239" s="77"/>
      <c r="DO239" s="77"/>
      <c r="DP239" s="96"/>
    </row>
    <row r="240" spans="2:120" s="22" customFormat="1" hidden="1" outlineLevel="1" x14ac:dyDescent="0.35">
      <c r="B240" s="25" t="s">
        <v>194</v>
      </c>
      <c r="C240" s="75" t="s">
        <v>198</v>
      </c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80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80"/>
      <c r="AD240" s="77"/>
      <c r="AE240" s="77"/>
      <c r="AF240" s="77"/>
      <c r="AG240" s="77">
        <v>100</v>
      </c>
      <c r="AH240" s="77"/>
      <c r="AI240" s="77"/>
      <c r="AJ240" s="77"/>
      <c r="AK240" s="77"/>
      <c r="AL240" s="77"/>
      <c r="AM240" s="77"/>
      <c r="AN240" s="77"/>
      <c r="AO240" s="77"/>
      <c r="AP240" s="80">
        <v>100</v>
      </c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83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83"/>
      <c r="BQ240" s="77"/>
      <c r="BR240" s="77"/>
      <c r="BS240" s="77"/>
      <c r="BT240" s="77">
        <v>761.90476190476181</v>
      </c>
      <c r="BU240" s="77"/>
      <c r="BV240" s="77"/>
      <c r="BW240" s="77"/>
      <c r="BX240" s="77"/>
      <c r="BY240" s="77"/>
      <c r="BZ240" s="77"/>
      <c r="CA240" s="77"/>
      <c r="CB240" s="77"/>
      <c r="CC240" s="83">
        <v>761.90476190476181</v>
      </c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96"/>
      <c r="CQ240" s="77"/>
      <c r="CR240" s="77"/>
      <c r="CS240" s="77"/>
      <c r="CT240" s="77"/>
      <c r="CU240" s="77"/>
      <c r="CV240" s="77"/>
      <c r="CW240" s="77"/>
      <c r="CX240" s="77"/>
      <c r="CY240" s="77"/>
      <c r="CZ240" s="77"/>
      <c r="DA240" s="77"/>
      <c r="DB240" s="77"/>
      <c r="DC240" s="96"/>
      <c r="DD240" s="77"/>
      <c r="DE240" s="77"/>
      <c r="DF240" s="77"/>
      <c r="DG240" s="77">
        <v>18300.679315797035</v>
      </c>
      <c r="DH240" s="77"/>
      <c r="DI240" s="77"/>
      <c r="DJ240" s="77"/>
      <c r="DK240" s="77"/>
      <c r="DL240" s="77"/>
      <c r="DM240" s="77"/>
      <c r="DN240" s="77"/>
      <c r="DO240" s="77"/>
      <c r="DP240" s="96">
        <v>18300.679315797035</v>
      </c>
    </row>
    <row r="241" spans="2:120" hidden="1" collapsed="1" x14ac:dyDescent="0.35">
      <c r="B241" s="106" t="s">
        <v>199</v>
      </c>
      <c r="C241" s="76"/>
      <c r="D241" s="78"/>
      <c r="E241" s="78"/>
      <c r="F241" s="78"/>
      <c r="G241" s="78"/>
      <c r="H241" s="78"/>
      <c r="I241" s="78"/>
      <c r="J241" s="78"/>
      <c r="K241" s="78">
        <v>50</v>
      </c>
      <c r="L241" s="78"/>
      <c r="M241" s="78"/>
      <c r="N241" s="78"/>
      <c r="O241" s="78"/>
      <c r="P241" s="81">
        <v>50</v>
      </c>
      <c r="Q241" s="78"/>
      <c r="R241" s="78">
        <v>605</v>
      </c>
      <c r="S241" s="78"/>
      <c r="T241" s="78">
        <v>100</v>
      </c>
      <c r="U241" s="78"/>
      <c r="V241" s="78"/>
      <c r="W241" s="78"/>
      <c r="X241" s="78"/>
      <c r="Y241" s="78">
        <v>25</v>
      </c>
      <c r="Z241" s="78"/>
      <c r="AA241" s="78"/>
      <c r="AB241" s="78"/>
      <c r="AC241" s="81">
        <v>730</v>
      </c>
      <c r="AD241" s="78"/>
      <c r="AE241" s="78"/>
      <c r="AF241" s="78"/>
      <c r="AG241" s="78">
        <v>125</v>
      </c>
      <c r="AH241" s="78"/>
      <c r="AI241" s="78"/>
      <c r="AJ241" s="78"/>
      <c r="AK241" s="78"/>
      <c r="AL241" s="78"/>
      <c r="AM241" s="78"/>
      <c r="AN241" s="78"/>
      <c r="AO241" s="78"/>
      <c r="AP241" s="81">
        <v>125</v>
      </c>
      <c r="AQ241" s="78"/>
      <c r="AR241" s="78"/>
      <c r="AS241" s="78"/>
      <c r="AT241" s="78"/>
      <c r="AU241" s="78"/>
      <c r="AV241" s="78"/>
      <c r="AW241" s="78"/>
      <c r="AX241" s="78">
        <v>817.66616280580945</v>
      </c>
      <c r="AY241" s="78"/>
      <c r="AZ241" s="78"/>
      <c r="BA241" s="78"/>
      <c r="BB241" s="78"/>
      <c r="BC241" s="84">
        <v>817.66616280580945</v>
      </c>
      <c r="BD241" s="78"/>
      <c r="BE241" s="78">
        <v>1084.1955354257802</v>
      </c>
      <c r="BF241" s="78"/>
      <c r="BG241" s="78">
        <v>742.56220377795148</v>
      </c>
      <c r="BH241" s="78"/>
      <c r="BI241" s="78"/>
      <c r="BJ241" s="78"/>
      <c r="BK241" s="78"/>
      <c r="BL241" s="78">
        <v>667.67159293350028</v>
      </c>
      <c r="BM241" s="78"/>
      <c r="BN241" s="78"/>
      <c r="BO241" s="78"/>
      <c r="BP241" s="84">
        <v>1023.1319303201776</v>
      </c>
      <c r="BQ241" s="78"/>
      <c r="BR241" s="78"/>
      <c r="BS241" s="78"/>
      <c r="BT241" s="78">
        <v>848.52114285714288</v>
      </c>
      <c r="BU241" s="78"/>
      <c r="BV241" s="78"/>
      <c r="BW241" s="78"/>
      <c r="BX241" s="78"/>
      <c r="BY241" s="78"/>
      <c r="BZ241" s="78"/>
      <c r="CA241" s="78"/>
      <c r="CB241" s="78"/>
      <c r="CC241" s="84">
        <v>848.52114285714288</v>
      </c>
      <c r="CD241" s="78"/>
      <c r="CE241" s="78"/>
      <c r="CF241" s="78"/>
      <c r="CG241" s="78"/>
      <c r="CH241" s="78"/>
      <c r="CI241" s="78"/>
      <c r="CJ241" s="78"/>
      <c r="CK241" s="78">
        <v>19823.78</v>
      </c>
      <c r="CL241" s="78"/>
      <c r="CM241" s="78"/>
      <c r="CN241" s="78"/>
      <c r="CO241" s="78"/>
      <c r="CP241" s="97">
        <v>19823.78</v>
      </c>
      <c r="CQ241" s="78"/>
      <c r="CR241" s="78">
        <v>21426.971900826447</v>
      </c>
      <c r="CS241" s="78"/>
      <c r="CT241" s="78">
        <v>21426.97</v>
      </c>
      <c r="CU241" s="78"/>
      <c r="CV241" s="78"/>
      <c r="CW241" s="78"/>
      <c r="CX241" s="78"/>
      <c r="CY241" s="78">
        <v>21427</v>
      </c>
      <c r="CZ241" s="78"/>
      <c r="DA241" s="78"/>
      <c r="DB241" s="78"/>
      <c r="DC241" s="97">
        <v>21426.972602739726</v>
      </c>
      <c r="DD241" s="78"/>
      <c r="DE241" s="78"/>
      <c r="DF241" s="78"/>
      <c r="DG241" s="78">
        <v>18300.679315797035</v>
      </c>
      <c r="DH241" s="78"/>
      <c r="DI241" s="78"/>
      <c r="DJ241" s="78"/>
      <c r="DK241" s="78"/>
      <c r="DL241" s="78"/>
      <c r="DM241" s="78"/>
      <c r="DN241" s="78"/>
      <c r="DO241" s="78"/>
      <c r="DP241" s="97">
        <v>18300.679315797035</v>
      </c>
    </row>
    <row r="242" spans="2:120" s="22" customFormat="1" hidden="1" outlineLevel="1" x14ac:dyDescent="0.35">
      <c r="B242" s="25" t="s">
        <v>200</v>
      </c>
      <c r="C242" s="75" t="s">
        <v>201</v>
      </c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80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80"/>
      <c r="AD242" s="77"/>
      <c r="AE242" s="77"/>
      <c r="AF242" s="77">
        <v>200</v>
      </c>
      <c r="AG242" s="77">
        <v>15000</v>
      </c>
      <c r="AH242" s="77"/>
      <c r="AI242" s="77"/>
      <c r="AJ242" s="77"/>
      <c r="AK242" s="77"/>
      <c r="AL242" s="77"/>
      <c r="AM242" s="77"/>
      <c r="AN242" s="77"/>
      <c r="AO242" s="77"/>
      <c r="AP242" s="80">
        <v>15200</v>
      </c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83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83"/>
      <c r="BQ242" s="77"/>
      <c r="BR242" s="77"/>
      <c r="BS242" s="77">
        <v>763.57959288955215</v>
      </c>
      <c r="BT242" s="77">
        <v>813.4361904761904</v>
      </c>
      <c r="BU242" s="77"/>
      <c r="BV242" s="77"/>
      <c r="BW242" s="77"/>
      <c r="BX242" s="77"/>
      <c r="BY242" s="77"/>
      <c r="BZ242" s="77"/>
      <c r="CA242" s="77"/>
      <c r="CB242" s="77"/>
      <c r="CC242" s="83">
        <v>812.78018261320835</v>
      </c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96"/>
      <c r="CQ242" s="77"/>
      <c r="CR242" s="77"/>
      <c r="CS242" s="77"/>
      <c r="CT242" s="77"/>
      <c r="CU242" s="77"/>
      <c r="CV242" s="77"/>
      <c r="CW242" s="77"/>
      <c r="CX242" s="77"/>
      <c r="CY242" s="77"/>
      <c r="CZ242" s="77"/>
      <c r="DA242" s="77"/>
      <c r="DB242" s="77"/>
      <c r="DC242" s="96"/>
      <c r="DD242" s="77"/>
      <c r="DE242" s="77"/>
      <c r="DF242" s="77">
        <v>22029.165000000001</v>
      </c>
      <c r="DG242" s="77">
        <v>22029.162090934093</v>
      </c>
      <c r="DH242" s="77"/>
      <c r="DI242" s="77"/>
      <c r="DJ242" s="77"/>
      <c r="DK242" s="77"/>
      <c r="DL242" s="77"/>
      <c r="DM242" s="77"/>
      <c r="DN242" s="77"/>
      <c r="DO242" s="77"/>
      <c r="DP242" s="96">
        <v>22029.162129211276</v>
      </c>
    </row>
    <row r="243" spans="2:120" hidden="1" collapsed="1" x14ac:dyDescent="0.35">
      <c r="B243" s="106" t="s">
        <v>202</v>
      </c>
      <c r="C243" s="76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81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81"/>
      <c r="AD243" s="78"/>
      <c r="AE243" s="78"/>
      <c r="AF243" s="78">
        <v>200</v>
      </c>
      <c r="AG243" s="78">
        <v>15000</v>
      </c>
      <c r="AH243" s="78"/>
      <c r="AI243" s="78"/>
      <c r="AJ243" s="78"/>
      <c r="AK243" s="78"/>
      <c r="AL243" s="78"/>
      <c r="AM243" s="78"/>
      <c r="AN243" s="78"/>
      <c r="AO243" s="78"/>
      <c r="AP243" s="81">
        <v>15200</v>
      </c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84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84"/>
      <c r="BQ243" s="78"/>
      <c r="BR243" s="78"/>
      <c r="BS243" s="78">
        <v>763.57959288955215</v>
      </c>
      <c r="BT243" s="78">
        <v>813.4361904761904</v>
      </c>
      <c r="BU243" s="78"/>
      <c r="BV243" s="78"/>
      <c r="BW243" s="78"/>
      <c r="BX243" s="78"/>
      <c r="BY243" s="78"/>
      <c r="BZ243" s="78"/>
      <c r="CA243" s="78"/>
      <c r="CB243" s="78"/>
      <c r="CC243" s="84">
        <v>812.78018261320835</v>
      </c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97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97"/>
      <c r="DD243" s="78"/>
      <c r="DE243" s="78"/>
      <c r="DF243" s="78">
        <v>22029.165000000001</v>
      </c>
      <c r="DG243" s="78">
        <v>22029.162090934093</v>
      </c>
      <c r="DH243" s="78"/>
      <c r="DI243" s="78"/>
      <c r="DJ243" s="78"/>
      <c r="DK243" s="78"/>
      <c r="DL243" s="78"/>
      <c r="DM243" s="78"/>
      <c r="DN243" s="78"/>
      <c r="DO243" s="78"/>
      <c r="DP243" s="97">
        <v>22029.162129211276</v>
      </c>
    </row>
    <row r="244" spans="2:120" s="22" customFormat="1" hidden="1" outlineLevel="1" x14ac:dyDescent="0.35">
      <c r="B244" s="25" t="s">
        <v>203</v>
      </c>
      <c r="C244" s="75" t="s">
        <v>204</v>
      </c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80"/>
      <c r="Q244" s="77"/>
      <c r="R244" s="77"/>
      <c r="S244" s="77"/>
      <c r="T244" s="77"/>
      <c r="U244" s="77"/>
      <c r="V244" s="77"/>
      <c r="W244" s="77"/>
      <c r="X244" s="77"/>
      <c r="Y244" s="77"/>
      <c r="Z244" s="77">
        <v>50</v>
      </c>
      <c r="AA244" s="77"/>
      <c r="AB244" s="77"/>
      <c r="AC244" s="80">
        <v>50</v>
      </c>
      <c r="AD244" s="77"/>
      <c r="AE244" s="77"/>
      <c r="AF244" s="77"/>
      <c r="AG244" s="77">
        <v>25</v>
      </c>
      <c r="AH244" s="77"/>
      <c r="AI244" s="77"/>
      <c r="AJ244" s="77"/>
      <c r="AK244" s="77"/>
      <c r="AL244" s="77"/>
      <c r="AM244" s="77"/>
      <c r="AN244" s="77"/>
      <c r="AO244" s="77"/>
      <c r="AP244" s="80">
        <v>25</v>
      </c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83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>
        <v>1093.8997132804279</v>
      </c>
      <c r="BN244" s="77"/>
      <c r="BO244" s="77"/>
      <c r="BP244" s="83">
        <v>1093.8997132804279</v>
      </c>
      <c r="BQ244" s="77"/>
      <c r="BR244" s="77"/>
      <c r="BS244" s="77"/>
      <c r="BT244" s="77">
        <v>1235.1999999999998</v>
      </c>
      <c r="BU244" s="77"/>
      <c r="BV244" s="77"/>
      <c r="BW244" s="77"/>
      <c r="BX244" s="77"/>
      <c r="BY244" s="77"/>
      <c r="BZ244" s="77"/>
      <c r="CA244" s="77"/>
      <c r="CB244" s="77"/>
      <c r="CC244" s="83">
        <v>1235.1999999999998</v>
      </c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96"/>
      <c r="CQ244" s="77"/>
      <c r="CR244" s="77"/>
      <c r="CS244" s="77"/>
      <c r="CT244" s="77"/>
      <c r="CU244" s="77"/>
      <c r="CV244" s="77"/>
      <c r="CW244" s="77"/>
      <c r="CX244" s="77"/>
      <c r="CY244" s="77"/>
      <c r="CZ244" s="77">
        <v>29594.080000000002</v>
      </c>
      <c r="DA244" s="77"/>
      <c r="DB244" s="77"/>
      <c r="DC244" s="96">
        <v>29594.080000000002</v>
      </c>
      <c r="DD244" s="77"/>
      <c r="DE244" s="77"/>
      <c r="DF244" s="77"/>
      <c r="DG244" s="77">
        <v>29594.071532846712</v>
      </c>
      <c r="DH244" s="77"/>
      <c r="DI244" s="77"/>
      <c r="DJ244" s="77"/>
      <c r="DK244" s="77"/>
      <c r="DL244" s="77"/>
      <c r="DM244" s="77"/>
      <c r="DN244" s="77"/>
      <c r="DO244" s="77"/>
      <c r="DP244" s="96">
        <v>29594.071532846712</v>
      </c>
    </row>
    <row r="245" spans="2:120" hidden="1" collapsed="1" x14ac:dyDescent="0.35">
      <c r="B245" s="106" t="s">
        <v>205</v>
      </c>
      <c r="C245" s="76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81"/>
      <c r="Q245" s="78"/>
      <c r="R245" s="78"/>
      <c r="S245" s="78"/>
      <c r="T245" s="78"/>
      <c r="U245" s="78"/>
      <c r="V245" s="78"/>
      <c r="W245" s="78"/>
      <c r="X245" s="78"/>
      <c r="Y245" s="78"/>
      <c r="Z245" s="78">
        <v>50</v>
      </c>
      <c r="AA245" s="78"/>
      <c r="AB245" s="78"/>
      <c r="AC245" s="81">
        <v>50</v>
      </c>
      <c r="AD245" s="78"/>
      <c r="AE245" s="78"/>
      <c r="AF245" s="78"/>
      <c r="AG245" s="78">
        <v>25</v>
      </c>
      <c r="AH245" s="78"/>
      <c r="AI245" s="78"/>
      <c r="AJ245" s="78"/>
      <c r="AK245" s="78"/>
      <c r="AL245" s="78"/>
      <c r="AM245" s="78"/>
      <c r="AN245" s="78"/>
      <c r="AO245" s="78"/>
      <c r="AP245" s="81">
        <v>25</v>
      </c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84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>
        <v>1093.8997132804279</v>
      </c>
      <c r="BN245" s="78"/>
      <c r="BO245" s="78"/>
      <c r="BP245" s="84">
        <v>1093.8997132804279</v>
      </c>
      <c r="BQ245" s="78"/>
      <c r="BR245" s="78"/>
      <c r="BS245" s="78"/>
      <c r="BT245" s="78">
        <v>1235.1999999999998</v>
      </c>
      <c r="BU245" s="78"/>
      <c r="BV245" s="78"/>
      <c r="BW245" s="78"/>
      <c r="BX245" s="78"/>
      <c r="BY245" s="78"/>
      <c r="BZ245" s="78"/>
      <c r="CA245" s="78"/>
      <c r="CB245" s="78"/>
      <c r="CC245" s="84">
        <v>1235.1999999999998</v>
      </c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97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>
        <v>29594.080000000002</v>
      </c>
      <c r="DA245" s="78"/>
      <c r="DB245" s="78"/>
      <c r="DC245" s="97">
        <v>29594.080000000002</v>
      </c>
      <c r="DD245" s="78"/>
      <c r="DE245" s="78"/>
      <c r="DF245" s="78"/>
      <c r="DG245" s="78">
        <v>29594.071532846712</v>
      </c>
      <c r="DH245" s="78"/>
      <c r="DI245" s="78"/>
      <c r="DJ245" s="78"/>
      <c r="DK245" s="78"/>
      <c r="DL245" s="78"/>
      <c r="DM245" s="78"/>
      <c r="DN245" s="78"/>
      <c r="DO245" s="78"/>
      <c r="DP245" s="97">
        <v>29594.071532846712</v>
      </c>
    </row>
    <row r="246" spans="2:120" s="22" customFormat="1" hidden="1" outlineLevel="1" x14ac:dyDescent="0.35">
      <c r="B246" s="25" t="s">
        <v>206</v>
      </c>
      <c r="C246" s="75" t="s">
        <v>58</v>
      </c>
      <c r="D246" s="77">
        <v>11150</v>
      </c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80">
        <v>11150</v>
      </c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80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80"/>
      <c r="AQ246" s="77">
        <v>278.97356875669595</v>
      </c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83">
        <v>278.97356875669595</v>
      </c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83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83"/>
      <c r="CD246" s="77">
        <v>2965.8155156950675</v>
      </c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96">
        <v>2965.8155156950675</v>
      </c>
      <c r="CQ246" s="77"/>
      <c r="CR246" s="77"/>
      <c r="CS246" s="77"/>
      <c r="CT246" s="77"/>
      <c r="CU246" s="77"/>
      <c r="CV246" s="77"/>
      <c r="CW246" s="77"/>
      <c r="CX246" s="77"/>
      <c r="CY246" s="77"/>
      <c r="CZ246" s="77"/>
      <c r="DA246" s="77"/>
      <c r="DB246" s="77"/>
      <c r="DC246" s="96"/>
      <c r="DD246" s="77"/>
      <c r="DE246" s="77"/>
      <c r="DF246" s="77"/>
      <c r="DG246" s="77"/>
      <c r="DH246" s="77"/>
      <c r="DI246" s="77"/>
      <c r="DJ246" s="77"/>
      <c r="DK246" s="77"/>
      <c r="DL246" s="77"/>
      <c r="DM246" s="77"/>
      <c r="DN246" s="77"/>
      <c r="DO246" s="77"/>
      <c r="DP246" s="96"/>
    </row>
    <row r="247" spans="2:120" s="22" customFormat="1" hidden="1" collapsed="1" x14ac:dyDescent="0.35">
      <c r="B247" s="106" t="s">
        <v>207</v>
      </c>
      <c r="C247" s="76"/>
      <c r="D247" s="78">
        <v>11150</v>
      </c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81">
        <v>11150</v>
      </c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81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81"/>
      <c r="AQ247" s="78">
        <v>278.97356875669595</v>
      </c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84">
        <v>278.97356875669595</v>
      </c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84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84"/>
      <c r="CD247" s="78">
        <v>2965.8155156950675</v>
      </c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97">
        <v>2965.8155156950675</v>
      </c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97"/>
      <c r="DD247" s="78"/>
      <c r="DE247" s="78"/>
      <c r="DF247" s="78"/>
      <c r="DG247" s="78"/>
      <c r="DH247" s="78"/>
      <c r="DI247" s="78"/>
      <c r="DJ247" s="78"/>
      <c r="DK247" s="78"/>
      <c r="DL247" s="78"/>
      <c r="DM247" s="78"/>
      <c r="DN247" s="78"/>
      <c r="DO247" s="78"/>
      <c r="DP247" s="97"/>
    </row>
    <row r="248" spans="2:120" s="22" customFormat="1" hidden="1" outlineLevel="1" x14ac:dyDescent="0.35">
      <c r="B248" s="25" t="s">
        <v>208</v>
      </c>
      <c r="C248" s="75" t="s">
        <v>209</v>
      </c>
      <c r="D248" s="77"/>
      <c r="E248" s="77"/>
      <c r="F248" s="77"/>
      <c r="G248" s="77"/>
      <c r="H248" s="77"/>
      <c r="I248" s="77"/>
      <c r="J248" s="77">
        <v>2250</v>
      </c>
      <c r="K248" s="77"/>
      <c r="L248" s="77"/>
      <c r="M248" s="77"/>
      <c r="N248" s="77"/>
      <c r="O248" s="77"/>
      <c r="P248" s="80">
        <v>2250</v>
      </c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80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80"/>
      <c r="AQ248" s="77"/>
      <c r="AR248" s="77"/>
      <c r="AS248" s="77"/>
      <c r="AT248" s="77"/>
      <c r="AU248" s="77"/>
      <c r="AV248" s="77"/>
      <c r="AW248" s="77">
        <v>878.0300670095919</v>
      </c>
      <c r="AX248" s="77"/>
      <c r="AY248" s="77"/>
      <c r="AZ248" s="77"/>
      <c r="BA248" s="77"/>
      <c r="BB248" s="77"/>
      <c r="BC248" s="83">
        <v>878.0300670095919</v>
      </c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83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83"/>
      <c r="CD248" s="77"/>
      <c r="CE248" s="77"/>
      <c r="CF248" s="77"/>
      <c r="CG248" s="77"/>
      <c r="CH248" s="77"/>
      <c r="CI248" s="77"/>
      <c r="CJ248" s="77">
        <v>22530.307111111109</v>
      </c>
      <c r="CK248" s="77"/>
      <c r="CL248" s="77"/>
      <c r="CM248" s="77"/>
      <c r="CN248" s="77"/>
      <c r="CO248" s="77"/>
      <c r="CP248" s="96">
        <v>22530.307111111109</v>
      </c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96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96"/>
    </row>
    <row r="249" spans="2:120" s="22" customFormat="1" hidden="1" outlineLevel="1" x14ac:dyDescent="0.35">
      <c r="B249" s="25" t="s">
        <v>208</v>
      </c>
      <c r="C249" s="75" t="s">
        <v>58</v>
      </c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80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>
        <v>500</v>
      </c>
      <c r="AC249" s="80">
        <v>500</v>
      </c>
      <c r="AD249" s="77">
        <v>1000</v>
      </c>
      <c r="AE249" s="77"/>
      <c r="AF249" s="77">
        <v>1000</v>
      </c>
      <c r="AG249" s="77"/>
      <c r="AH249" s="77"/>
      <c r="AI249" s="77"/>
      <c r="AJ249" s="77"/>
      <c r="AK249" s="77"/>
      <c r="AL249" s="77"/>
      <c r="AM249" s="77"/>
      <c r="AN249" s="77"/>
      <c r="AO249" s="77"/>
      <c r="AP249" s="80">
        <v>2000</v>
      </c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83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>
        <v>1186.044489712627</v>
      </c>
      <c r="BP249" s="83">
        <v>1186.044489712627</v>
      </c>
      <c r="BQ249" s="77">
        <v>1334.1871991571713</v>
      </c>
      <c r="BR249" s="77"/>
      <c r="BS249" s="77">
        <v>1335.410959953306</v>
      </c>
      <c r="BT249" s="77"/>
      <c r="BU249" s="77"/>
      <c r="BV249" s="77"/>
      <c r="BW249" s="77"/>
      <c r="BX249" s="77"/>
      <c r="BY249" s="77"/>
      <c r="BZ249" s="77"/>
      <c r="CA249" s="77"/>
      <c r="CB249" s="77"/>
      <c r="CC249" s="83">
        <v>1334.7990795552387</v>
      </c>
      <c r="CD249" s="77"/>
      <c r="CE249" s="77"/>
      <c r="CF249" s="77"/>
      <c r="CG249" s="77"/>
      <c r="CH249" s="77"/>
      <c r="CI249" s="77"/>
      <c r="CJ249" s="77"/>
      <c r="CK249" s="77"/>
      <c r="CL249" s="77"/>
      <c r="CM249" s="77"/>
      <c r="CN249" s="77"/>
      <c r="CO249" s="77"/>
      <c r="CP249" s="96"/>
      <c r="CQ249" s="77"/>
      <c r="CR249" s="77"/>
      <c r="CS249" s="77"/>
      <c r="CT249" s="77"/>
      <c r="CU249" s="77"/>
      <c r="CV249" s="77"/>
      <c r="CW249" s="77"/>
      <c r="CX249" s="77"/>
      <c r="CY249" s="77"/>
      <c r="CZ249" s="77"/>
      <c r="DA249" s="77"/>
      <c r="DB249" s="77">
        <v>51461.070272727266</v>
      </c>
      <c r="DC249" s="96">
        <v>51461.070272727266</v>
      </c>
      <c r="DD249" s="77">
        <v>52284.926632911403</v>
      </c>
      <c r="DE249" s="77"/>
      <c r="DF249" s="77">
        <v>52854.634726457385</v>
      </c>
      <c r="DG249" s="77"/>
      <c r="DH249" s="77"/>
      <c r="DI249" s="77"/>
      <c r="DJ249" s="77"/>
      <c r="DK249" s="77"/>
      <c r="DL249" s="77"/>
      <c r="DM249" s="77"/>
      <c r="DN249" s="77"/>
      <c r="DO249" s="77"/>
      <c r="DP249" s="96">
        <v>52569.780679684402</v>
      </c>
    </row>
    <row r="250" spans="2:120" s="22" customFormat="1" hidden="1" outlineLevel="1" x14ac:dyDescent="0.35">
      <c r="B250" s="25" t="s">
        <v>208</v>
      </c>
      <c r="C250" s="75" t="s">
        <v>49</v>
      </c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80"/>
      <c r="Q250" s="77"/>
      <c r="R250" s="77">
        <v>750</v>
      </c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80">
        <v>750</v>
      </c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80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83"/>
      <c r="BD250" s="77"/>
      <c r="BE250" s="77">
        <v>685.88109373376301</v>
      </c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83">
        <v>685.88109373376301</v>
      </c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83"/>
      <c r="CD250" s="77"/>
      <c r="CE250" s="77"/>
      <c r="CF250" s="77"/>
      <c r="CG250" s="77"/>
      <c r="CH250" s="77"/>
      <c r="CI250" s="77"/>
      <c r="CJ250" s="77"/>
      <c r="CK250" s="77"/>
      <c r="CL250" s="77"/>
      <c r="CM250" s="77"/>
      <c r="CN250" s="77"/>
      <c r="CO250" s="77"/>
      <c r="CP250" s="96"/>
      <c r="CQ250" s="77"/>
      <c r="CR250" s="77">
        <v>28674.96628571429</v>
      </c>
      <c r="CS250" s="77"/>
      <c r="CT250" s="77"/>
      <c r="CU250" s="77"/>
      <c r="CV250" s="77"/>
      <c r="CW250" s="77"/>
      <c r="CX250" s="77"/>
      <c r="CY250" s="77"/>
      <c r="CZ250" s="77"/>
      <c r="DA250" s="77"/>
      <c r="DB250" s="77"/>
      <c r="DC250" s="96">
        <v>28674.96628571429</v>
      </c>
      <c r="DD250" s="77"/>
      <c r="DE250" s="77"/>
      <c r="DF250" s="77"/>
      <c r="DG250" s="77"/>
      <c r="DH250" s="77"/>
      <c r="DI250" s="77"/>
      <c r="DJ250" s="77"/>
      <c r="DK250" s="77"/>
      <c r="DL250" s="77"/>
      <c r="DM250" s="77"/>
      <c r="DN250" s="77"/>
      <c r="DO250" s="77"/>
      <c r="DP250" s="96"/>
    </row>
    <row r="251" spans="2:120" s="22" customFormat="1" hidden="1" outlineLevel="1" x14ac:dyDescent="0.35">
      <c r="B251" s="25" t="s">
        <v>208</v>
      </c>
      <c r="C251" s="75" t="s">
        <v>147</v>
      </c>
      <c r="D251" s="77"/>
      <c r="E251" s="77"/>
      <c r="F251" s="77"/>
      <c r="G251" s="77"/>
      <c r="H251" s="77"/>
      <c r="I251" s="77"/>
      <c r="J251" s="77"/>
      <c r="K251" s="77"/>
      <c r="L251" s="77"/>
      <c r="M251" s="77">
        <v>24750</v>
      </c>
      <c r="N251" s="77">
        <v>4500</v>
      </c>
      <c r="O251" s="77">
        <v>5250</v>
      </c>
      <c r="P251" s="80">
        <v>34500</v>
      </c>
      <c r="Q251" s="77"/>
      <c r="R251" s="77"/>
      <c r="S251" s="77"/>
      <c r="T251" s="77"/>
      <c r="U251" s="77">
        <v>5250</v>
      </c>
      <c r="V251" s="77">
        <v>4500</v>
      </c>
      <c r="W251" s="77"/>
      <c r="X251" s="77"/>
      <c r="Y251" s="77">
        <v>10500</v>
      </c>
      <c r="Z251" s="77">
        <v>14250</v>
      </c>
      <c r="AA251" s="77"/>
      <c r="AB251" s="77">
        <v>10500</v>
      </c>
      <c r="AC251" s="80">
        <v>45000</v>
      </c>
      <c r="AD251" s="77"/>
      <c r="AE251" s="77">
        <v>5250</v>
      </c>
      <c r="AF251" s="77">
        <v>14250</v>
      </c>
      <c r="AG251" s="77"/>
      <c r="AH251" s="77"/>
      <c r="AI251" s="77"/>
      <c r="AJ251" s="77"/>
      <c r="AK251" s="77"/>
      <c r="AL251" s="77"/>
      <c r="AM251" s="77"/>
      <c r="AN251" s="77"/>
      <c r="AO251" s="77"/>
      <c r="AP251" s="80">
        <v>19500</v>
      </c>
      <c r="AQ251" s="77"/>
      <c r="AR251" s="77"/>
      <c r="AS251" s="77"/>
      <c r="AT251" s="77"/>
      <c r="AU251" s="77"/>
      <c r="AV251" s="77"/>
      <c r="AW251" s="77"/>
      <c r="AX251" s="77"/>
      <c r="AY251" s="77"/>
      <c r="AZ251" s="77">
        <v>824.15928715758912</v>
      </c>
      <c r="BA251" s="77">
        <v>814.2244056758426</v>
      </c>
      <c r="BB251" s="77">
        <v>813.08614511289818</v>
      </c>
      <c r="BC251" s="83">
        <v>821.17838969664751</v>
      </c>
      <c r="BD251" s="77"/>
      <c r="BE251" s="77"/>
      <c r="BF251" s="77"/>
      <c r="BG251" s="77"/>
      <c r="BH251" s="77">
        <v>637.80983723940199</v>
      </c>
      <c r="BI251" s="77">
        <v>639.22916746037845</v>
      </c>
      <c r="BJ251" s="77"/>
      <c r="BK251" s="77"/>
      <c r="BL251" s="77">
        <v>609.83931264164653</v>
      </c>
      <c r="BM251" s="77">
        <v>611.05115627281782</v>
      </c>
      <c r="BN251" s="77"/>
      <c r="BO251" s="77">
        <v>616.06451836917722</v>
      </c>
      <c r="BP251" s="83">
        <v>617.8778244795526</v>
      </c>
      <c r="BQ251" s="77"/>
      <c r="BR251" s="77">
        <v>615.66936663509352</v>
      </c>
      <c r="BS251" s="77">
        <v>610.35446354019041</v>
      </c>
      <c r="BT251" s="77"/>
      <c r="BU251" s="77"/>
      <c r="BV251" s="77"/>
      <c r="BW251" s="77"/>
      <c r="BX251" s="77"/>
      <c r="BY251" s="77"/>
      <c r="BZ251" s="77"/>
      <c r="CA251" s="77"/>
      <c r="CB251" s="77"/>
      <c r="CC251" s="83">
        <v>611.78539898881809</v>
      </c>
      <c r="CD251" s="77"/>
      <c r="CE251" s="77"/>
      <c r="CF251" s="77"/>
      <c r="CG251" s="77"/>
      <c r="CH251" s="77"/>
      <c r="CI251" s="77"/>
      <c r="CJ251" s="77"/>
      <c r="CK251" s="77"/>
      <c r="CL251" s="77"/>
      <c r="CM251" s="77">
        <v>28324.882262626266</v>
      </c>
      <c r="CN251" s="77">
        <v>20393.977999999999</v>
      </c>
      <c r="CO251" s="77">
        <v>24260.010666666658</v>
      </c>
      <c r="CP251" s="96">
        <v>26671.84907246377</v>
      </c>
      <c r="CQ251" s="77"/>
      <c r="CR251" s="77"/>
      <c r="CS251" s="77"/>
      <c r="CT251" s="77"/>
      <c r="CU251" s="77">
        <v>25196.578289855079</v>
      </c>
      <c r="CV251" s="77">
        <v>24433.805288888885</v>
      </c>
      <c r="CW251" s="77"/>
      <c r="CX251" s="77"/>
      <c r="CY251" s="77">
        <v>18811.568129032283</v>
      </c>
      <c r="CZ251" s="77">
        <v>30443.625777777779</v>
      </c>
      <c r="DA251" s="77"/>
      <c r="DB251" s="77">
        <v>51461.070272727273</v>
      </c>
      <c r="DC251" s="96">
        <v>31420.411786078839</v>
      </c>
      <c r="DD251" s="77"/>
      <c r="DE251" s="77">
        <v>54824.852307692323</v>
      </c>
      <c r="DF251" s="77">
        <v>52854.634726457414</v>
      </c>
      <c r="DG251" s="77"/>
      <c r="DH251" s="77"/>
      <c r="DI251" s="77"/>
      <c r="DJ251" s="77"/>
      <c r="DK251" s="77"/>
      <c r="DL251" s="77"/>
      <c r="DM251" s="77"/>
      <c r="DN251" s="77"/>
      <c r="DO251" s="77"/>
      <c r="DP251" s="96">
        <v>53385.077921405275</v>
      </c>
    </row>
    <row r="252" spans="2:120" s="22" customFormat="1" hidden="1" outlineLevel="1" x14ac:dyDescent="0.35">
      <c r="B252" s="25" t="s">
        <v>208</v>
      </c>
      <c r="C252" s="75" t="s">
        <v>141</v>
      </c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80"/>
      <c r="Q252" s="77"/>
      <c r="R252" s="77"/>
      <c r="S252" s="77">
        <v>50</v>
      </c>
      <c r="T252" s="77">
        <v>6000</v>
      </c>
      <c r="U252" s="77">
        <v>15000</v>
      </c>
      <c r="V252" s="77">
        <v>6000</v>
      </c>
      <c r="W252" s="77">
        <v>7500</v>
      </c>
      <c r="X252" s="77">
        <v>5250</v>
      </c>
      <c r="Y252" s="77"/>
      <c r="Z252" s="77"/>
      <c r="AA252" s="77"/>
      <c r="AB252" s="77"/>
      <c r="AC252" s="80">
        <v>39800</v>
      </c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80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83"/>
      <c r="BD252" s="77"/>
      <c r="BE252" s="77"/>
      <c r="BF252" s="77">
        <v>675.0778225345515</v>
      </c>
      <c r="BG252" s="77">
        <v>622.45208854211114</v>
      </c>
      <c r="BH252" s="77">
        <v>616.97736706798912</v>
      </c>
      <c r="BI252" s="77">
        <v>613.73796167740011</v>
      </c>
      <c r="BJ252" s="77">
        <v>653.6793114031102</v>
      </c>
      <c r="BK252" s="77">
        <v>608.75683616335925</v>
      </c>
      <c r="BL252" s="77"/>
      <c r="BM252" s="77"/>
      <c r="BN252" s="77"/>
      <c r="BO252" s="77"/>
      <c r="BP252" s="83">
        <v>623.21916894081892</v>
      </c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83"/>
      <c r="CD252" s="77"/>
      <c r="CE252" s="77"/>
      <c r="CF252" s="77"/>
      <c r="CG252" s="77"/>
      <c r="CH252" s="77"/>
      <c r="CI252" s="77"/>
      <c r="CJ252" s="77"/>
      <c r="CK252" s="77"/>
      <c r="CL252" s="77"/>
      <c r="CM252" s="77"/>
      <c r="CN252" s="77"/>
      <c r="CO252" s="77"/>
      <c r="CP252" s="96"/>
      <c r="CQ252" s="77"/>
      <c r="CR252" s="77"/>
      <c r="CS252" s="77">
        <v>30538.913006992996</v>
      </c>
      <c r="CT252" s="77">
        <v>27913.633373185316</v>
      </c>
      <c r="CU252" s="77">
        <v>25196.578289855075</v>
      </c>
      <c r="CV252" s="77">
        <v>24433.805288888885</v>
      </c>
      <c r="CW252" s="77">
        <v>19854.40618181818</v>
      </c>
      <c r="CX252" s="77">
        <v>17512.755438596494</v>
      </c>
      <c r="CY252" s="77"/>
      <c r="CZ252" s="77"/>
      <c r="DA252" s="77"/>
      <c r="DB252" s="77"/>
      <c r="DC252" s="96">
        <v>23477.64483384143</v>
      </c>
      <c r="DD252" s="77"/>
      <c r="DE252" s="77"/>
      <c r="DF252" s="77"/>
      <c r="DG252" s="77"/>
      <c r="DH252" s="77"/>
      <c r="DI252" s="77"/>
      <c r="DJ252" s="77"/>
      <c r="DK252" s="77"/>
      <c r="DL252" s="77"/>
      <c r="DM252" s="77"/>
      <c r="DN252" s="77"/>
      <c r="DO252" s="77"/>
      <c r="DP252" s="96"/>
    </row>
    <row r="253" spans="2:120" s="22" customFormat="1" hidden="1" outlineLevel="1" x14ac:dyDescent="0.35">
      <c r="B253" s="25" t="s">
        <v>208</v>
      </c>
      <c r="C253" s="75" t="s">
        <v>25</v>
      </c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80"/>
      <c r="Q253" s="77"/>
      <c r="R253" s="77"/>
      <c r="S253" s="77"/>
      <c r="T253" s="77">
        <v>25</v>
      </c>
      <c r="U253" s="77"/>
      <c r="V253" s="77"/>
      <c r="W253" s="77"/>
      <c r="X253" s="77"/>
      <c r="Y253" s="77"/>
      <c r="Z253" s="77"/>
      <c r="AA253" s="77"/>
      <c r="AB253" s="77"/>
      <c r="AC253" s="80">
        <v>25</v>
      </c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80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83"/>
      <c r="BD253" s="77"/>
      <c r="BE253" s="77"/>
      <c r="BF253" s="77"/>
      <c r="BG253" s="77">
        <v>584.31430757246051</v>
      </c>
      <c r="BH253" s="77"/>
      <c r="BI253" s="77"/>
      <c r="BJ253" s="77"/>
      <c r="BK253" s="77"/>
      <c r="BL253" s="77"/>
      <c r="BM253" s="77"/>
      <c r="BN253" s="77"/>
      <c r="BO253" s="77"/>
      <c r="BP253" s="83">
        <v>584.31430757246051</v>
      </c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83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96"/>
      <c r="CQ253" s="77"/>
      <c r="CR253" s="77"/>
      <c r="CS253" s="77"/>
      <c r="CT253" s="77">
        <v>27913.633373185308</v>
      </c>
      <c r="CU253" s="77"/>
      <c r="CV253" s="77"/>
      <c r="CW253" s="77"/>
      <c r="CX253" s="77"/>
      <c r="CY253" s="77"/>
      <c r="CZ253" s="77"/>
      <c r="DA253" s="77"/>
      <c r="DB253" s="77"/>
      <c r="DC253" s="96">
        <v>27913.633373185308</v>
      </c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96"/>
    </row>
    <row r="254" spans="2:120" s="22" customFormat="1" hidden="1" outlineLevel="1" x14ac:dyDescent="0.35">
      <c r="B254" s="25" t="s">
        <v>208</v>
      </c>
      <c r="C254" s="75" t="s">
        <v>210</v>
      </c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80"/>
      <c r="Q254" s="77">
        <v>6000</v>
      </c>
      <c r="R254" s="77">
        <v>9750</v>
      </c>
      <c r="S254" s="77">
        <v>14250</v>
      </c>
      <c r="T254" s="77">
        <v>23250</v>
      </c>
      <c r="U254" s="77">
        <v>14250</v>
      </c>
      <c r="V254" s="77">
        <v>12000</v>
      </c>
      <c r="W254" s="77">
        <v>9000</v>
      </c>
      <c r="X254" s="77">
        <v>23250</v>
      </c>
      <c r="Y254" s="77">
        <v>12750</v>
      </c>
      <c r="Z254" s="77">
        <v>10500</v>
      </c>
      <c r="AA254" s="77">
        <v>10500</v>
      </c>
      <c r="AB254" s="77"/>
      <c r="AC254" s="80">
        <v>145500</v>
      </c>
      <c r="AD254" s="77">
        <v>18750</v>
      </c>
      <c r="AE254" s="77">
        <v>14250</v>
      </c>
      <c r="AF254" s="77">
        <v>40500</v>
      </c>
      <c r="AG254" s="77"/>
      <c r="AH254" s="77"/>
      <c r="AI254" s="77"/>
      <c r="AJ254" s="77"/>
      <c r="AK254" s="77"/>
      <c r="AL254" s="77"/>
      <c r="AM254" s="77"/>
      <c r="AN254" s="77"/>
      <c r="AO254" s="77"/>
      <c r="AP254" s="80">
        <v>73500</v>
      </c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83"/>
      <c r="BD254" s="77">
        <v>623.34138536632963</v>
      </c>
      <c r="BE254" s="77">
        <v>613.6304835799931</v>
      </c>
      <c r="BF254" s="77">
        <v>612.58431682396713</v>
      </c>
      <c r="BG254" s="77">
        <v>599.06555761964296</v>
      </c>
      <c r="BH254" s="77">
        <v>595.46434818063449</v>
      </c>
      <c r="BI254" s="77">
        <v>598.73158244188244</v>
      </c>
      <c r="BJ254" s="77">
        <v>596.53086102194356</v>
      </c>
      <c r="BK254" s="77">
        <v>585.15727647049414</v>
      </c>
      <c r="BL254" s="77">
        <v>581.15045540433459</v>
      </c>
      <c r="BM254" s="77">
        <v>584.16265242580585</v>
      </c>
      <c r="BN254" s="77">
        <v>583.79883336923319</v>
      </c>
      <c r="BO254" s="77"/>
      <c r="BP254" s="83">
        <v>595.86007245200983</v>
      </c>
      <c r="BQ254" s="77">
        <v>590.82163348394386</v>
      </c>
      <c r="BR254" s="77">
        <v>596.2831486792337</v>
      </c>
      <c r="BS254" s="77">
        <v>602.5246604254063</v>
      </c>
      <c r="BT254" s="77"/>
      <c r="BU254" s="77"/>
      <c r="BV254" s="77"/>
      <c r="BW254" s="77"/>
      <c r="BX254" s="77"/>
      <c r="BY254" s="77"/>
      <c r="BZ254" s="77"/>
      <c r="CA254" s="77"/>
      <c r="CB254" s="77"/>
      <c r="CC254" s="83">
        <v>598.32910535689768</v>
      </c>
      <c r="CD254" s="77"/>
      <c r="CE254" s="77"/>
      <c r="CF254" s="77"/>
      <c r="CG254" s="77"/>
      <c r="CH254" s="77"/>
      <c r="CI254" s="77"/>
      <c r="CJ254" s="77"/>
      <c r="CK254" s="77"/>
      <c r="CL254" s="77"/>
      <c r="CM254" s="77"/>
      <c r="CN254" s="77"/>
      <c r="CO254" s="77"/>
      <c r="CP254" s="96"/>
      <c r="CQ254" s="77">
        <v>27607.075166666666</v>
      </c>
      <c r="CR254" s="77">
        <v>28674.96628571429</v>
      </c>
      <c r="CS254" s="77">
        <v>30538.913006993011</v>
      </c>
      <c r="CT254" s="77">
        <v>27913.633373185316</v>
      </c>
      <c r="CU254" s="77">
        <v>25196.578289855075</v>
      </c>
      <c r="CV254" s="77">
        <v>24433.805288888885</v>
      </c>
      <c r="CW254" s="77">
        <v>19854.406181818194</v>
      </c>
      <c r="CX254" s="77">
        <v>17512.755438596494</v>
      </c>
      <c r="CY254" s="77">
        <v>18811.568129032275</v>
      </c>
      <c r="CZ254" s="77">
        <v>30443.625777777779</v>
      </c>
      <c r="DA254" s="77">
        <v>41514.620571428575</v>
      </c>
      <c r="DB254" s="77"/>
      <c r="DC254" s="96">
        <v>25862.007302780654</v>
      </c>
      <c r="DD254" s="77">
        <v>52284.926632911389</v>
      </c>
      <c r="DE254" s="77">
        <v>54824.85230769233</v>
      </c>
      <c r="DF254" s="77">
        <v>52854.634726457407</v>
      </c>
      <c r="DG254" s="77"/>
      <c r="DH254" s="77"/>
      <c r="DI254" s="77"/>
      <c r="DJ254" s="77"/>
      <c r="DK254" s="77"/>
      <c r="DL254" s="77"/>
      <c r="DM254" s="77"/>
      <c r="DN254" s="77"/>
      <c r="DO254" s="77"/>
      <c r="DP254" s="96">
        <v>53091.281988751427</v>
      </c>
    </row>
    <row r="255" spans="2:120" s="22" customFormat="1" hidden="1" outlineLevel="1" x14ac:dyDescent="0.35">
      <c r="B255" s="25" t="s">
        <v>208</v>
      </c>
      <c r="C255" s="75" t="s">
        <v>211</v>
      </c>
      <c r="D255" s="77"/>
      <c r="E255" s="77"/>
      <c r="F255" s="77">
        <v>6000</v>
      </c>
      <c r="G255" s="77">
        <v>13750</v>
      </c>
      <c r="H255" s="77"/>
      <c r="I255" s="77"/>
      <c r="J255" s="77"/>
      <c r="K255" s="77"/>
      <c r="L255" s="77"/>
      <c r="M255" s="77"/>
      <c r="N255" s="77"/>
      <c r="O255" s="77"/>
      <c r="P255" s="80">
        <v>19750</v>
      </c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80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80"/>
      <c r="AQ255" s="77"/>
      <c r="AR255" s="77"/>
      <c r="AS255" s="77">
        <v>888.01464220904495</v>
      </c>
      <c r="AT255" s="77">
        <v>894.12530867002476</v>
      </c>
      <c r="AU255" s="77"/>
      <c r="AV255" s="77"/>
      <c r="AW255" s="77"/>
      <c r="AX255" s="77"/>
      <c r="AY255" s="77"/>
      <c r="AZ255" s="77"/>
      <c r="BA255" s="77"/>
      <c r="BB255" s="77"/>
      <c r="BC255" s="83">
        <v>892.26890366922078</v>
      </c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83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83"/>
      <c r="CD255" s="77"/>
      <c r="CE255" s="77"/>
      <c r="CF255" s="77">
        <v>26667.641833333335</v>
      </c>
      <c r="CG255" s="77">
        <v>36647.876436363629</v>
      </c>
      <c r="CH255" s="77"/>
      <c r="CI255" s="77"/>
      <c r="CJ255" s="77"/>
      <c r="CK255" s="77"/>
      <c r="CL255" s="77"/>
      <c r="CM255" s="77"/>
      <c r="CN255" s="77"/>
      <c r="CO255" s="77"/>
      <c r="CP255" s="96">
        <v>33615.90643037975</v>
      </c>
      <c r="CQ255" s="77"/>
      <c r="CR255" s="77"/>
      <c r="CS255" s="77"/>
      <c r="CT255" s="77"/>
      <c r="CU255" s="77"/>
      <c r="CV255" s="77"/>
      <c r="CW255" s="77"/>
      <c r="CX255" s="77"/>
      <c r="CY255" s="77"/>
      <c r="CZ255" s="77"/>
      <c r="DA255" s="77"/>
      <c r="DB255" s="77"/>
      <c r="DC255" s="96"/>
      <c r="DD255" s="77"/>
      <c r="DE255" s="77"/>
      <c r="DF255" s="77"/>
      <c r="DG255" s="77"/>
      <c r="DH255" s="77"/>
      <c r="DI255" s="77"/>
      <c r="DJ255" s="77"/>
      <c r="DK255" s="77"/>
      <c r="DL255" s="77"/>
      <c r="DM255" s="77"/>
      <c r="DN255" s="77"/>
      <c r="DO255" s="77"/>
      <c r="DP255" s="96"/>
    </row>
    <row r="256" spans="2:120" s="22" customFormat="1" hidden="1" collapsed="1" x14ac:dyDescent="0.35">
      <c r="B256" s="106" t="s">
        <v>212</v>
      </c>
      <c r="C256" s="76"/>
      <c r="D256" s="78"/>
      <c r="E256" s="78"/>
      <c r="F256" s="78">
        <v>6000</v>
      </c>
      <c r="G256" s="78">
        <v>13750</v>
      </c>
      <c r="H256" s="78"/>
      <c r="I256" s="78"/>
      <c r="J256" s="78">
        <v>2250</v>
      </c>
      <c r="K256" s="78"/>
      <c r="L256" s="78"/>
      <c r="M256" s="78">
        <v>24750</v>
      </c>
      <c r="N256" s="78">
        <v>4500</v>
      </c>
      <c r="O256" s="78">
        <v>5250</v>
      </c>
      <c r="P256" s="81">
        <v>56500</v>
      </c>
      <c r="Q256" s="78">
        <v>6000</v>
      </c>
      <c r="R256" s="78">
        <v>10500</v>
      </c>
      <c r="S256" s="78">
        <v>14300</v>
      </c>
      <c r="T256" s="78">
        <v>29275</v>
      </c>
      <c r="U256" s="78">
        <v>34500</v>
      </c>
      <c r="V256" s="78">
        <v>22500</v>
      </c>
      <c r="W256" s="78">
        <v>16500</v>
      </c>
      <c r="X256" s="78">
        <v>28500</v>
      </c>
      <c r="Y256" s="78">
        <v>23250</v>
      </c>
      <c r="Z256" s="78">
        <v>24750</v>
      </c>
      <c r="AA256" s="78">
        <v>10500</v>
      </c>
      <c r="AB256" s="78">
        <v>11000</v>
      </c>
      <c r="AC256" s="81">
        <v>231575</v>
      </c>
      <c r="AD256" s="78">
        <v>19750</v>
      </c>
      <c r="AE256" s="78">
        <v>19500</v>
      </c>
      <c r="AF256" s="78">
        <v>55750</v>
      </c>
      <c r="AG256" s="78"/>
      <c r="AH256" s="78"/>
      <c r="AI256" s="78"/>
      <c r="AJ256" s="78"/>
      <c r="AK256" s="78"/>
      <c r="AL256" s="78"/>
      <c r="AM256" s="78"/>
      <c r="AN256" s="78"/>
      <c r="AO256" s="78"/>
      <c r="AP256" s="81">
        <v>95000</v>
      </c>
      <c r="AQ256" s="78"/>
      <c r="AR256" s="78"/>
      <c r="AS256" s="78">
        <v>888.01464220904495</v>
      </c>
      <c r="AT256" s="78">
        <v>894.12530867002476</v>
      </c>
      <c r="AU256" s="78"/>
      <c r="AV256" s="78"/>
      <c r="AW256" s="78">
        <v>878.0300670095919</v>
      </c>
      <c r="AX256" s="78"/>
      <c r="AY256" s="78"/>
      <c r="AZ256" s="78">
        <v>824.15928715758912</v>
      </c>
      <c r="BA256" s="78">
        <v>814.2244056758426</v>
      </c>
      <c r="BB256" s="78">
        <v>813.08614511289818</v>
      </c>
      <c r="BC256" s="84">
        <v>848.29261845615974</v>
      </c>
      <c r="BD256" s="78">
        <v>623.34138536632963</v>
      </c>
      <c r="BE256" s="78">
        <v>618.79124144811942</v>
      </c>
      <c r="BF256" s="78">
        <v>612.80282558519298</v>
      </c>
      <c r="BG256" s="78">
        <v>603.84610089150044</v>
      </c>
      <c r="BH256" s="78">
        <v>611.26171342320993</v>
      </c>
      <c r="BI256" s="78">
        <v>610.83280057505306</v>
      </c>
      <c r="BJ256" s="78">
        <v>622.50742937701932</v>
      </c>
      <c r="BK256" s="78">
        <v>589.50456378233775</v>
      </c>
      <c r="BL256" s="78">
        <v>594.10671351150768</v>
      </c>
      <c r="BM256" s="78">
        <v>599.64391221650965</v>
      </c>
      <c r="BN256" s="78">
        <v>583.79883336923319</v>
      </c>
      <c r="BO256" s="78">
        <v>641.97269888478854</v>
      </c>
      <c r="BP256" s="84">
        <v>606.40529629725961</v>
      </c>
      <c r="BQ256" s="78">
        <v>628.46039630284145</v>
      </c>
      <c r="BR256" s="78">
        <v>601.50251505196502</v>
      </c>
      <c r="BS256" s="78">
        <v>617.67194282744344</v>
      </c>
      <c r="BT256" s="78"/>
      <c r="BU256" s="78"/>
      <c r="BV256" s="78"/>
      <c r="BW256" s="78"/>
      <c r="BX256" s="78"/>
      <c r="BY256" s="78"/>
      <c r="BZ256" s="78"/>
      <c r="CA256" s="78"/>
      <c r="CB256" s="78"/>
      <c r="CC256" s="84">
        <v>616.59581771709895</v>
      </c>
      <c r="CD256" s="78"/>
      <c r="CE256" s="78"/>
      <c r="CF256" s="78">
        <v>26667.641833333335</v>
      </c>
      <c r="CG256" s="78">
        <v>36647.876436363629</v>
      </c>
      <c r="CH256" s="78"/>
      <c r="CI256" s="78"/>
      <c r="CJ256" s="78">
        <v>22530.307111111109</v>
      </c>
      <c r="CK256" s="78"/>
      <c r="CL256" s="78"/>
      <c r="CM256" s="78">
        <v>28324.882262626266</v>
      </c>
      <c r="CN256" s="78">
        <v>20393.977999999999</v>
      </c>
      <c r="CO256" s="78">
        <v>24260.010666666658</v>
      </c>
      <c r="CP256" s="97">
        <v>28934.26789380531</v>
      </c>
      <c r="CQ256" s="78">
        <v>27607.075166666666</v>
      </c>
      <c r="CR256" s="78">
        <v>28674.966285714287</v>
      </c>
      <c r="CS256" s="78">
        <v>30538.913006993011</v>
      </c>
      <c r="CT256" s="78">
        <v>27913.633373185316</v>
      </c>
      <c r="CU256" s="78">
        <v>25196.578289855075</v>
      </c>
      <c r="CV256" s="78">
        <v>24433.805288888889</v>
      </c>
      <c r="CW256" s="78">
        <v>19854.406181818187</v>
      </c>
      <c r="CX256" s="78">
        <v>17512.755438596494</v>
      </c>
      <c r="CY256" s="78">
        <v>18811.568129032283</v>
      </c>
      <c r="CZ256" s="78">
        <v>30443.625777777779</v>
      </c>
      <c r="DA256" s="78">
        <v>41514.620571428575</v>
      </c>
      <c r="DB256" s="78">
        <v>51461.070272727273</v>
      </c>
      <c r="DC256" s="97">
        <v>26596.93601640937</v>
      </c>
      <c r="DD256" s="78">
        <v>52284.926632911389</v>
      </c>
      <c r="DE256" s="78">
        <v>54824.852307692323</v>
      </c>
      <c r="DF256" s="78">
        <v>52854.634726457414</v>
      </c>
      <c r="DG256" s="78"/>
      <c r="DH256" s="78"/>
      <c r="DI256" s="78"/>
      <c r="DJ256" s="78"/>
      <c r="DK256" s="78"/>
      <c r="DL256" s="78"/>
      <c r="DM256" s="78"/>
      <c r="DN256" s="78"/>
      <c r="DO256" s="78"/>
      <c r="DP256" s="97">
        <v>53140.608494736865</v>
      </c>
    </row>
    <row r="257" spans="2:120" s="22" customFormat="1" hidden="1" outlineLevel="1" x14ac:dyDescent="0.35">
      <c r="B257" s="25" t="s">
        <v>213</v>
      </c>
      <c r="C257" s="75" t="s">
        <v>214</v>
      </c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80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>
        <v>25</v>
      </c>
      <c r="AC257" s="80">
        <v>25</v>
      </c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80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83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>
        <v>602.23360199641706</v>
      </c>
      <c r="BP257" s="83">
        <v>602.23360199641706</v>
      </c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83"/>
      <c r="CD257" s="77"/>
      <c r="CE257" s="77"/>
      <c r="CF257" s="77"/>
      <c r="CG257" s="77"/>
      <c r="CH257" s="77"/>
      <c r="CI257" s="77"/>
      <c r="CJ257" s="77"/>
      <c r="CK257" s="77"/>
      <c r="CL257" s="77"/>
      <c r="CM257" s="77"/>
      <c r="CN257" s="77"/>
      <c r="CO257" s="77"/>
      <c r="CP257" s="96"/>
      <c r="CQ257" s="77"/>
      <c r="CR257" s="77"/>
      <c r="CS257" s="77"/>
      <c r="CT257" s="77"/>
      <c r="CU257" s="77"/>
      <c r="CV257" s="77"/>
      <c r="CW257" s="77"/>
      <c r="CX257" s="77"/>
      <c r="CY257" s="77"/>
      <c r="CZ257" s="77"/>
      <c r="DA257" s="77"/>
      <c r="DB257" s="77">
        <v>21402.204034582133</v>
      </c>
      <c r="DC257" s="96">
        <v>21402.204034582133</v>
      </c>
      <c r="DD257" s="77"/>
      <c r="DE257" s="77"/>
      <c r="DF257" s="77"/>
      <c r="DG257" s="77"/>
      <c r="DH257" s="77"/>
      <c r="DI257" s="77"/>
      <c r="DJ257" s="77"/>
      <c r="DK257" s="77"/>
      <c r="DL257" s="77"/>
      <c r="DM257" s="77"/>
      <c r="DN257" s="77"/>
      <c r="DO257" s="77"/>
      <c r="DP257" s="96"/>
    </row>
    <row r="258" spans="2:120" s="22" customFormat="1" hidden="1" outlineLevel="1" x14ac:dyDescent="0.35">
      <c r="B258" s="25" t="s">
        <v>213</v>
      </c>
      <c r="C258" s="75" t="s">
        <v>57</v>
      </c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80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>
        <v>750</v>
      </c>
      <c r="AC258" s="80">
        <v>750</v>
      </c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80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83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>
        <v>611.83001391538403</v>
      </c>
      <c r="BP258" s="83">
        <v>611.83001391538403</v>
      </c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83"/>
      <c r="CD258" s="77"/>
      <c r="CE258" s="77"/>
      <c r="CF258" s="77"/>
      <c r="CG258" s="77"/>
      <c r="CH258" s="77"/>
      <c r="CI258" s="77"/>
      <c r="CJ258" s="77"/>
      <c r="CK258" s="77"/>
      <c r="CL258" s="77"/>
      <c r="CM258" s="77"/>
      <c r="CN258" s="77"/>
      <c r="CO258" s="77"/>
      <c r="CP258" s="96"/>
      <c r="CQ258" s="77"/>
      <c r="CR258" s="77"/>
      <c r="CS258" s="77"/>
      <c r="CT258" s="77"/>
      <c r="CU258" s="77"/>
      <c r="CV258" s="77"/>
      <c r="CW258" s="77"/>
      <c r="CX258" s="77"/>
      <c r="CY258" s="77"/>
      <c r="CZ258" s="77"/>
      <c r="DA258" s="77"/>
      <c r="DB258" s="77">
        <v>21402.20403458213</v>
      </c>
      <c r="DC258" s="96">
        <v>21402.20403458213</v>
      </c>
      <c r="DD258" s="77"/>
      <c r="DE258" s="77"/>
      <c r="DF258" s="77"/>
      <c r="DG258" s="77"/>
      <c r="DH258" s="77"/>
      <c r="DI258" s="77"/>
      <c r="DJ258" s="77"/>
      <c r="DK258" s="77"/>
      <c r="DL258" s="77"/>
      <c r="DM258" s="77"/>
      <c r="DN258" s="77"/>
      <c r="DO258" s="77"/>
      <c r="DP258" s="96"/>
    </row>
    <row r="259" spans="2:120" s="22" customFormat="1" hidden="1" outlineLevel="1" x14ac:dyDescent="0.35">
      <c r="B259" s="25" t="s">
        <v>213</v>
      </c>
      <c r="C259" s="75" t="s">
        <v>58</v>
      </c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80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>
        <v>500</v>
      </c>
      <c r="AC259" s="80">
        <v>500</v>
      </c>
      <c r="AD259" s="77">
        <v>1000</v>
      </c>
      <c r="AE259" s="77"/>
      <c r="AF259" s="77">
        <v>1000</v>
      </c>
      <c r="AG259" s="77"/>
      <c r="AH259" s="77"/>
      <c r="AI259" s="77"/>
      <c r="AJ259" s="77"/>
      <c r="AK259" s="77"/>
      <c r="AL259" s="77"/>
      <c r="AM259" s="77"/>
      <c r="AN259" s="77"/>
      <c r="AO259" s="77"/>
      <c r="AP259" s="80">
        <v>2000</v>
      </c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83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>
        <v>1071.2659907081793</v>
      </c>
      <c r="BP259" s="83">
        <v>1071.2659907081793</v>
      </c>
      <c r="BQ259" s="77">
        <v>1067.3497593257371</v>
      </c>
      <c r="BR259" s="77"/>
      <c r="BS259" s="77">
        <v>1068.3287679626449</v>
      </c>
      <c r="BT259" s="77"/>
      <c r="BU259" s="77"/>
      <c r="BV259" s="77"/>
      <c r="BW259" s="77"/>
      <c r="BX259" s="77"/>
      <c r="BY259" s="77"/>
      <c r="BZ259" s="77"/>
      <c r="CA259" s="77"/>
      <c r="CB259" s="77"/>
      <c r="CC259" s="83">
        <v>1067.8392636441909</v>
      </c>
      <c r="CD259" s="77"/>
      <c r="CE259" s="77"/>
      <c r="CF259" s="77"/>
      <c r="CG259" s="77"/>
      <c r="CH259" s="77"/>
      <c r="CI259" s="77"/>
      <c r="CJ259" s="77"/>
      <c r="CK259" s="77"/>
      <c r="CL259" s="77"/>
      <c r="CM259" s="77"/>
      <c r="CN259" s="77"/>
      <c r="CO259" s="77"/>
      <c r="CP259" s="96"/>
      <c r="CQ259" s="77"/>
      <c r="CR259" s="77"/>
      <c r="CS259" s="77"/>
      <c r="CT259" s="77"/>
      <c r="CU259" s="77"/>
      <c r="CV259" s="77"/>
      <c r="CW259" s="77"/>
      <c r="CX259" s="77"/>
      <c r="CY259" s="77"/>
      <c r="CZ259" s="77"/>
      <c r="DA259" s="77"/>
      <c r="DB259" s="77">
        <v>21402.20403458213</v>
      </c>
      <c r="DC259" s="96">
        <v>21402.20403458213</v>
      </c>
      <c r="DD259" s="77">
        <v>20979.620902654864</v>
      </c>
      <c r="DE259" s="77"/>
      <c r="DF259" s="77">
        <v>20292.771837837838</v>
      </c>
      <c r="DG259" s="77"/>
      <c r="DH259" s="77"/>
      <c r="DI259" s="77"/>
      <c r="DJ259" s="77"/>
      <c r="DK259" s="77"/>
      <c r="DL259" s="77"/>
      <c r="DM259" s="77"/>
      <c r="DN259" s="77"/>
      <c r="DO259" s="77"/>
      <c r="DP259" s="96">
        <v>20636.196370246351</v>
      </c>
    </row>
    <row r="260" spans="2:120" s="22" customFormat="1" hidden="1" outlineLevel="1" x14ac:dyDescent="0.35">
      <c r="B260" s="25" t="s">
        <v>213</v>
      </c>
      <c r="C260" s="75" t="s">
        <v>49</v>
      </c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80"/>
      <c r="Q260" s="77"/>
      <c r="R260" s="77">
        <v>750</v>
      </c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80">
        <v>750</v>
      </c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80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83"/>
      <c r="BD260" s="77"/>
      <c r="BE260" s="77">
        <v>685.88109373376301</v>
      </c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83">
        <v>685.88109373376301</v>
      </c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83"/>
      <c r="CD260" s="77"/>
      <c r="CE260" s="77"/>
      <c r="CF260" s="77"/>
      <c r="CG260" s="77"/>
      <c r="CH260" s="77"/>
      <c r="CI260" s="77"/>
      <c r="CJ260" s="77"/>
      <c r="CK260" s="77"/>
      <c r="CL260" s="77"/>
      <c r="CM260" s="77"/>
      <c r="CN260" s="77"/>
      <c r="CO260" s="77"/>
      <c r="CP260" s="96"/>
      <c r="CQ260" s="77"/>
      <c r="CR260" s="77">
        <v>24218.824666666667</v>
      </c>
      <c r="CS260" s="77"/>
      <c r="CT260" s="77"/>
      <c r="CU260" s="77"/>
      <c r="CV260" s="77"/>
      <c r="CW260" s="77"/>
      <c r="CX260" s="77"/>
      <c r="CY260" s="77"/>
      <c r="CZ260" s="77"/>
      <c r="DA260" s="77"/>
      <c r="DB260" s="77"/>
      <c r="DC260" s="96">
        <v>24218.824666666667</v>
      </c>
      <c r="DD260" s="77"/>
      <c r="DE260" s="77"/>
      <c r="DF260" s="77"/>
      <c r="DG260" s="77"/>
      <c r="DH260" s="77"/>
      <c r="DI260" s="77"/>
      <c r="DJ260" s="77"/>
      <c r="DK260" s="77"/>
      <c r="DL260" s="77"/>
      <c r="DM260" s="77"/>
      <c r="DN260" s="77"/>
      <c r="DO260" s="77"/>
      <c r="DP260" s="96"/>
    </row>
    <row r="261" spans="2:120" s="22" customFormat="1" hidden="1" outlineLevel="1" x14ac:dyDescent="0.35">
      <c r="B261" s="25" t="s">
        <v>213</v>
      </c>
      <c r="C261" s="75" t="s">
        <v>141</v>
      </c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80"/>
      <c r="Q261" s="77"/>
      <c r="R261" s="77"/>
      <c r="S261" s="77">
        <v>50</v>
      </c>
      <c r="T261" s="77"/>
      <c r="U261" s="77"/>
      <c r="V261" s="77"/>
      <c r="W261" s="77"/>
      <c r="X261" s="77"/>
      <c r="Y261" s="77"/>
      <c r="Z261" s="77"/>
      <c r="AA261" s="77"/>
      <c r="AB261" s="77"/>
      <c r="AC261" s="80">
        <v>50</v>
      </c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80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83"/>
      <c r="BD261" s="77"/>
      <c r="BE261" s="77"/>
      <c r="BF261" s="77">
        <v>675.0778225345515</v>
      </c>
      <c r="BG261" s="77"/>
      <c r="BH261" s="77"/>
      <c r="BI261" s="77"/>
      <c r="BJ261" s="77"/>
      <c r="BK261" s="77"/>
      <c r="BL261" s="77"/>
      <c r="BM261" s="77"/>
      <c r="BN261" s="77"/>
      <c r="BO261" s="77"/>
      <c r="BP261" s="83">
        <v>675.0778225345515</v>
      </c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83"/>
      <c r="CD261" s="77"/>
      <c r="CE261" s="77"/>
      <c r="CF261" s="77"/>
      <c r="CG261" s="77"/>
      <c r="CH261" s="77"/>
      <c r="CI261" s="77"/>
      <c r="CJ261" s="77"/>
      <c r="CK261" s="77"/>
      <c r="CL261" s="77"/>
      <c r="CM261" s="77"/>
      <c r="CN261" s="77"/>
      <c r="CO261" s="77"/>
      <c r="CP261" s="96"/>
      <c r="CQ261" s="77"/>
      <c r="CR261" s="77"/>
      <c r="CS261" s="77">
        <v>23950.76</v>
      </c>
      <c r="CT261" s="77"/>
      <c r="CU261" s="77"/>
      <c r="CV261" s="77"/>
      <c r="CW261" s="77"/>
      <c r="CX261" s="77"/>
      <c r="CY261" s="77"/>
      <c r="CZ261" s="77"/>
      <c r="DA261" s="77"/>
      <c r="DB261" s="77"/>
      <c r="DC261" s="96">
        <v>23950.76</v>
      </c>
      <c r="DD261" s="77"/>
      <c r="DE261" s="77"/>
      <c r="DF261" s="77"/>
      <c r="DG261" s="77"/>
      <c r="DH261" s="77"/>
      <c r="DI261" s="77"/>
      <c r="DJ261" s="77"/>
      <c r="DK261" s="77"/>
      <c r="DL261" s="77"/>
      <c r="DM261" s="77"/>
      <c r="DN261" s="77"/>
      <c r="DO261" s="77"/>
      <c r="DP261" s="96"/>
    </row>
    <row r="262" spans="2:120" s="22" customFormat="1" hidden="1" outlineLevel="1" x14ac:dyDescent="0.35">
      <c r="B262" s="25" t="s">
        <v>213</v>
      </c>
      <c r="C262" s="75" t="s">
        <v>215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80"/>
      <c r="Q262" s="77"/>
      <c r="R262" s="77"/>
      <c r="S262" s="77"/>
      <c r="T262" s="77"/>
      <c r="U262" s="77"/>
      <c r="V262" s="77"/>
      <c r="W262" s="77"/>
      <c r="X262" s="77">
        <v>3000</v>
      </c>
      <c r="Y262" s="77">
        <v>6000</v>
      </c>
      <c r="Z262" s="77"/>
      <c r="AA262" s="77"/>
      <c r="AB262" s="77"/>
      <c r="AC262" s="80">
        <v>9000</v>
      </c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80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83"/>
      <c r="BD262" s="77"/>
      <c r="BE262" s="77"/>
      <c r="BF262" s="77"/>
      <c r="BG262" s="77"/>
      <c r="BH262" s="77"/>
      <c r="BI262" s="77"/>
      <c r="BJ262" s="77"/>
      <c r="BK262" s="77">
        <v>565.53060156647075</v>
      </c>
      <c r="BL262" s="77">
        <v>563.9148111366685</v>
      </c>
      <c r="BM262" s="77"/>
      <c r="BN262" s="77"/>
      <c r="BO262" s="77"/>
      <c r="BP262" s="83">
        <v>564.45340794660262</v>
      </c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83"/>
      <c r="CD262" s="77"/>
      <c r="CE262" s="77"/>
      <c r="CF262" s="77"/>
      <c r="CG262" s="77"/>
      <c r="CH262" s="77"/>
      <c r="CI262" s="77"/>
      <c r="CJ262" s="77"/>
      <c r="CK262" s="77"/>
      <c r="CL262" s="77"/>
      <c r="CM262" s="77"/>
      <c r="CN262" s="77"/>
      <c r="CO262" s="77"/>
      <c r="CP262" s="96"/>
      <c r="CQ262" s="77"/>
      <c r="CR262" s="77"/>
      <c r="CS262" s="77"/>
      <c r="CT262" s="77"/>
      <c r="CU262" s="77"/>
      <c r="CV262" s="77"/>
      <c r="CW262" s="77"/>
      <c r="CX262" s="77">
        <v>27057.742140221402</v>
      </c>
      <c r="CY262" s="77">
        <v>27494.531025287353</v>
      </c>
      <c r="CZ262" s="77"/>
      <c r="DA262" s="77"/>
      <c r="DB262" s="77"/>
      <c r="DC262" s="96">
        <v>27348.934730265373</v>
      </c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96"/>
    </row>
    <row r="263" spans="2:120" s="22" customFormat="1" hidden="1" outlineLevel="1" x14ac:dyDescent="0.35">
      <c r="B263" s="25" t="s">
        <v>213</v>
      </c>
      <c r="C263" s="75" t="s">
        <v>216</v>
      </c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80"/>
      <c r="Q263" s="77"/>
      <c r="R263" s="77">
        <v>750</v>
      </c>
      <c r="S263" s="77"/>
      <c r="T263" s="77"/>
      <c r="U263" s="77"/>
      <c r="V263" s="77"/>
      <c r="W263" s="77"/>
      <c r="X263" s="77"/>
      <c r="Y263" s="77">
        <v>190500</v>
      </c>
      <c r="Z263" s="77"/>
      <c r="AA263" s="77"/>
      <c r="AB263" s="77"/>
      <c r="AC263" s="80">
        <v>191250</v>
      </c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80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83"/>
      <c r="BD263" s="77"/>
      <c r="BE263" s="77">
        <v>584.31989249325477</v>
      </c>
      <c r="BF263" s="77"/>
      <c r="BG263" s="77"/>
      <c r="BH263" s="77"/>
      <c r="BI263" s="77"/>
      <c r="BJ263" s="77"/>
      <c r="BK263" s="77"/>
      <c r="BL263" s="77">
        <v>557.0288718188059</v>
      </c>
      <c r="BM263" s="77"/>
      <c r="BN263" s="77"/>
      <c r="BO263" s="77"/>
      <c r="BP263" s="83">
        <v>557.13589542929401</v>
      </c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83"/>
      <c r="CD263" s="77"/>
      <c r="CE263" s="77"/>
      <c r="CF263" s="77"/>
      <c r="CG263" s="77"/>
      <c r="CH263" s="77"/>
      <c r="CI263" s="77"/>
      <c r="CJ263" s="77"/>
      <c r="CK263" s="77"/>
      <c r="CL263" s="77"/>
      <c r="CM263" s="77"/>
      <c r="CN263" s="77"/>
      <c r="CO263" s="77"/>
      <c r="CP263" s="96"/>
      <c r="CQ263" s="77"/>
      <c r="CR263" s="77">
        <v>24218.824666666667</v>
      </c>
      <c r="CS263" s="77"/>
      <c r="CT263" s="77"/>
      <c r="CU263" s="77"/>
      <c r="CV263" s="77"/>
      <c r="CW263" s="77"/>
      <c r="CX263" s="77"/>
      <c r="CY263" s="77">
        <v>27494.531025287353</v>
      </c>
      <c r="CZ263" s="77"/>
      <c r="DA263" s="77"/>
      <c r="DB263" s="77"/>
      <c r="DC263" s="96">
        <v>27481.685117998644</v>
      </c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96"/>
    </row>
    <row r="264" spans="2:120" s="22" customFormat="1" hidden="1" outlineLevel="1" x14ac:dyDescent="0.35">
      <c r="B264" s="25" t="s">
        <v>213</v>
      </c>
      <c r="C264" s="75" t="s">
        <v>25</v>
      </c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80"/>
      <c r="Q264" s="77"/>
      <c r="R264" s="77"/>
      <c r="S264" s="77"/>
      <c r="T264" s="77">
        <v>25</v>
      </c>
      <c r="U264" s="77"/>
      <c r="V264" s="77"/>
      <c r="W264" s="77"/>
      <c r="X264" s="77"/>
      <c r="Y264" s="77"/>
      <c r="Z264" s="77"/>
      <c r="AA264" s="77"/>
      <c r="AB264" s="77"/>
      <c r="AC264" s="80">
        <v>25</v>
      </c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80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83"/>
      <c r="BD264" s="77"/>
      <c r="BE264" s="77"/>
      <c r="BF264" s="77"/>
      <c r="BG264" s="77">
        <v>584.31430757246051</v>
      </c>
      <c r="BH264" s="77"/>
      <c r="BI264" s="77"/>
      <c r="BJ264" s="77"/>
      <c r="BK264" s="77"/>
      <c r="BL264" s="77"/>
      <c r="BM264" s="77"/>
      <c r="BN264" s="77"/>
      <c r="BO264" s="77"/>
      <c r="BP264" s="83">
        <v>584.31430757246051</v>
      </c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83"/>
      <c r="CD264" s="77"/>
      <c r="CE264" s="77"/>
      <c r="CF264" s="77"/>
      <c r="CG264" s="77"/>
      <c r="CH264" s="77"/>
      <c r="CI264" s="77"/>
      <c r="CJ264" s="77"/>
      <c r="CK264" s="77"/>
      <c r="CL264" s="77"/>
      <c r="CM264" s="77"/>
      <c r="CN264" s="77"/>
      <c r="CO264" s="77"/>
      <c r="CP264" s="96"/>
      <c r="CQ264" s="77"/>
      <c r="CR264" s="77"/>
      <c r="CS264" s="77"/>
      <c r="CT264" s="77">
        <v>24054.394254143648</v>
      </c>
      <c r="CU264" s="77"/>
      <c r="CV264" s="77"/>
      <c r="CW264" s="77"/>
      <c r="CX264" s="77"/>
      <c r="CY264" s="77"/>
      <c r="CZ264" s="77"/>
      <c r="DA264" s="77"/>
      <c r="DB264" s="77"/>
      <c r="DC264" s="96">
        <v>24054.394254143648</v>
      </c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96"/>
    </row>
    <row r="265" spans="2:120" s="22" customFormat="1" hidden="1" outlineLevel="1" x14ac:dyDescent="0.35">
      <c r="B265" s="25" t="s">
        <v>213</v>
      </c>
      <c r="C265" s="75" t="s">
        <v>210</v>
      </c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80"/>
      <c r="Q265" s="77"/>
      <c r="R265" s="77"/>
      <c r="S265" s="77"/>
      <c r="T265" s="77">
        <v>4500</v>
      </c>
      <c r="U265" s="77"/>
      <c r="V265" s="77"/>
      <c r="W265" s="77">
        <v>750</v>
      </c>
      <c r="X265" s="77">
        <v>3775</v>
      </c>
      <c r="Y265" s="77">
        <v>21000</v>
      </c>
      <c r="Z265" s="77">
        <v>6000</v>
      </c>
      <c r="AA265" s="77"/>
      <c r="AB265" s="77">
        <v>3750</v>
      </c>
      <c r="AC265" s="80">
        <v>39775</v>
      </c>
      <c r="AD265" s="77">
        <v>3000</v>
      </c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80">
        <v>3000</v>
      </c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83"/>
      <c r="BD265" s="77"/>
      <c r="BE265" s="77"/>
      <c r="BF265" s="77"/>
      <c r="BG265" s="77">
        <v>590.10525751633486</v>
      </c>
      <c r="BH265" s="77"/>
      <c r="BI265" s="77"/>
      <c r="BJ265" s="77">
        <v>579.23895259027324</v>
      </c>
      <c r="BK265" s="77">
        <v>565.58660859111319</v>
      </c>
      <c r="BL265" s="77">
        <v>563.9148111366685</v>
      </c>
      <c r="BM265" s="77">
        <v>565.05766327367667</v>
      </c>
      <c r="BN265" s="77"/>
      <c r="BO265" s="77">
        <v>565.8780797708697</v>
      </c>
      <c r="BP265" s="83">
        <v>567.68302032308043</v>
      </c>
      <c r="BQ265" s="77">
        <v>588.66716868079686</v>
      </c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83">
        <v>588.66716868079686</v>
      </c>
      <c r="CD265" s="77"/>
      <c r="CE265" s="77"/>
      <c r="CF265" s="77"/>
      <c r="CG265" s="77"/>
      <c r="CH265" s="77"/>
      <c r="CI265" s="77"/>
      <c r="CJ265" s="77"/>
      <c r="CK265" s="77"/>
      <c r="CL265" s="77"/>
      <c r="CM265" s="77"/>
      <c r="CN265" s="77"/>
      <c r="CO265" s="77"/>
      <c r="CP265" s="96"/>
      <c r="CQ265" s="77"/>
      <c r="CR265" s="77"/>
      <c r="CS265" s="77"/>
      <c r="CT265" s="77">
        <v>24054.394254143648</v>
      </c>
      <c r="CU265" s="77"/>
      <c r="CV265" s="77"/>
      <c r="CW265" s="77">
        <v>26308.86</v>
      </c>
      <c r="CX265" s="77">
        <v>27057.742140221402</v>
      </c>
      <c r="CY265" s="77">
        <v>27494.531025287357</v>
      </c>
      <c r="CZ265" s="77">
        <v>26249.234995098039</v>
      </c>
      <c r="DA265" s="77"/>
      <c r="DB265" s="77">
        <v>21402.20403458213</v>
      </c>
      <c r="DC265" s="96">
        <v>26279.27648910843</v>
      </c>
      <c r="DD265" s="77">
        <v>20979.620902654868</v>
      </c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96">
        <v>20979.620902654868</v>
      </c>
    </row>
    <row r="266" spans="2:120" s="22" customFormat="1" hidden="1" outlineLevel="1" x14ac:dyDescent="0.35">
      <c r="B266" s="25" t="s">
        <v>213</v>
      </c>
      <c r="C266" s="75" t="s">
        <v>154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80"/>
      <c r="Q266" s="77"/>
      <c r="R266" s="77"/>
      <c r="S266" s="77"/>
      <c r="T266" s="77"/>
      <c r="U266" s="77"/>
      <c r="V266" s="77"/>
      <c r="W266" s="77"/>
      <c r="X266" s="77"/>
      <c r="Y266" s="77"/>
      <c r="Z266" s="77">
        <v>15750</v>
      </c>
      <c r="AA266" s="77">
        <v>10500</v>
      </c>
      <c r="AB266" s="77">
        <v>21000</v>
      </c>
      <c r="AC266" s="80">
        <v>47250</v>
      </c>
      <c r="AD266" s="77">
        <v>52500</v>
      </c>
      <c r="AE266" s="77">
        <v>24000</v>
      </c>
      <c r="AF266" s="77">
        <v>36000</v>
      </c>
      <c r="AG266" s="77"/>
      <c r="AH266" s="77"/>
      <c r="AI266" s="77"/>
      <c r="AJ266" s="77"/>
      <c r="AK266" s="77"/>
      <c r="AL266" s="77"/>
      <c r="AM266" s="77"/>
      <c r="AN266" s="77"/>
      <c r="AO266" s="77"/>
      <c r="AP266" s="80">
        <v>112500</v>
      </c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83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>
        <v>598.6824441814241</v>
      </c>
      <c r="BN266" s="77">
        <v>598.30915827320041</v>
      </c>
      <c r="BO266" s="77">
        <v>599.6138919081983</v>
      </c>
      <c r="BP266" s="83">
        <v>599.01346852482948</v>
      </c>
      <c r="BQ266" s="77">
        <v>601.0731927599212</v>
      </c>
      <c r="BR266" s="77">
        <v>615.66936846782448</v>
      </c>
      <c r="BS266" s="77">
        <v>605.12049843165767</v>
      </c>
      <c r="BT266" s="77"/>
      <c r="BU266" s="77"/>
      <c r="BV266" s="77"/>
      <c r="BW266" s="77"/>
      <c r="BX266" s="77"/>
      <c r="BY266" s="77"/>
      <c r="BZ266" s="77"/>
      <c r="CA266" s="77"/>
      <c r="CB266" s="77"/>
      <c r="CC266" s="83">
        <v>605.48218139256289</v>
      </c>
      <c r="CD266" s="77"/>
      <c r="CE266" s="77"/>
      <c r="CF266" s="77"/>
      <c r="CG266" s="77"/>
      <c r="CH266" s="77"/>
      <c r="CI266" s="77"/>
      <c r="CJ266" s="77"/>
      <c r="CK266" s="77"/>
      <c r="CL266" s="77"/>
      <c r="CM266" s="77"/>
      <c r="CN266" s="77"/>
      <c r="CO266" s="77"/>
      <c r="CP266" s="96"/>
      <c r="CQ266" s="77"/>
      <c r="CR266" s="77"/>
      <c r="CS266" s="77"/>
      <c r="CT266" s="77"/>
      <c r="CU266" s="77"/>
      <c r="CV266" s="77"/>
      <c r="CW266" s="77"/>
      <c r="CX266" s="77"/>
      <c r="CY266" s="77"/>
      <c r="CZ266" s="77">
        <v>26249.234995098039</v>
      </c>
      <c r="DA266" s="77">
        <v>24257.408802721093</v>
      </c>
      <c r="DB266" s="77">
        <v>21402.20403458213</v>
      </c>
      <c r="DC266" s="96">
        <v>23652.370969896096</v>
      </c>
      <c r="DD266" s="77">
        <v>20979.620902654871</v>
      </c>
      <c r="DE266" s="77">
        <v>20714.662500000002</v>
      </c>
      <c r="DF266" s="77">
        <v>20292.771837837838</v>
      </c>
      <c r="DG266" s="77"/>
      <c r="DH266" s="77"/>
      <c r="DI266" s="77"/>
      <c r="DJ266" s="77"/>
      <c r="DK266" s="77"/>
      <c r="DL266" s="77"/>
      <c r="DM266" s="77"/>
      <c r="DN266" s="77"/>
      <c r="DO266" s="77"/>
      <c r="DP266" s="96">
        <v>20703.304742680386</v>
      </c>
    </row>
    <row r="267" spans="2:120" s="22" customFormat="1" hidden="1" outlineLevel="1" x14ac:dyDescent="0.35">
      <c r="B267" s="25" t="s">
        <v>213</v>
      </c>
      <c r="C267" s="75" t="s">
        <v>217</v>
      </c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80"/>
      <c r="Q267" s="77"/>
      <c r="R267" s="77"/>
      <c r="S267" s="77"/>
      <c r="T267" s="77"/>
      <c r="U267" s="77"/>
      <c r="V267" s="77"/>
      <c r="W267" s="77"/>
      <c r="X267" s="77"/>
      <c r="Y267" s="77"/>
      <c r="Z267" s="77">
        <v>182250</v>
      </c>
      <c r="AA267" s="77">
        <v>63000</v>
      </c>
      <c r="AB267" s="77"/>
      <c r="AC267" s="80">
        <v>245250</v>
      </c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80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83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>
        <v>557.86568324217444</v>
      </c>
      <c r="BN267" s="77">
        <v>557.50195683663333</v>
      </c>
      <c r="BO267" s="77"/>
      <c r="BP267" s="83">
        <v>557.77224893616403</v>
      </c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83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96"/>
      <c r="CQ267" s="77"/>
      <c r="CR267" s="77"/>
      <c r="CS267" s="77"/>
      <c r="CT267" s="77"/>
      <c r="CU267" s="77"/>
      <c r="CV267" s="77"/>
      <c r="CW267" s="77"/>
      <c r="CX267" s="77"/>
      <c r="CY267" s="77"/>
      <c r="CZ267" s="77">
        <v>26249.234995098042</v>
      </c>
      <c r="DA267" s="77">
        <v>24257.408802721093</v>
      </c>
      <c r="DB267" s="77"/>
      <c r="DC267" s="96">
        <v>25737.573220909468</v>
      </c>
      <c r="DD267" s="77"/>
      <c r="DE267" s="77"/>
      <c r="DF267" s="77"/>
      <c r="DG267" s="77"/>
      <c r="DH267" s="77"/>
      <c r="DI267" s="77"/>
      <c r="DJ267" s="77"/>
      <c r="DK267" s="77"/>
      <c r="DL267" s="77"/>
      <c r="DM267" s="77"/>
      <c r="DN267" s="77"/>
      <c r="DO267" s="77"/>
      <c r="DP267" s="96"/>
    </row>
    <row r="268" spans="2:120" s="22" customFormat="1" hidden="1" collapsed="1" x14ac:dyDescent="0.35">
      <c r="B268" s="106" t="s">
        <v>218</v>
      </c>
      <c r="C268" s="76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81"/>
      <c r="Q268" s="78"/>
      <c r="R268" s="78">
        <v>1500</v>
      </c>
      <c r="S268" s="78">
        <v>50</v>
      </c>
      <c r="T268" s="78">
        <v>4525</v>
      </c>
      <c r="U268" s="78"/>
      <c r="V268" s="78"/>
      <c r="W268" s="78">
        <v>750</v>
      </c>
      <c r="X268" s="78">
        <v>6775</v>
      </c>
      <c r="Y268" s="78">
        <v>217500</v>
      </c>
      <c r="Z268" s="78">
        <v>204000</v>
      </c>
      <c r="AA268" s="78">
        <v>73500</v>
      </c>
      <c r="AB268" s="78">
        <v>26025</v>
      </c>
      <c r="AC268" s="81">
        <v>534625</v>
      </c>
      <c r="AD268" s="78">
        <v>56500</v>
      </c>
      <c r="AE268" s="78">
        <v>24000</v>
      </c>
      <c r="AF268" s="78">
        <v>37000</v>
      </c>
      <c r="AG268" s="78"/>
      <c r="AH268" s="78"/>
      <c r="AI268" s="78"/>
      <c r="AJ268" s="78"/>
      <c r="AK268" s="78"/>
      <c r="AL268" s="78"/>
      <c r="AM268" s="78"/>
      <c r="AN268" s="78"/>
      <c r="AO268" s="78"/>
      <c r="AP268" s="81">
        <v>117500</v>
      </c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84"/>
      <c r="BD268" s="78"/>
      <c r="BE268" s="78">
        <v>635.10049311350895</v>
      </c>
      <c r="BF268" s="78">
        <v>675.0778225345515</v>
      </c>
      <c r="BG268" s="78">
        <v>590.07326331775005</v>
      </c>
      <c r="BH268" s="78"/>
      <c r="BI268" s="78"/>
      <c r="BJ268" s="78">
        <v>579.23895259027324</v>
      </c>
      <c r="BK268" s="78">
        <v>565.56180843259995</v>
      </c>
      <c r="BL268" s="78">
        <v>557.88367807895429</v>
      </c>
      <c r="BM268" s="78">
        <v>561.22850610973433</v>
      </c>
      <c r="BN268" s="78">
        <v>563.3315570418572</v>
      </c>
      <c r="BO268" s="78">
        <v>604.16890970426368</v>
      </c>
      <c r="BP268" s="84">
        <v>562.78938912335127</v>
      </c>
      <c r="BQ268" s="78">
        <v>608.66714841175212</v>
      </c>
      <c r="BR268" s="78">
        <v>615.66936846782448</v>
      </c>
      <c r="BS268" s="78">
        <v>617.63964085141413</v>
      </c>
      <c r="BT268" s="78"/>
      <c r="BU268" s="78"/>
      <c r="BV268" s="78"/>
      <c r="BW268" s="78"/>
      <c r="BX268" s="78"/>
      <c r="BY268" s="78"/>
      <c r="BZ268" s="78"/>
      <c r="CA268" s="78"/>
      <c r="CB268" s="78"/>
      <c r="CC268" s="84">
        <v>612.92276970207774</v>
      </c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97"/>
      <c r="CQ268" s="78"/>
      <c r="CR268" s="78">
        <v>24218.824666666667</v>
      </c>
      <c r="CS268" s="78">
        <v>23950.76</v>
      </c>
      <c r="CT268" s="78">
        <v>24054.394254143652</v>
      </c>
      <c r="CU268" s="78"/>
      <c r="CV268" s="78"/>
      <c r="CW268" s="78">
        <v>26308.86</v>
      </c>
      <c r="CX268" s="78">
        <v>27057.742140221402</v>
      </c>
      <c r="CY268" s="78">
        <v>27494.531025287353</v>
      </c>
      <c r="CZ268" s="78">
        <v>26249.234995098039</v>
      </c>
      <c r="DA268" s="78">
        <v>24257.408802721096</v>
      </c>
      <c r="DB268" s="78">
        <v>21402.20403458213</v>
      </c>
      <c r="DC268" s="97">
        <v>26231.912276829549</v>
      </c>
      <c r="DD268" s="78">
        <v>20979.620902654868</v>
      </c>
      <c r="DE268" s="78">
        <v>20714.662500000002</v>
      </c>
      <c r="DF268" s="78">
        <v>20292.771837837838</v>
      </c>
      <c r="DG268" s="78"/>
      <c r="DH268" s="78"/>
      <c r="DI268" s="78"/>
      <c r="DJ268" s="78"/>
      <c r="DK268" s="78"/>
      <c r="DL268" s="78"/>
      <c r="DM268" s="78"/>
      <c r="DN268" s="78"/>
      <c r="DO268" s="78"/>
      <c r="DP268" s="97">
        <v>20709.217353191492</v>
      </c>
    </row>
    <row r="269" spans="2:120" s="22" customFormat="1" hidden="1" outlineLevel="1" x14ac:dyDescent="0.35">
      <c r="B269" s="25" t="s">
        <v>219</v>
      </c>
      <c r="C269" s="75" t="s">
        <v>147</v>
      </c>
      <c r="D269" s="77"/>
      <c r="E269" s="77"/>
      <c r="F269" s="77"/>
      <c r="G269" s="77"/>
      <c r="H269" s="77"/>
      <c r="I269" s="77"/>
      <c r="J269" s="77"/>
      <c r="K269" s="77"/>
      <c r="L269" s="77"/>
      <c r="M269" s="77">
        <v>8250</v>
      </c>
      <c r="N269" s="77">
        <v>5250</v>
      </c>
      <c r="O269" s="77">
        <v>4500</v>
      </c>
      <c r="P269" s="80">
        <v>18000</v>
      </c>
      <c r="Q269" s="77"/>
      <c r="R269" s="77"/>
      <c r="S269" s="77"/>
      <c r="T269" s="77"/>
      <c r="U269" s="77"/>
      <c r="V269" s="77"/>
      <c r="W269" s="77"/>
      <c r="X269" s="77"/>
      <c r="Y269" s="77"/>
      <c r="Z269" s="77">
        <v>8250</v>
      </c>
      <c r="AA269" s="77"/>
      <c r="AB269" s="77"/>
      <c r="AC269" s="80">
        <v>8250</v>
      </c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80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>
        <v>818.67803326873695</v>
      </c>
      <c r="BA269" s="77">
        <v>814.22440567584272</v>
      </c>
      <c r="BB269" s="77">
        <v>813.08614511289818</v>
      </c>
      <c r="BC269" s="83">
        <v>815.98108651518316</v>
      </c>
      <c r="BD269" s="77"/>
      <c r="BE269" s="77"/>
      <c r="BF269" s="77"/>
      <c r="BG269" s="77"/>
      <c r="BH269" s="77"/>
      <c r="BI269" s="77"/>
      <c r="BJ269" s="77"/>
      <c r="BK269" s="77"/>
      <c r="BL269" s="77"/>
      <c r="BM269" s="77">
        <v>611.05115773540081</v>
      </c>
      <c r="BN269" s="77"/>
      <c r="BO269" s="77"/>
      <c r="BP269" s="83">
        <v>611.05115773540081</v>
      </c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83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>
        <v>24962.829696969697</v>
      </c>
      <c r="CN269" s="77">
        <v>24640.64038095238</v>
      </c>
      <c r="CO269" s="77">
        <v>24716.968222222222</v>
      </c>
      <c r="CP269" s="96">
        <v>24807.392444444446</v>
      </c>
      <c r="CQ269" s="77"/>
      <c r="CR269" s="77"/>
      <c r="CS269" s="77"/>
      <c r="CT269" s="77"/>
      <c r="CU269" s="77"/>
      <c r="CV269" s="77"/>
      <c r="CW269" s="77"/>
      <c r="CX269" s="77"/>
      <c r="CY269" s="77"/>
      <c r="CZ269" s="77">
        <v>20285.542666666668</v>
      </c>
      <c r="DA269" s="77"/>
      <c r="DB269" s="77"/>
      <c r="DC269" s="96">
        <v>20285.542666666668</v>
      </c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96"/>
    </row>
    <row r="270" spans="2:120" s="22" customFormat="1" hidden="1" outlineLevel="1" x14ac:dyDescent="0.35">
      <c r="B270" s="25" t="s">
        <v>219</v>
      </c>
      <c r="C270" s="75" t="s">
        <v>141</v>
      </c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80"/>
      <c r="Q270" s="77"/>
      <c r="R270" s="77"/>
      <c r="S270" s="77">
        <v>50</v>
      </c>
      <c r="T270" s="77"/>
      <c r="U270" s="77">
        <v>25500</v>
      </c>
      <c r="V270" s="77"/>
      <c r="W270" s="77"/>
      <c r="X270" s="77">
        <v>5250</v>
      </c>
      <c r="Y270" s="77"/>
      <c r="Z270" s="77"/>
      <c r="AA270" s="77"/>
      <c r="AB270" s="77"/>
      <c r="AC270" s="80">
        <v>30800</v>
      </c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80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83"/>
      <c r="BD270" s="77"/>
      <c r="BE270" s="77"/>
      <c r="BF270" s="77">
        <v>675.0778225345515</v>
      </c>
      <c r="BG270" s="77"/>
      <c r="BH270" s="77">
        <v>618.16054901383416</v>
      </c>
      <c r="BI270" s="77"/>
      <c r="BJ270" s="77"/>
      <c r="BK270" s="77">
        <v>608.75683616335925</v>
      </c>
      <c r="BL270" s="77"/>
      <c r="BM270" s="77"/>
      <c r="BN270" s="77"/>
      <c r="BO270" s="77"/>
      <c r="BP270" s="83">
        <v>616.65004158562124</v>
      </c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83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96"/>
      <c r="CQ270" s="77"/>
      <c r="CR270" s="77"/>
      <c r="CS270" s="77">
        <v>24917.525641025641</v>
      </c>
      <c r="CT270" s="77"/>
      <c r="CU270" s="77">
        <v>25105.261052631573</v>
      </c>
      <c r="CV270" s="77"/>
      <c r="CW270" s="77"/>
      <c r="CX270" s="77">
        <v>26512.822901960786</v>
      </c>
      <c r="CY270" s="77"/>
      <c r="CZ270" s="77"/>
      <c r="DA270" s="77"/>
      <c r="DB270" s="77"/>
      <c r="DC270" s="96">
        <v>25344.881602579564</v>
      </c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96"/>
    </row>
    <row r="271" spans="2:120" s="22" customFormat="1" hidden="1" outlineLevel="1" x14ac:dyDescent="0.35">
      <c r="B271" s="25" t="s">
        <v>219</v>
      </c>
      <c r="C271" s="75" t="s">
        <v>216</v>
      </c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80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>
        <v>4500</v>
      </c>
      <c r="AB271" s="77">
        <v>6750</v>
      </c>
      <c r="AC271" s="80">
        <v>11250</v>
      </c>
      <c r="AD271" s="77"/>
      <c r="AE271" s="77"/>
      <c r="AF271" s="77">
        <v>4500</v>
      </c>
      <c r="AG271" s="77"/>
      <c r="AH271" s="77"/>
      <c r="AI271" s="77"/>
      <c r="AJ271" s="77"/>
      <c r="AK271" s="77"/>
      <c r="AL271" s="77"/>
      <c r="AM271" s="77"/>
      <c r="AN271" s="77"/>
      <c r="AO271" s="77"/>
      <c r="AP271" s="80">
        <v>4500</v>
      </c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83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>
        <v>591.43584647658417</v>
      </c>
      <c r="BO271" s="77">
        <v>592.70123872587078</v>
      </c>
      <c r="BP271" s="83">
        <v>592.19508182615618</v>
      </c>
      <c r="BQ271" s="77"/>
      <c r="BR271" s="77"/>
      <c r="BS271" s="77">
        <v>591.13585286570276</v>
      </c>
      <c r="BT271" s="77"/>
      <c r="BU271" s="77"/>
      <c r="BV271" s="77"/>
      <c r="BW271" s="77"/>
      <c r="BX271" s="77"/>
      <c r="BY271" s="77"/>
      <c r="BZ271" s="77"/>
      <c r="CA271" s="77"/>
      <c r="CB271" s="77"/>
      <c r="CC271" s="83">
        <v>591.13585286570276</v>
      </c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96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>
        <v>18253.913025641028</v>
      </c>
      <c r="DB271" s="77">
        <v>17129.598222222223</v>
      </c>
      <c r="DC271" s="96">
        <v>17579.324143589743</v>
      </c>
      <c r="DD271" s="77"/>
      <c r="DE271" s="77"/>
      <c r="DF271" s="77">
        <v>15586.554622222222</v>
      </c>
      <c r="DG271" s="77"/>
      <c r="DH271" s="77"/>
      <c r="DI271" s="77"/>
      <c r="DJ271" s="77"/>
      <c r="DK271" s="77"/>
      <c r="DL271" s="77"/>
      <c r="DM271" s="77"/>
      <c r="DN271" s="77"/>
      <c r="DO271" s="77"/>
      <c r="DP271" s="96">
        <v>15586.554622222222</v>
      </c>
    </row>
    <row r="272" spans="2:120" s="22" customFormat="1" hidden="1" outlineLevel="1" x14ac:dyDescent="0.35">
      <c r="B272" s="25" t="s">
        <v>219</v>
      </c>
      <c r="C272" s="75" t="s">
        <v>25</v>
      </c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80"/>
      <c r="Q272" s="77"/>
      <c r="R272" s="77"/>
      <c r="S272" s="77"/>
      <c r="T272" s="77">
        <v>25</v>
      </c>
      <c r="U272" s="77"/>
      <c r="V272" s="77"/>
      <c r="W272" s="77"/>
      <c r="X272" s="77"/>
      <c r="Y272" s="77"/>
      <c r="Z272" s="77"/>
      <c r="AA272" s="77"/>
      <c r="AB272" s="77"/>
      <c r="AC272" s="80">
        <v>25</v>
      </c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80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83"/>
      <c r="BD272" s="77"/>
      <c r="BE272" s="77"/>
      <c r="BF272" s="77"/>
      <c r="BG272" s="77">
        <v>584.31430757246051</v>
      </c>
      <c r="BH272" s="77"/>
      <c r="BI272" s="77"/>
      <c r="BJ272" s="77"/>
      <c r="BK272" s="77"/>
      <c r="BL272" s="77"/>
      <c r="BM272" s="77"/>
      <c r="BN272" s="77"/>
      <c r="BO272" s="77"/>
      <c r="BP272" s="83">
        <v>584.31430757246051</v>
      </c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83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96"/>
      <c r="CQ272" s="77"/>
      <c r="CR272" s="77"/>
      <c r="CS272" s="77"/>
      <c r="CT272" s="77">
        <v>25091.142612826599</v>
      </c>
      <c r="CU272" s="77"/>
      <c r="CV272" s="77"/>
      <c r="CW272" s="77"/>
      <c r="CX272" s="77"/>
      <c r="CY272" s="77"/>
      <c r="CZ272" s="77"/>
      <c r="DA272" s="77"/>
      <c r="DB272" s="77"/>
      <c r="DC272" s="96">
        <v>25091.142612826599</v>
      </c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96"/>
    </row>
    <row r="273" spans="2:120" s="22" customFormat="1" hidden="1" outlineLevel="1" x14ac:dyDescent="0.35">
      <c r="B273" s="25" t="s">
        <v>219</v>
      </c>
      <c r="C273" s="75" t="s">
        <v>210</v>
      </c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80"/>
      <c r="Q273" s="77">
        <v>1500</v>
      </c>
      <c r="R273" s="77">
        <v>1500</v>
      </c>
      <c r="S273" s="77">
        <v>7500</v>
      </c>
      <c r="T273" s="77">
        <v>9750</v>
      </c>
      <c r="U273" s="77">
        <v>3000</v>
      </c>
      <c r="V273" s="77"/>
      <c r="W273" s="77"/>
      <c r="X273" s="77">
        <v>7500</v>
      </c>
      <c r="Y273" s="77">
        <v>14250</v>
      </c>
      <c r="Z273" s="77">
        <v>3750</v>
      </c>
      <c r="AA273" s="77">
        <v>5250</v>
      </c>
      <c r="AB273" s="77">
        <v>2250</v>
      </c>
      <c r="AC273" s="80">
        <v>56250</v>
      </c>
      <c r="AD273" s="77"/>
      <c r="AE273" s="77">
        <v>6000</v>
      </c>
      <c r="AF273" s="77">
        <v>18000</v>
      </c>
      <c r="AG273" s="77"/>
      <c r="AH273" s="77"/>
      <c r="AI273" s="77"/>
      <c r="AJ273" s="77"/>
      <c r="AK273" s="77"/>
      <c r="AL273" s="77"/>
      <c r="AM273" s="77"/>
      <c r="AN273" s="77"/>
      <c r="AO273" s="77"/>
      <c r="AP273" s="80">
        <v>24000</v>
      </c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83"/>
      <c r="BD273" s="77">
        <v>624.5392377174586</v>
      </c>
      <c r="BE273" s="77">
        <v>613.63048155079821</v>
      </c>
      <c r="BF273" s="77">
        <v>618.01428296161055</v>
      </c>
      <c r="BG273" s="77">
        <v>588.93956446546258</v>
      </c>
      <c r="BH273" s="77">
        <v>573.15734717101623</v>
      </c>
      <c r="BI273" s="77"/>
      <c r="BJ273" s="77"/>
      <c r="BK273" s="77">
        <v>584.18026303009083</v>
      </c>
      <c r="BL273" s="77">
        <v>583.55339212581021</v>
      </c>
      <c r="BM273" s="77">
        <v>586.30241121084441</v>
      </c>
      <c r="BN273" s="77">
        <v>589.52659319974657</v>
      </c>
      <c r="BO273" s="77">
        <v>590.64557591113112</v>
      </c>
      <c r="BP273" s="83">
        <v>591.53037349019803</v>
      </c>
      <c r="BQ273" s="77"/>
      <c r="BR273" s="77">
        <v>594.3587811322509</v>
      </c>
      <c r="BS273" s="77">
        <v>601.52238255422833</v>
      </c>
      <c r="BT273" s="77"/>
      <c r="BU273" s="77"/>
      <c r="BV273" s="77"/>
      <c r="BW273" s="77"/>
      <c r="BX273" s="77"/>
      <c r="BY273" s="77"/>
      <c r="BZ273" s="77"/>
      <c r="CA273" s="77"/>
      <c r="CB273" s="77"/>
      <c r="CC273" s="83">
        <v>599.73148219873394</v>
      </c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96"/>
      <c r="CQ273" s="77">
        <v>24696.272000000001</v>
      </c>
      <c r="CR273" s="77">
        <v>24836.039333333334</v>
      </c>
      <c r="CS273" s="77">
        <v>24917.525641025644</v>
      </c>
      <c r="CT273" s="77">
        <v>25091.142612826599</v>
      </c>
      <c r="CU273" s="77">
        <v>25105.261052631577</v>
      </c>
      <c r="CV273" s="77"/>
      <c r="CW273" s="77"/>
      <c r="CX273" s="77">
        <v>26512.822901960782</v>
      </c>
      <c r="CY273" s="77">
        <v>25226.627789473685</v>
      </c>
      <c r="CZ273" s="77">
        <v>20285.542666666672</v>
      </c>
      <c r="DA273" s="77">
        <v>18253.913025641028</v>
      </c>
      <c r="DB273" s="77">
        <v>17129.598222222223</v>
      </c>
      <c r="DC273" s="96">
        <v>23998.317779377205</v>
      </c>
      <c r="DD273" s="77"/>
      <c r="DE273" s="77">
        <v>16008.706333333334</v>
      </c>
      <c r="DF273" s="77">
        <v>15586.554622222222</v>
      </c>
      <c r="DG273" s="77"/>
      <c r="DH273" s="77"/>
      <c r="DI273" s="77"/>
      <c r="DJ273" s="77"/>
      <c r="DK273" s="77"/>
      <c r="DL273" s="77"/>
      <c r="DM273" s="77"/>
      <c r="DN273" s="77"/>
      <c r="DO273" s="77"/>
      <c r="DP273" s="96">
        <v>15692.092550000001</v>
      </c>
    </row>
    <row r="274" spans="2:120" s="22" customFormat="1" hidden="1" outlineLevel="1" x14ac:dyDescent="0.35">
      <c r="B274" s="25" t="s">
        <v>219</v>
      </c>
      <c r="C274" s="75" t="s">
        <v>220</v>
      </c>
      <c r="D274" s="77"/>
      <c r="E274" s="77"/>
      <c r="F274" s="77"/>
      <c r="G274" s="77"/>
      <c r="H274" s="77"/>
      <c r="I274" s="77"/>
      <c r="J274" s="77"/>
      <c r="K274" s="77"/>
      <c r="L274" s="77">
        <v>5250</v>
      </c>
      <c r="M274" s="77"/>
      <c r="N274" s="77"/>
      <c r="O274" s="77"/>
      <c r="P274" s="80">
        <v>5250</v>
      </c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80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80"/>
      <c r="AQ274" s="77"/>
      <c r="AR274" s="77"/>
      <c r="AS274" s="77"/>
      <c r="AT274" s="77"/>
      <c r="AU274" s="77"/>
      <c r="AV274" s="77"/>
      <c r="AW274" s="77"/>
      <c r="AX274" s="77"/>
      <c r="AY274" s="77">
        <v>831.19448562763239</v>
      </c>
      <c r="AZ274" s="77"/>
      <c r="BA274" s="77"/>
      <c r="BB274" s="77"/>
      <c r="BC274" s="83">
        <v>831.19448562763239</v>
      </c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83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83"/>
      <c r="CD274" s="77"/>
      <c r="CE274" s="77"/>
      <c r="CF274" s="77"/>
      <c r="CG274" s="77"/>
      <c r="CH274" s="77"/>
      <c r="CI274" s="77"/>
      <c r="CJ274" s="77"/>
      <c r="CK274" s="77"/>
      <c r="CL274" s="77">
        <v>25029.435428571433</v>
      </c>
      <c r="CM274" s="77"/>
      <c r="CN274" s="77"/>
      <c r="CO274" s="77"/>
      <c r="CP274" s="96">
        <v>25029.435428571433</v>
      </c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96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96"/>
    </row>
    <row r="275" spans="2:120" s="22" customFormat="1" hidden="1" outlineLevel="1" x14ac:dyDescent="0.35">
      <c r="B275" s="25" t="s">
        <v>219</v>
      </c>
      <c r="C275" s="75" t="s">
        <v>221</v>
      </c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80"/>
      <c r="Q275" s="77"/>
      <c r="R275" s="77"/>
      <c r="S275" s="77">
        <v>10000</v>
      </c>
      <c r="T275" s="77"/>
      <c r="U275" s="77"/>
      <c r="V275" s="77"/>
      <c r="W275" s="77"/>
      <c r="X275" s="77"/>
      <c r="Y275" s="77"/>
      <c r="Z275" s="77"/>
      <c r="AA275" s="77"/>
      <c r="AB275" s="77"/>
      <c r="AC275" s="80">
        <v>10000</v>
      </c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80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83"/>
      <c r="BD275" s="77"/>
      <c r="BE275" s="77"/>
      <c r="BF275" s="77">
        <v>565.95391352375236</v>
      </c>
      <c r="BG275" s="77"/>
      <c r="BH275" s="77"/>
      <c r="BI275" s="77"/>
      <c r="BJ275" s="77"/>
      <c r="BK275" s="77"/>
      <c r="BL275" s="77"/>
      <c r="BM275" s="77"/>
      <c r="BN275" s="77"/>
      <c r="BO275" s="77"/>
      <c r="BP275" s="83">
        <v>565.95391352375236</v>
      </c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83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96"/>
      <c r="CQ275" s="77"/>
      <c r="CR275" s="77"/>
      <c r="CS275" s="77">
        <v>24917.525641025644</v>
      </c>
      <c r="CT275" s="77"/>
      <c r="CU275" s="77"/>
      <c r="CV275" s="77"/>
      <c r="CW275" s="77"/>
      <c r="CX275" s="77"/>
      <c r="CY275" s="77"/>
      <c r="CZ275" s="77"/>
      <c r="DA275" s="77"/>
      <c r="DB275" s="77"/>
      <c r="DC275" s="96">
        <v>24917.525641025644</v>
      </c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96"/>
    </row>
    <row r="276" spans="2:120" s="22" customFormat="1" hidden="1" outlineLevel="1" x14ac:dyDescent="0.35">
      <c r="B276" s="25" t="s">
        <v>219</v>
      </c>
      <c r="C276" s="75" t="s">
        <v>211</v>
      </c>
      <c r="D276" s="77"/>
      <c r="E276" s="77">
        <v>9750</v>
      </c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80">
        <v>9750</v>
      </c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80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80"/>
      <c r="AQ276" s="77"/>
      <c r="AR276" s="77">
        <v>821.06460594461157</v>
      </c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83">
        <v>821.06460594461157</v>
      </c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83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83"/>
      <c r="CD276" s="77"/>
      <c r="CE276" s="77">
        <v>24164.470051282045</v>
      </c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96">
        <v>24164.470051282045</v>
      </c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96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96"/>
    </row>
    <row r="277" spans="2:120" s="22" customFormat="1" hidden="1" outlineLevel="1" x14ac:dyDescent="0.35">
      <c r="B277" s="25" t="s">
        <v>219</v>
      </c>
      <c r="C277" s="75" t="s">
        <v>222</v>
      </c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80"/>
      <c r="Q277" s="77"/>
      <c r="R277" s="77"/>
      <c r="S277" s="77"/>
      <c r="T277" s="77">
        <v>750</v>
      </c>
      <c r="U277" s="77"/>
      <c r="V277" s="77"/>
      <c r="W277" s="77"/>
      <c r="X277" s="77"/>
      <c r="Y277" s="77"/>
      <c r="Z277" s="77"/>
      <c r="AA277" s="77"/>
      <c r="AB277" s="77"/>
      <c r="AC277" s="80">
        <v>750</v>
      </c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80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83"/>
      <c r="BD277" s="77"/>
      <c r="BE277" s="77"/>
      <c r="BF277" s="77"/>
      <c r="BG277" s="77">
        <v>604.41772085985792</v>
      </c>
      <c r="BH277" s="77"/>
      <c r="BI277" s="77"/>
      <c r="BJ277" s="77"/>
      <c r="BK277" s="77"/>
      <c r="BL277" s="77"/>
      <c r="BM277" s="77"/>
      <c r="BN277" s="77"/>
      <c r="BO277" s="77"/>
      <c r="BP277" s="83">
        <v>604.41772085985792</v>
      </c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83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96"/>
      <c r="CQ277" s="77"/>
      <c r="CR277" s="77"/>
      <c r="CS277" s="77"/>
      <c r="CT277" s="77">
        <v>25091.142612826599</v>
      </c>
      <c r="CU277" s="77"/>
      <c r="CV277" s="77"/>
      <c r="CW277" s="77"/>
      <c r="CX277" s="77"/>
      <c r="CY277" s="77"/>
      <c r="CZ277" s="77"/>
      <c r="DA277" s="77"/>
      <c r="DB277" s="77"/>
      <c r="DC277" s="96">
        <v>25091.142612826599</v>
      </c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96"/>
    </row>
    <row r="278" spans="2:120" s="22" customFormat="1" hidden="1" collapsed="1" x14ac:dyDescent="0.35">
      <c r="B278" s="106" t="s">
        <v>223</v>
      </c>
      <c r="C278" s="76"/>
      <c r="D278" s="78"/>
      <c r="E278" s="78">
        <v>9750</v>
      </c>
      <c r="F278" s="78"/>
      <c r="G278" s="78"/>
      <c r="H278" s="78"/>
      <c r="I278" s="78"/>
      <c r="J278" s="78"/>
      <c r="K278" s="78"/>
      <c r="L278" s="78">
        <v>5250</v>
      </c>
      <c r="M278" s="78">
        <v>8250</v>
      </c>
      <c r="N278" s="78">
        <v>5250</v>
      </c>
      <c r="O278" s="78">
        <v>4500</v>
      </c>
      <c r="P278" s="81">
        <v>33000</v>
      </c>
      <c r="Q278" s="78">
        <v>1500</v>
      </c>
      <c r="R278" s="78">
        <v>1500</v>
      </c>
      <c r="S278" s="78">
        <v>17550</v>
      </c>
      <c r="T278" s="78">
        <v>10525</v>
      </c>
      <c r="U278" s="78">
        <v>28500</v>
      </c>
      <c r="V278" s="78"/>
      <c r="W278" s="78"/>
      <c r="X278" s="78">
        <v>12750</v>
      </c>
      <c r="Y278" s="78">
        <v>14250</v>
      </c>
      <c r="Z278" s="78">
        <v>12000</v>
      </c>
      <c r="AA278" s="78">
        <v>9750</v>
      </c>
      <c r="AB278" s="78">
        <v>9000</v>
      </c>
      <c r="AC278" s="81">
        <v>117325</v>
      </c>
      <c r="AD278" s="78"/>
      <c r="AE278" s="78">
        <v>6000</v>
      </c>
      <c r="AF278" s="78">
        <v>22500</v>
      </c>
      <c r="AG278" s="78"/>
      <c r="AH278" s="78"/>
      <c r="AI278" s="78"/>
      <c r="AJ278" s="78"/>
      <c r="AK278" s="78"/>
      <c r="AL278" s="78"/>
      <c r="AM278" s="78"/>
      <c r="AN278" s="78"/>
      <c r="AO278" s="78"/>
      <c r="AP278" s="81">
        <v>28500</v>
      </c>
      <c r="AQ278" s="78"/>
      <c r="AR278" s="78">
        <v>821.06460594461157</v>
      </c>
      <c r="AS278" s="78"/>
      <c r="AT278" s="78"/>
      <c r="AU278" s="78"/>
      <c r="AV278" s="78"/>
      <c r="AW278" s="78"/>
      <c r="AX278" s="78"/>
      <c r="AY278" s="78">
        <v>831.19448562763239</v>
      </c>
      <c r="AZ278" s="78">
        <v>818.67803326873695</v>
      </c>
      <c r="BA278" s="78">
        <v>814.22440567584272</v>
      </c>
      <c r="BB278" s="78">
        <v>813.08614511289818</v>
      </c>
      <c r="BC278" s="84">
        <v>819.90334893267664</v>
      </c>
      <c r="BD278" s="78">
        <v>624.5392377174586</v>
      </c>
      <c r="BE278" s="78">
        <v>613.63048155079821</v>
      </c>
      <c r="BF278" s="78">
        <v>588.51282897870828</v>
      </c>
      <c r="BG278" s="78">
        <v>590.03153461971169</v>
      </c>
      <c r="BH278" s="78">
        <v>613.42336987248495</v>
      </c>
      <c r="BI278" s="78"/>
      <c r="BJ278" s="78"/>
      <c r="BK278" s="78">
        <v>594.30002843790726</v>
      </c>
      <c r="BL278" s="78">
        <v>583.55339212581021</v>
      </c>
      <c r="BM278" s="78">
        <v>603.31717444647688</v>
      </c>
      <c r="BN278" s="78">
        <v>590.40778701982549</v>
      </c>
      <c r="BO278" s="78">
        <v>592.18732302218586</v>
      </c>
      <c r="BP278" s="84">
        <v>597.46202254501441</v>
      </c>
      <c r="BQ278" s="78"/>
      <c r="BR278" s="78">
        <v>594.3587811322509</v>
      </c>
      <c r="BS278" s="78">
        <v>599.44507661652312</v>
      </c>
      <c r="BT278" s="78"/>
      <c r="BU278" s="78"/>
      <c r="BV278" s="78"/>
      <c r="BW278" s="78"/>
      <c r="BX278" s="78"/>
      <c r="BY278" s="78"/>
      <c r="BZ278" s="78"/>
      <c r="CA278" s="78"/>
      <c r="CB278" s="78"/>
      <c r="CC278" s="84">
        <v>598.37427756720274</v>
      </c>
      <c r="CD278" s="78"/>
      <c r="CE278" s="78">
        <v>24164.470051282045</v>
      </c>
      <c r="CF278" s="78"/>
      <c r="CG278" s="78"/>
      <c r="CH278" s="78"/>
      <c r="CI278" s="78"/>
      <c r="CJ278" s="78"/>
      <c r="CK278" s="78"/>
      <c r="CL278" s="78">
        <v>25029.435428571433</v>
      </c>
      <c r="CM278" s="78">
        <v>24962.829696969697</v>
      </c>
      <c r="CN278" s="78">
        <v>24640.64038095238</v>
      </c>
      <c r="CO278" s="78">
        <v>24716.968222222222</v>
      </c>
      <c r="CP278" s="97">
        <v>24652.76312121212</v>
      </c>
      <c r="CQ278" s="78">
        <v>24696.272000000001</v>
      </c>
      <c r="CR278" s="78">
        <v>24836.039333333334</v>
      </c>
      <c r="CS278" s="78">
        <v>24917.525641025644</v>
      </c>
      <c r="CT278" s="78">
        <v>25091.142612826599</v>
      </c>
      <c r="CU278" s="78">
        <v>25105.261052631573</v>
      </c>
      <c r="CV278" s="78"/>
      <c r="CW278" s="78"/>
      <c r="CX278" s="78">
        <v>26512.822901960786</v>
      </c>
      <c r="CY278" s="78">
        <v>25226.627789473685</v>
      </c>
      <c r="CZ278" s="78">
        <v>20285.542666666668</v>
      </c>
      <c r="DA278" s="78">
        <v>18253.913025641028</v>
      </c>
      <c r="DB278" s="78">
        <v>17129.598222222223</v>
      </c>
      <c r="DC278" s="97">
        <v>23560.807534626048</v>
      </c>
      <c r="DD278" s="78"/>
      <c r="DE278" s="78">
        <v>16008.706333333334</v>
      </c>
      <c r="DF278" s="78">
        <v>15586.554622222222</v>
      </c>
      <c r="DG278" s="78"/>
      <c r="DH278" s="78"/>
      <c r="DI278" s="78"/>
      <c r="DJ278" s="78"/>
      <c r="DK278" s="78"/>
      <c r="DL278" s="78"/>
      <c r="DM278" s="78"/>
      <c r="DN278" s="78"/>
      <c r="DO278" s="78"/>
      <c r="DP278" s="97">
        <v>15675.428666666669</v>
      </c>
    </row>
    <row r="279" spans="2:120" s="22" customFormat="1" hidden="1" outlineLevel="1" x14ac:dyDescent="0.35">
      <c r="B279" s="25" t="s">
        <v>224</v>
      </c>
      <c r="C279" s="75" t="s">
        <v>49</v>
      </c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80"/>
      <c r="Q279" s="77"/>
      <c r="R279" s="77">
        <v>750</v>
      </c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80">
        <v>750</v>
      </c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80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83"/>
      <c r="BD279" s="77"/>
      <c r="BE279" s="77">
        <v>685.88109373376301</v>
      </c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83">
        <v>685.88109373376301</v>
      </c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83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96"/>
      <c r="CQ279" s="77"/>
      <c r="CR279" s="77">
        <v>24582.532666666666</v>
      </c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96">
        <v>24582.532666666666</v>
      </c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96"/>
    </row>
    <row r="280" spans="2:120" s="22" customFormat="1" hidden="1" outlineLevel="1" x14ac:dyDescent="0.35">
      <c r="B280" s="25" t="s">
        <v>224</v>
      </c>
      <c r="C280" s="75" t="s">
        <v>147</v>
      </c>
      <c r="D280" s="77"/>
      <c r="E280" s="77">
        <v>19500</v>
      </c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80">
        <v>19500</v>
      </c>
      <c r="Q280" s="77"/>
      <c r="R280" s="77"/>
      <c r="S280" s="77"/>
      <c r="T280" s="77"/>
      <c r="U280" s="77"/>
      <c r="V280" s="77"/>
      <c r="W280" s="77"/>
      <c r="X280" s="77"/>
      <c r="Y280" s="77">
        <v>5250</v>
      </c>
      <c r="Z280" s="77"/>
      <c r="AA280" s="77"/>
      <c r="AB280" s="77"/>
      <c r="AC280" s="80">
        <v>5250</v>
      </c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80"/>
      <c r="AQ280" s="77"/>
      <c r="AR280" s="77">
        <v>858.9045311488552</v>
      </c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83">
        <v>858.9045311488552</v>
      </c>
      <c r="BD280" s="77"/>
      <c r="BE280" s="77"/>
      <c r="BF280" s="77"/>
      <c r="BG280" s="77"/>
      <c r="BH280" s="77"/>
      <c r="BI280" s="77"/>
      <c r="BJ280" s="77"/>
      <c r="BK280" s="77"/>
      <c r="BL280" s="77">
        <v>609.83931627523339</v>
      </c>
      <c r="BM280" s="77"/>
      <c r="BN280" s="77"/>
      <c r="BO280" s="77"/>
      <c r="BP280" s="83">
        <v>609.83931627523339</v>
      </c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83"/>
      <c r="CD280" s="77"/>
      <c r="CE280" s="77">
        <v>22562.298814814818</v>
      </c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96">
        <v>22562.298814814818</v>
      </c>
      <c r="CQ280" s="77"/>
      <c r="CR280" s="77"/>
      <c r="CS280" s="77"/>
      <c r="CT280" s="77"/>
      <c r="CU280" s="77"/>
      <c r="CV280" s="77"/>
      <c r="CW280" s="77"/>
      <c r="CX280" s="77"/>
      <c r="CY280" s="77">
        <v>26137.503428571428</v>
      </c>
      <c r="CZ280" s="77"/>
      <c r="DA280" s="77"/>
      <c r="DB280" s="77"/>
      <c r="DC280" s="96">
        <v>26137.503428571428</v>
      </c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96"/>
    </row>
    <row r="281" spans="2:120" s="22" customFormat="1" hidden="1" outlineLevel="1" x14ac:dyDescent="0.35">
      <c r="B281" s="25" t="s">
        <v>224</v>
      </c>
      <c r="C281" s="75" t="s">
        <v>141</v>
      </c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80"/>
      <c r="Q281" s="77"/>
      <c r="R281" s="77"/>
      <c r="S281" s="77">
        <v>50</v>
      </c>
      <c r="T281" s="77"/>
      <c r="U281" s="77"/>
      <c r="V281" s="77"/>
      <c r="W281" s="77"/>
      <c r="X281" s="77"/>
      <c r="Y281" s="77"/>
      <c r="Z281" s="77"/>
      <c r="AA281" s="77"/>
      <c r="AB281" s="77"/>
      <c r="AC281" s="80">
        <v>50</v>
      </c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80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83"/>
      <c r="BD281" s="77"/>
      <c r="BE281" s="77"/>
      <c r="BF281" s="77">
        <v>675.0778225345515</v>
      </c>
      <c r="BG281" s="77"/>
      <c r="BH281" s="77"/>
      <c r="BI281" s="77"/>
      <c r="BJ281" s="77"/>
      <c r="BK281" s="77"/>
      <c r="BL281" s="77"/>
      <c r="BM281" s="77"/>
      <c r="BN281" s="77"/>
      <c r="BO281" s="77"/>
      <c r="BP281" s="83">
        <v>675.0778225345515</v>
      </c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83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96"/>
      <c r="CQ281" s="77"/>
      <c r="CR281" s="77"/>
      <c r="CS281" s="77">
        <v>24614.940332640334</v>
      </c>
      <c r="CT281" s="77"/>
      <c r="CU281" s="77"/>
      <c r="CV281" s="77"/>
      <c r="CW281" s="77"/>
      <c r="CX281" s="77"/>
      <c r="CY281" s="77"/>
      <c r="CZ281" s="77"/>
      <c r="DA281" s="77"/>
      <c r="DB281" s="77"/>
      <c r="DC281" s="96">
        <v>24614.940332640334</v>
      </c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96"/>
    </row>
    <row r="282" spans="2:120" s="22" customFormat="1" hidden="1" outlineLevel="1" x14ac:dyDescent="0.35">
      <c r="B282" s="25" t="s">
        <v>224</v>
      </c>
      <c r="C282" s="75" t="s">
        <v>225</v>
      </c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80"/>
      <c r="Q282" s="77"/>
      <c r="R282" s="77"/>
      <c r="S282" s="77"/>
      <c r="T282" s="77">
        <v>50</v>
      </c>
      <c r="U282" s="77"/>
      <c r="V282" s="77"/>
      <c r="W282" s="77"/>
      <c r="X282" s="77"/>
      <c r="Y282" s="77"/>
      <c r="Z282" s="77"/>
      <c r="AA282" s="77"/>
      <c r="AB282" s="77"/>
      <c r="AC282" s="80">
        <v>50</v>
      </c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80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83"/>
      <c r="BD282" s="77"/>
      <c r="BE282" s="77"/>
      <c r="BF282" s="77"/>
      <c r="BG282" s="77">
        <v>584.31430757246051</v>
      </c>
      <c r="BH282" s="77"/>
      <c r="BI282" s="77"/>
      <c r="BJ282" s="77"/>
      <c r="BK282" s="77"/>
      <c r="BL282" s="77"/>
      <c r="BM282" s="77"/>
      <c r="BN282" s="77"/>
      <c r="BO282" s="77"/>
      <c r="BP282" s="83">
        <v>584.31430757246051</v>
      </c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83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96"/>
      <c r="CQ282" s="77"/>
      <c r="CR282" s="77"/>
      <c r="CS282" s="77"/>
      <c r="CT282" s="77">
        <v>24894.067582697207</v>
      </c>
      <c r="CU282" s="77"/>
      <c r="CV282" s="77"/>
      <c r="CW282" s="77"/>
      <c r="CX282" s="77"/>
      <c r="CY282" s="77"/>
      <c r="CZ282" s="77"/>
      <c r="DA282" s="77"/>
      <c r="DB282" s="77"/>
      <c r="DC282" s="96">
        <v>24894.067582697207</v>
      </c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96"/>
    </row>
    <row r="283" spans="2:120" s="22" customFormat="1" hidden="1" outlineLevel="1" x14ac:dyDescent="0.35">
      <c r="B283" s="25" t="s">
        <v>224</v>
      </c>
      <c r="C283" s="75" t="s">
        <v>216</v>
      </c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80"/>
      <c r="Q283" s="77"/>
      <c r="R283" s="77">
        <v>750</v>
      </c>
      <c r="S283" s="77">
        <v>24000</v>
      </c>
      <c r="T283" s="77">
        <v>9000</v>
      </c>
      <c r="U283" s="77">
        <v>15750</v>
      </c>
      <c r="V283" s="77">
        <v>26250</v>
      </c>
      <c r="W283" s="77">
        <v>10500</v>
      </c>
      <c r="X283" s="77">
        <v>2250</v>
      </c>
      <c r="Y283" s="77"/>
      <c r="Z283" s="77">
        <v>6750</v>
      </c>
      <c r="AA283" s="77">
        <v>14250</v>
      </c>
      <c r="AB283" s="77">
        <v>9000</v>
      </c>
      <c r="AC283" s="80">
        <v>118500</v>
      </c>
      <c r="AD283" s="77"/>
      <c r="AE283" s="77"/>
      <c r="AF283" s="77">
        <v>1500</v>
      </c>
      <c r="AG283" s="77"/>
      <c r="AH283" s="77"/>
      <c r="AI283" s="77"/>
      <c r="AJ283" s="77"/>
      <c r="AK283" s="77"/>
      <c r="AL283" s="77"/>
      <c r="AM283" s="77"/>
      <c r="AN283" s="77"/>
      <c r="AO283" s="77"/>
      <c r="AP283" s="80">
        <v>1500</v>
      </c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83"/>
      <c r="BD283" s="77"/>
      <c r="BE283" s="77">
        <v>584.31989249325477</v>
      </c>
      <c r="BF283" s="77">
        <v>582.16697802715578</v>
      </c>
      <c r="BG283" s="77">
        <v>595.0398138271421</v>
      </c>
      <c r="BH283" s="77">
        <v>592.55309419153195</v>
      </c>
      <c r="BI283" s="77">
        <v>589.44192461815544</v>
      </c>
      <c r="BJ283" s="77">
        <v>607.0295123832268</v>
      </c>
      <c r="BK283" s="77">
        <v>591.88578033783938</v>
      </c>
      <c r="BL283" s="77"/>
      <c r="BM283" s="77">
        <v>593.36135090646064</v>
      </c>
      <c r="BN283" s="77">
        <v>592.99153552274277</v>
      </c>
      <c r="BO283" s="77">
        <v>593.68742053959534</v>
      </c>
      <c r="BP283" s="83">
        <v>591.35211511955481</v>
      </c>
      <c r="BQ283" s="77"/>
      <c r="BR283" s="77"/>
      <c r="BS283" s="77">
        <v>591.13585286570265</v>
      </c>
      <c r="BT283" s="77"/>
      <c r="BU283" s="77"/>
      <c r="BV283" s="77"/>
      <c r="BW283" s="77"/>
      <c r="BX283" s="77"/>
      <c r="BY283" s="77"/>
      <c r="BZ283" s="77"/>
      <c r="CA283" s="77"/>
      <c r="CB283" s="77"/>
      <c r="CC283" s="83">
        <v>591.13585286570265</v>
      </c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96"/>
      <c r="CQ283" s="77"/>
      <c r="CR283" s="77">
        <v>24582.532666666666</v>
      </c>
      <c r="CS283" s="77">
        <v>24614.94033264033</v>
      </c>
      <c r="CT283" s="77">
        <v>24894.067582697207</v>
      </c>
      <c r="CU283" s="77">
        <v>24939.546603174607</v>
      </c>
      <c r="CV283" s="77">
        <v>25347.980609523809</v>
      </c>
      <c r="CW283" s="77">
        <v>25294.295714285716</v>
      </c>
      <c r="CX283" s="77">
        <v>25975.443555555554</v>
      </c>
      <c r="CY283" s="77"/>
      <c r="CZ283" s="77">
        <v>17136.13688888889</v>
      </c>
      <c r="DA283" s="77">
        <v>14490.369754385963</v>
      </c>
      <c r="DB283" s="77">
        <v>13083.096111111112</v>
      </c>
      <c r="DC283" s="96">
        <v>22408.133643271256</v>
      </c>
      <c r="DD283" s="77"/>
      <c r="DE283" s="77"/>
      <c r="DF283" s="77">
        <v>13218.445</v>
      </c>
      <c r="DG283" s="77"/>
      <c r="DH283" s="77"/>
      <c r="DI283" s="77"/>
      <c r="DJ283" s="77"/>
      <c r="DK283" s="77"/>
      <c r="DL283" s="77"/>
      <c r="DM283" s="77"/>
      <c r="DN283" s="77"/>
      <c r="DO283" s="77"/>
      <c r="DP283" s="96">
        <v>13218.445</v>
      </c>
    </row>
    <row r="284" spans="2:120" s="22" customFormat="1" hidden="1" outlineLevel="1" x14ac:dyDescent="0.35">
      <c r="B284" s="25" t="s">
        <v>224</v>
      </c>
      <c r="C284" s="75" t="s">
        <v>25</v>
      </c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80"/>
      <c r="Q284" s="77"/>
      <c r="R284" s="77"/>
      <c r="S284" s="77"/>
      <c r="T284" s="77">
        <v>25</v>
      </c>
      <c r="U284" s="77"/>
      <c r="V284" s="77"/>
      <c r="W284" s="77"/>
      <c r="X284" s="77"/>
      <c r="Y284" s="77"/>
      <c r="Z284" s="77"/>
      <c r="AA284" s="77"/>
      <c r="AB284" s="77"/>
      <c r="AC284" s="80">
        <v>25</v>
      </c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80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83"/>
      <c r="BD284" s="77"/>
      <c r="BE284" s="77"/>
      <c r="BF284" s="77"/>
      <c r="BG284" s="77">
        <v>584.31430757246051</v>
      </c>
      <c r="BH284" s="77"/>
      <c r="BI284" s="77"/>
      <c r="BJ284" s="77"/>
      <c r="BK284" s="77"/>
      <c r="BL284" s="77"/>
      <c r="BM284" s="77"/>
      <c r="BN284" s="77"/>
      <c r="BO284" s="77"/>
      <c r="BP284" s="83">
        <v>584.31430757246051</v>
      </c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83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96"/>
      <c r="CQ284" s="77"/>
      <c r="CR284" s="77"/>
      <c r="CS284" s="77"/>
      <c r="CT284" s="77">
        <v>24894.067582697207</v>
      </c>
      <c r="CU284" s="77"/>
      <c r="CV284" s="77"/>
      <c r="CW284" s="77"/>
      <c r="CX284" s="77"/>
      <c r="CY284" s="77"/>
      <c r="CZ284" s="77"/>
      <c r="DA284" s="77"/>
      <c r="DB284" s="77"/>
      <c r="DC284" s="96">
        <v>24894.067582697207</v>
      </c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96"/>
    </row>
    <row r="285" spans="2:120" s="22" customFormat="1" hidden="1" outlineLevel="1" x14ac:dyDescent="0.35">
      <c r="B285" s="25" t="s">
        <v>224</v>
      </c>
      <c r="C285" s="75" t="s">
        <v>210</v>
      </c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80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80"/>
      <c r="AD285" s="77"/>
      <c r="AE285" s="77">
        <v>3750</v>
      </c>
      <c r="AF285" s="77">
        <v>1500</v>
      </c>
      <c r="AG285" s="77"/>
      <c r="AH285" s="77"/>
      <c r="AI285" s="77"/>
      <c r="AJ285" s="77"/>
      <c r="AK285" s="77"/>
      <c r="AL285" s="77"/>
      <c r="AM285" s="77"/>
      <c r="AN285" s="77"/>
      <c r="AO285" s="77"/>
      <c r="AP285" s="80">
        <v>5250</v>
      </c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83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83"/>
      <c r="BQ285" s="77"/>
      <c r="BR285" s="77">
        <v>597.85115414639597</v>
      </c>
      <c r="BS285" s="77">
        <v>592.69029948575417</v>
      </c>
      <c r="BT285" s="77"/>
      <c r="BU285" s="77"/>
      <c r="BV285" s="77"/>
      <c r="BW285" s="77"/>
      <c r="BX285" s="77"/>
      <c r="BY285" s="77"/>
      <c r="BZ285" s="77"/>
      <c r="CA285" s="77"/>
      <c r="CB285" s="77"/>
      <c r="CC285" s="83">
        <v>596.37662424335542</v>
      </c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96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96"/>
      <c r="DD285" s="77"/>
      <c r="DE285" s="77">
        <v>13184.28</v>
      </c>
      <c r="DF285" s="77">
        <v>13218.445</v>
      </c>
      <c r="DG285" s="77"/>
      <c r="DH285" s="77"/>
      <c r="DI285" s="77"/>
      <c r="DJ285" s="77"/>
      <c r="DK285" s="77"/>
      <c r="DL285" s="77"/>
      <c r="DM285" s="77"/>
      <c r="DN285" s="77"/>
      <c r="DO285" s="77"/>
      <c r="DP285" s="96">
        <v>13194.041428571429</v>
      </c>
    </row>
    <row r="286" spans="2:120" s="22" customFormat="1" hidden="1" outlineLevel="1" x14ac:dyDescent="0.35">
      <c r="B286" s="25" t="s">
        <v>224</v>
      </c>
      <c r="C286" s="75" t="s">
        <v>211</v>
      </c>
      <c r="D286" s="77">
        <v>2250</v>
      </c>
      <c r="E286" s="77">
        <v>7500</v>
      </c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80">
        <v>9750</v>
      </c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80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80"/>
      <c r="AQ286" s="77">
        <v>824.93676363550753</v>
      </c>
      <c r="AR286" s="77">
        <v>821.06460594461157</v>
      </c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83">
        <v>821.95818079635683</v>
      </c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83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83"/>
      <c r="CD286" s="77">
        <v>22443.587555555554</v>
      </c>
      <c r="CE286" s="77">
        <v>22562.298814814814</v>
      </c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96">
        <v>22534.903908831911</v>
      </c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96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96"/>
    </row>
    <row r="287" spans="2:120" s="22" customFormat="1" hidden="1" outlineLevel="1" x14ac:dyDescent="0.35">
      <c r="B287" s="25" t="s">
        <v>224</v>
      </c>
      <c r="C287" s="75" t="s">
        <v>226</v>
      </c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>
        <v>325</v>
      </c>
      <c r="O287" s="77"/>
      <c r="P287" s="80">
        <v>325</v>
      </c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80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80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>
        <v>849.00627841851383</v>
      </c>
      <c r="BB287" s="77"/>
      <c r="BC287" s="83">
        <v>849.00627841851383</v>
      </c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83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83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>
        <v>24716.273846153847</v>
      </c>
      <c r="CO287" s="77"/>
      <c r="CP287" s="96">
        <v>24716.273846153847</v>
      </c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96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96"/>
    </row>
    <row r="288" spans="2:120" s="22" customFormat="1" hidden="1" outlineLevel="1" x14ac:dyDescent="0.35">
      <c r="B288" s="25" t="s">
        <v>224</v>
      </c>
      <c r="C288" s="75" t="s">
        <v>222</v>
      </c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80"/>
      <c r="Q288" s="77"/>
      <c r="R288" s="77"/>
      <c r="S288" s="77"/>
      <c r="T288" s="77">
        <v>750</v>
      </c>
      <c r="U288" s="77"/>
      <c r="V288" s="77"/>
      <c r="W288" s="77"/>
      <c r="X288" s="77"/>
      <c r="Y288" s="77"/>
      <c r="Z288" s="77"/>
      <c r="AA288" s="77"/>
      <c r="AB288" s="77"/>
      <c r="AC288" s="80">
        <v>750</v>
      </c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80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83"/>
      <c r="BD288" s="77"/>
      <c r="BE288" s="77"/>
      <c r="BF288" s="77"/>
      <c r="BG288" s="77">
        <v>604.41772085985792</v>
      </c>
      <c r="BH288" s="77"/>
      <c r="BI288" s="77"/>
      <c r="BJ288" s="77"/>
      <c r="BK288" s="77"/>
      <c r="BL288" s="77"/>
      <c r="BM288" s="77"/>
      <c r="BN288" s="77"/>
      <c r="BO288" s="77"/>
      <c r="BP288" s="83">
        <v>604.41772085985792</v>
      </c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83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96"/>
      <c r="CQ288" s="77"/>
      <c r="CR288" s="77"/>
      <c r="CS288" s="77"/>
      <c r="CT288" s="77">
        <v>24894.067582697207</v>
      </c>
      <c r="CU288" s="77"/>
      <c r="CV288" s="77"/>
      <c r="CW288" s="77"/>
      <c r="CX288" s="77"/>
      <c r="CY288" s="77"/>
      <c r="CZ288" s="77"/>
      <c r="DA288" s="77"/>
      <c r="DB288" s="77"/>
      <c r="DC288" s="96">
        <v>24894.067582697207</v>
      </c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96"/>
    </row>
    <row r="289" spans="2:120" s="22" customFormat="1" hidden="1" collapsed="1" x14ac:dyDescent="0.35">
      <c r="B289" s="106" t="s">
        <v>227</v>
      </c>
      <c r="C289" s="76"/>
      <c r="D289" s="78">
        <v>2250</v>
      </c>
      <c r="E289" s="78">
        <v>27000</v>
      </c>
      <c r="F289" s="78"/>
      <c r="G289" s="78"/>
      <c r="H289" s="78"/>
      <c r="I289" s="78"/>
      <c r="J289" s="78"/>
      <c r="K289" s="78"/>
      <c r="L289" s="78"/>
      <c r="M289" s="78"/>
      <c r="N289" s="78">
        <v>325</v>
      </c>
      <c r="O289" s="78"/>
      <c r="P289" s="81">
        <v>29575</v>
      </c>
      <c r="Q289" s="78"/>
      <c r="R289" s="78">
        <v>1500</v>
      </c>
      <c r="S289" s="78">
        <v>24050</v>
      </c>
      <c r="T289" s="78">
        <v>9825</v>
      </c>
      <c r="U289" s="78">
        <v>15750</v>
      </c>
      <c r="V289" s="78">
        <v>26250</v>
      </c>
      <c r="W289" s="78">
        <v>10500</v>
      </c>
      <c r="X289" s="78">
        <v>2250</v>
      </c>
      <c r="Y289" s="78">
        <v>5250</v>
      </c>
      <c r="Z289" s="78">
        <v>6750</v>
      </c>
      <c r="AA289" s="78">
        <v>14250</v>
      </c>
      <c r="AB289" s="78">
        <v>9000</v>
      </c>
      <c r="AC289" s="81">
        <v>125375</v>
      </c>
      <c r="AD289" s="78"/>
      <c r="AE289" s="78">
        <v>3750</v>
      </c>
      <c r="AF289" s="78">
        <v>3000</v>
      </c>
      <c r="AG289" s="78"/>
      <c r="AH289" s="78"/>
      <c r="AI289" s="78"/>
      <c r="AJ289" s="78"/>
      <c r="AK289" s="78"/>
      <c r="AL289" s="78"/>
      <c r="AM289" s="78"/>
      <c r="AN289" s="78"/>
      <c r="AO289" s="78"/>
      <c r="AP289" s="81">
        <v>6750</v>
      </c>
      <c r="AQ289" s="78">
        <v>824.93676363550753</v>
      </c>
      <c r="AR289" s="78">
        <v>848.39344081434331</v>
      </c>
      <c r="AS289" s="78"/>
      <c r="AT289" s="78"/>
      <c r="AU289" s="78"/>
      <c r="AV289" s="78"/>
      <c r="AW289" s="78"/>
      <c r="AX289" s="78"/>
      <c r="AY289" s="78"/>
      <c r="AZ289" s="78"/>
      <c r="BA289" s="78">
        <v>849.00627841851383</v>
      </c>
      <c r="BB289" s="78"/>
      <c r="BC289" s="84">
        <v>846.61564364000594</v>
      </c>
      <c r="BD289" s="78"/>
      <c r="BE289" s="78">
        <v>635.10049311350895</v>
      </c>
      <c r="BF289" s="78">
        <v>582.36013986604848</v>
      </c>
      <c r="BG289" s="78">
        <v>595.67381049945106</v>
      </c>
      <c r="BH289" s="78">
        <v>592.55309419153195</v>
      </c>
      <c r="BI289" s="78">
        <v>589.44192461815544</v>
      </c>
      <c r="BJ289" s="78">
        <v>607.0295123832268</v>
      </c>
      <c r="BK289" s="78">
        <v>591.88578033783938</v>
      </c>
      <c r="BL289" s="78">
        <v>609.83931627523339</v>
      </c>
      <c r="BM289" s="78">
        <v>593.36135090646064</v>
      </c>
      <c r="BN289" s="78">
        <v>592.99153552274277</v>
      </c>
      <c r="BO289" s="78">
        <v>593.68742053959534</v>
      </c>
      <c r="BP289" s="84">
        <v>592.79907180260909</v>
      </c>
      <c r="BQ289" s="78"/>
      <c r="BR289" s="78">
        <v>597.85115414639597</v>
      </c>
      <c r="BS289" s="78">
        <v>591.91307617572841</v>
      </c>
      <c r="BT289" s="78"/>
      <c r="BU289" s="78"/>
      <c r="BV289" s="78"/>
      <c r="BW289" s="78"/>
      <c r="BX289" s="78"/>
      <c r="BY289" s="78"/>
      <c r="BZ289" s="78"/>
      <c r="CA289" s="78"/>
      <c r="CB289" s="78"/>
      <c r="CC289" s="84">
        <v>595.21200838165475</v>
      </c>
      <c r="CD289" s="78">
        <v>22443.587555555554</v>
      </c>
      <c r="CE289" s="78">
        <v>22562.298814814814</v>
      </c>
      <c r="CF289" s="78"/>
      <c r="CG289" s="78"/>
      <c r="CH289" s="78"/>
      <c r="CI289" s="78"/>
      <c r="CJ289" s="78"/>
      <c r="CK289" s="78"/>
      <c r="CL289" s="78"/>
      <c r="CM289" s="78"/>
      <c r="CN289" s="78">
        <v>24716.273846153847</v>
      </c>
      <c r="CO289" s="78"/>
      <c r="CP289" s="97">
        <v>22576.937582417584</v>
      </c>
      <c r="CQ289" s="78"/>
      <c r="CR289" s="78">
        <v>24582.532666666666</v>
      </c>
      <c r="CS289" s="78">
        <v>24614.940332640326</v>
      </c>
      <c r="CT289" s="78">
        <v>24894.067582697204</v>
      </c>
      <c r="CU289" s="78">
        <v>24939.546603174607</v>
      </c>
      <c r="CV289" s="78">
        <v>25347.980609523809</v>
      </c>
      <c r="CW289" s="78">
        <v>25294.295714285716</v>
      </c>
      <c r="CX289" s="78">
        <v>25975.443555555554</v>
      </c>
      <c r="CY289" s="78">
        <v>26137.503428571428</v>
      </c>
      <c r="CZ289" s="78">
        <v>17136.13688888889</v>
      </c>
      <c r="DA289" s="78">
        <v>14490.369754385963</v>
      </c>
      <c r="DB289" s="78">
        <v>13083.096111111112</v>
      </c>
      <c r="DC289" s="97">
        <v>22594.54422333002</v>
      </c>
      <c r="DD289" s="78"/>
      <c r="DE289" s="78">
        <v>13184.28</v>
      </c>
      <c r="DF289" s="78">
        <v>13218.445</v>
      </c>
      <c r="DG289" s="78"/>
      <c r="DH289" s="78"/>
      <c r="DI289" s="78"/>
      <c r="DJ289" s="78"/>
      <c r="DK289" s="78"/>
      <c r="DL289" s="78"/>
      <c r="DM289" s="78"/>
      <c r="DN289" s="78"/>
      <c r="DO289" s="78"/>
      <c r="DP289" s="97">
        <v>13199.464444444444</v>
      </c>
    </row>
    <row r="290" spans="2:120" s="22" customFormat="1" hidden="1" outlineLevel="1" x14ac:dyDescent="0.35">
      <c r="B290" s="25" t="s">
        <v>228</v>
      </c>
      <c r="C290" s="75" t="s">
        <v>147</v>
      </c>
      <c r="D290" s="77"/>
      <c r="E290" s="77"/>
      <c r="F290" s="77"/>
      <c r="G290" s="77"/>
      <c r="H290" s="77"/>
      <c r="I290" s="77"/>
      <c r="J290" s="77"/>
      <c r="K290" s="77"/>
      <c r="L290" s="77"/>
      <c r="M290" s="77">
        <v>5250</v>
      </c>
      <c r="N290" s="77"/>
      <c r="O290" s="77"/>
      <c r="P290" s="80">
        <v>5250</v>
      </c>
      <c r="Q290" s="77"/>
      <c r="R290" s="77"/>
      <c r="S290" s="77"/>
      <c r="T290" s="77"/>
      <c r="U290" s="77"/>
      <c r="V290" s="77"/>
      <c r="W290" s="77"/>
      <c r="X290" s="77"/>
      <c r="Y290" s="77"/>
      <c r="Z290" s="77">
        <v>5250</v>
      </c>
      <c r="AA290" s="77"/>
      <c r="AB290" s="77"/>
      <c r="AC290" s="80">
        <v>5250</v>
      </c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80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>
        <v>818.67803326873684</v>
      </c>
      <c r="BA290" s="77"/>
      <c r="BB290" s="77"/>
      <c r="BC290" s="83">
        <v>818.67803326873684</v>
      </c>
      <c r="BD290" s="77"/>
      <c r="BE290" s="77"/>
      <c r="BF290" s="77"/>
      <c r="BG290" s="77"/>
      <c r="BH290" s="77"/>
      <c r="BI290" s="77"/>
      <c r="BJ290" s="77"/>
      <c r="BK290" s="77"/>
      <c r="BL290" s="77"/>
      <c r="BM290" s="77">
        <v>611.05115244224362</v>
      </c>
      <c r="BN290" s="77"/>
      <c r="BO290" s="77"/>
      <c r="BP290" s="83">
        <v>611.05115244224362</v>
      </c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83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>
        <v>25000.980190476192</v>
      </c>
      <c r="CN290" s="77"/>
      <c r="CO290" s="77"/>
      <c r="CP290" s="96">
        <v>25000.980190476192</v>
      </c>
      <c r="CQ290" s="77"/>
      <c r="CR290" s="77"/>
      <c r="CS290" s="77"/>
      <c r="CT290" s="77"/>
      <c r="CU290" s="77"/>
      <c r="CV290" s="77"/>
      <c r="CW290" s="77"/>
      <c r="CX290" s="77"/>
      <c r="CY290" s="77"/>
      <c r="CZ290" s="77">
        <v>21317.835809523811</v>
      </c>
      <c r="DA290" s="77"/>
      <c r="DB290" s="77"/>
      <c r="DC290" s="96">
        <v>21317.835809523811</v>
      </c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96"/>
    </row>
    <row r="291" spans="2:120" s="22" customFormat="1" hidden="1" outlineLevel="1" x14ac:dyDescent="0.35">
      <c r="B291" s="25" t="s">
        <v>228</v>
      </c>
      <c r="C291" s="75" t="s">
        <v>141</v>
      </c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80"/>
      <c r="Q291" s="77"/>
      <c r="R291" s="77"/>
      <c r="S291" s="77">
        <v>10550</v>
      </c>
      <c r="T291" s="77"/>
      <c r="U291" s="77">
        <v>5250</v>
      </c>
      <c r="V291" s="77"/>
      <c r="W291" s="77"/>
      <c r="X291" s="77"/>
      <c r="Y291" s="77"/>
      <c r="Z291" s="77"/>
      <c r="AA291" s="77"/>
      <c r="AB291" s="77"/>
      <c r="AC291" s="80">
        <v>15800</v>
      </c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80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83"/>
      <c r="BD291" s="77"/>
      <c r="BE291" s="77"/>
      <c r="BF291" s="77">
        <v>629.82036248254974</v>
      </c>
      <c r="BG291" s="77"/>
      <c r="BH291" s="77">
        <v>616.97737150130263</v>
      </c>
      <c r="BI291" s="77"/>
      <c r="BJ291" s="77"/>
      <c r="BK291" s="77"/>
      <c r="BL291" s="77"/>
      <c r="BM291" s="77"/>
      <c r="BN291" s="77"/>
      <c r="BO291" s="77"/>
      <c r="BP291" s="83">
        <v>625.55291294764163</v>
      </c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83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96"/>
      <c r="CQ291" s="77"/>
      <c r="CR291" s="77"/>
      <c r="CS291" s="77">
        <v>24989.932262773724</v>
      </c>
      <c r="CT291" s="77"/>
      <c r="CU291" s="77">
        <v>25061.061714285715</v>
      </c>
      <c r="CV291" s="77"/>
      <c r="CW291" s="77"/>
      <c r="CX291" s="77"/>
      <c r="CY291" s="77"/>
      <c r="CZ291" s="77"/>
      <c r="DA291" s="77"/>
      <c r="DB291" s="77"/>
      <c r="DC291" s="96">
        <v>25013.56704887739</v>
      </c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96"/>
    </row>
    <row r="292" spans="2:120" s="22" customFormat="1" hidden="1" outlineLevel="1" x14ac:dyDescent="0.35">
      <c r="B292" s="25" t="s">
        <v>228</v>
      </c>
      <c r="C292" s="75" t="s">
        <v>216</v>
      </c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80"/>
      <c r="Q292" s="77"/>
      <c r="R292" s="77">
        <v>750</v>
      </c>
      <c r="S292" s="77"/>
      <c r="T292" s="77">
        <v>3000</v>
      </c>
      <c r="U292" s="77">
        <v>10500</v>
      </c>
      <c r="V292" s="77">
        <v>5250</v>
      </c>
      <c r="W292" s="77"/>
      <c r="X292" s="77">
        <v>5250</v>
      </c>
      <c r="Y292" s="77"/>
      <c r="Z292" s="77">
        <v>5250</v>
      </c>
      <c r="AA292" s="77">
        <v>4500</v>
      </c>
      <c r="AB292" s="77"/>
      <c r="AC292" s="80">
        <v>34500</v>
      </c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80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83"/>
      <c r="BD292" s="77"/>
      <c r="BE292" s="77">
        <v>584.31989249325477</v>
      </c>
      <c r="BF292" s="77"/>
      <c r="BG292" s="77">
        <v>595.0398138271421</v>
      </c>
      <c r="BH292" s="77">
        <v>592.55309419153207</v>
      </c>
      <c r="BI292" s="77">
        <v>589.44192461815544</v>
      </c>
      <c r="BJ292" s="77"/>
      <c r="BK292" s="77">
        <v>593.87567211892144</v>
      </c>
      <c r="BL292" s="77"/>
      <c r="BM292" s="77">
        <v>593.36135899322858</v>
      </c>
      <c r="BN292" s="77">
        <v>592.9915399888323</v>
      </c>
      <c r="BO292" s="77"/>
      <c r="BP292" s="83">
        <v>592.49835644626955</v>
      </c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83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96"/>
      <c r="CQ292" s="77"/>
      <c r="CR292" s="77">
        <v>24952.845333333335</v>
      </c>
      <c r="CS292" s="77"/>
      <c r="CT292" s="77">
        <v>25020.585785123963</v>
      </c>
      <c r="CU292" s="77">
        <v>25061.061714285715</v>
      </c>
      <c r="CV292" s="77">
        <v>25097.693142857144</v>
      </c>
      <c r="CW292" s="77"/>
      <c r="CX292" s="77">
        <v>25286.817714285717</v>
      </c>
      <c r="CY292" s="77"/>
      <c r="CZ292" s="77">
        <v>21317.835809523807</v>
      </c>
      <c r="DA292" s="77">
        <v>19526.986888888889</v>
      </c>
      <c r="DB292" s="77"/>
      <c r="DC292" s="96">
        <v>23803.660879865849</v>
      </c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96"/>
    </row>
    <row r="293" spans="2:120" s="22" customFormat="1" hidden="1" outlineLevel="1" x14ac:dyDescent="0.35">
      <c r="B293" s="25" t="s">
        <v>228</v>
      </c>
      <c r="C293" s="75" t="s">
        <v>25</v>
      </c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80"/>
      <c r="Q293" s="77"/>
      <c r="R293" s="77"/>
      <c r="S293" s="77"/>
      <c r="T293" s="77">
        <v>25</v>
      </c>
      <c r="U293" s="77"/>
      <c r="V293" s="77"/>
      <c r="W293" s="77"/>
      <c r="X293" s="77"/>
      <c r="Y293" s="77"/>
      <c r="Z293" s="77"/>
      <c r="AA293" s="77"/>
      <c r="AB293" s="77"/>
      <c r="AC293" s="80">
        <v>25</v>
      </c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80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83"/>
      <c r="BD293" s="77"/>
      <c r="BE293" s="77"/>
      <c r="BF293" s="77"/>
      <c r="BG293" s="77">
        <v>584.31430757246051</v>
      </c>
      <c r="BH293" s="77"/>
      <c r="BI293" s="77"/>
      <c r="BJ293" s="77"/>
      <c r="BK293" s="77"/>
      <c r="BL293" s="77"/>
      <c r="BM293" s="77"/>
      <c r="BN293" s="77"/>
      <c r="BO293" s="77"/>
      <c r="BP293" s="83">
        <v>584.31430757246051</v>
      </c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83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96"/>
      <c r="CQ293" s="77"/>
      <c r="CR293" s="77"/>
      <c r="CS293" s="77"/>
      <c r="CT293" s="77">
        <v>25020.585785123971</v>
      </c>
      <c r="CU293" s="77"/>
      <c r="CV293" s="77"/>
      <c r="CW293" s="77"/>
      <c r="CX293" s="77"/>
      <c r="CY293" s="77"/>
      <c r="CZ293" s="77"/>
      <c r="DA293" s="77"/>
      <c r="DB293" s="77"/>
      <c r="DC293" s="96">
        <v>25020.585785123971</v>
      </c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96"/>
    </row>
    <row r="294" spans="2:120" s="22" customFormat="1" hidden="1" outlineLevel="1" x14ac:dyDescent="0.35">
      <c r="B294" s="25" t="s">
        <v>228</v>
      </c>
      <c r="C294" s="75" t="s">
        <v>210</v>
      </c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80"/>
      <c r="Q294" s="77"/>
      <c r="R294" s="77">
        <v>750</v>
      </c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80">
        <v>750</v>
      </c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80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83"/>
      <c r="BD294" s="77"/>
      <c r="BE294" s="77">
        <v>622.85010320627975</v>
      </c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83">
        <v>622.85010320627975</v>
      </c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83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96"/>
      <c r="CQ294" s="77"/>
      <c r="CR294" s="77">
        <v>24952.845333333335</v>
      </c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96">
        <v>24952.845333333335</v>
      </c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96"/>
    </row>
    <row r="295" spans="2:120" s="22" customFormat="1" hidden="1" outlineLevel="1" x14ac:dyDescent="0.35">
      <c r="B295" s="25" t="s">
        <v>228</v>
      </c>
      <c r="C295" s="75" t="s">
        <v>221</v>
      </c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80"/>
      <c r="Q295" s="77"/>
      <c r="R295" s="77"/>
      <c r="S295" s="77">
        <v>10000</v>
      </c>
      <c r="T295" s="77"/>
      <c r="U295" s="77"/>
      <c r="V295" s="77"/>
      <c r="W295" s="77"/>
      <c r="X295" s="77"/>
      <c r="Y295" s="77"/>
      <c r="Z295" s="77"/>
      <c r="AA295" s="77"/>
      <c r="AB295" s="77"/>
      <c r="AC295" s="80">
        <v>10000</v>
      </c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80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83"/>
      <c r="BD295" s="77"/>
      <c r="BE295" s="77"/>
      <c r="BF295" s="77">
        <v>565.95391352375236</v>
      </c>
      <c r="BG295" s="77"/>
      <c r="BH295" s="77"/>
      <c r="BI295" s="77"/>
      <c r="BJ295" s="77"/>
      <c r="BK295" s="77"/>
      <c r="BL295" s="77"/>
      <c r="BM295" s="77"/>
      <c r="BN295" s="77"/>
      <c r="BO295" s="77"/>
      <c r="BP295" s="83">
        <v>565.95391352375236</v>
      </c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83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96"/>
      <c r="CQ295" s="77"/>
      <c r="CR295" s="77"/>
      <c r="CS295" s="77">
        <v>24989.932262773724</v>
      </c>
      <c r="CT295" s="77"/>
      <c r="CU295" s="77"/>
      <c r="CV295" s="77"/>
      <c r="CW295" s="77"/>
      <c r="CX295" s="77"/>
      <c r="CY295" s="77"/>
      <c r="CZ295" s="77"/>
      <c r="DA295" s="77"/>
      <c r="DB295" s="77"/>
      <c r="DC295" s="96">
        <v>24989.932262773724</v>
      </c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96"/>
    </row>
    <row r="296" spans="2:120" s="22" customFormat="1" hidden="1" outlineLevel="1" x14ac:dyDescent="0.35">
      <c r="B296" s="25" t="s">
        <v>228</v>
      </c>
      <c r="C296" s="75" t="s">
        <v>211</v>
      </c>
      <c r="D296" s="77"/>
      <c r="E296" s="77"/>
      <c r="F296" s="77">
        <v>6000</v>
      </c>
      <c r="G296" s="77">
        <v>9000</v>
      </c>
      <c r="H296" s="77"/>
      <c r="I296" s="77"/>
      <c r="J296" s="77"/>
      <c r="K296" s="77"/>
      <c r="L296" s="77"/>
      <c r="M296" s="77"/>
      <c r="N296" s="77"/>
      <c r="O296" s="77"/>
      <c r="P296" s="80">
        <v>15000</v>
      </c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80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80"/>
      <c r="AQ296" s="77"/>
      <c r="AR296" s="77"/>
      <c r="AS296" s="77">
        <v>888.01464220904495</v>
      </c>
      <c r="AT296" s="77">
        <v>870.75006701765585</v>
      </c>
      <c r="AU296" s="77"/>
      <c r="AV296" s="77"/>
      <c r="AW296" s="77"/>
      <c r="AX296" s="77"/>
      <c r="AY296" s="77"/>
      <c r="AZ296" s="77"/>
      <c r="BA296" s="77"/>
      <c r="BB296" s="77"/>
      <c r="BC296" s="83">
        <v>877.65589709421147</v>
      </c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83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83"/>
      <c r="CD296" s="77"/>
      <c r="CE296" s="77"/>
      <c r="CF296" s="77">
        <v>24789.491666666665</v>
      </c>
      <c r="CG296" s="77">
        <v>24886.551666666666</v>
      </c>
      <c r="CH296" s="77"/>
      <c r="CI296" s="77"/>
      <c r="CJ296" s="77"/>
      <c r="CK296" s="77"/>
      <c r="CL296" s="77"/>
      <c r="CM296" s="77"/>
      <c r="CN296" s="77"/>
      <c r="CO296" s="77"/>
      <c r="CP296" s="96">
        <v>24847.727666666666</v>
      </c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96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96"/>
    </row>
    <row r="297" spans="2:120" s="22" customFormat="1" hidden="1" collapsed="1" x14ac:dyDescent="0.35">
      <c r="B297" s="106" t="s">
        <v>229</v>
      </c>
      <c r="C297" s="76"/>
      <c r="D297" s="78"/>
      <c r="E297" s="78"/>
      <c r="F297" s="78">
        <v>6000</v>
      </c>
      <c r="G297" s="78">
        <v>9000</v>
      </c>
      <c r="H297" s="78"/>
      <c r="I297" s="78"/>
      <c r="J297" s="78"/>
      <c r="K297" s="78"/>
      <c r="L297" s="78"/>
      <c r="M297" s="78">
        <v>5250</v>
      </c>
      <c r="N297" s="78"/>
      <c r="O297" s="78"/>
      <c r="P297" s="81">
        <v>20250</v>
      </c>
      <c r="Q297" s="78"/>
      <c r="R297" s="78">
        <v>1500</v>
      </c>
      <c r="S297" s="78">
        <v>20550</v>
      </c>
      <c r="T297" s="78">
        <v>3025</v>
      </c>
      <c r="U297" s="78">
        <v>15750</v>
      </c>
      <c r="V297" s="78">
        <v>5250</v>
      </c>
      <c r="W297" s="78"/>
      <c r="X297" s="78">
        <v>5250</v>
      </c>
      <c r="Y297" s="78"/>
      <c r="Z297" s="78">
        <v>10500</v>
      </c>
      <c r="AA297" s="78">
        <v>4500</v>
      </c>
      <c r="AB297" s="78"/>
      <c r="AC297" s="81">
        <v>66325</v>
      </c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81"/>
      <c r="AQ297" s="78"/>
      <c r="AR297" s="78"/>
      <c r="AS297" s="78">
        <v>888.01464220904495</v>
      </c>
      <c r="AT297" s="78">
        <v>870.75006701765585</v>
      </c>
      <c r="AU297" s="78"/>
      <c r="AV297" s="78"/>
      <c r="AW297" s="78"/>
      <c r="AX297" s="78"/>
      <c r="AY297" s="78"/>
      <c r="AZ297" s="78">
        <v>818.67803326873684</v>
      </c>
      <c r="BA297" s="78"/>
      <c r="BB297" s="78"/>
      <c r="BC297" s="84">
        <v>862.36533980612546</v>
      </c>
      <c r="BD297" s="78"/>
      <c r="BE297" s="78">
        <v>603.58499784976732</v>
      </c>
      <c r="BF297" s="78">
        <v>598.74179851233202</v>
      </c>
      <c r="BG297" s="78">
        <v>594.95117327958269</v>
      </c>
      <c r="BH297" s="78">
        <v>600.69451996145563</v>
      </c>
      <c r="BI297" s="78">
        <v>589.44192461815544</v>
      </c>
      <c r="BJ297" s="78"/>
      <c r="BK297" s="78">
        <v>593.87567211892144</v>
      </c>
      <c r="BL297" s="78"/>
      <c r="BM297" s="78">
        <v>602.2062557177361</v>
      </c>
      <c r="BN297" s="78">
        <v>592.9915399888323</v>
      </c>
      <c r="BO297" s="78"/>
      <c r="BP297" s="84">
        <v>598.17915480772524</v>
      </c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84"/>
      <c r="CD297" s="78"/>
      <c r="CE297" s="78"/>
      <c r="CF297" s="78">
        <v>24789.491666666665</v>
      </c>
      <c r="CG297" s="78">
        <v>24886.551666666666</v>
      </c>
      <c r="CH297" s="78"/>
      <c r="CI297" s="78"/>
      <c r="CJ297" s="78"/>
      <c r="CK297" s="78"/>
      <c r="CL297" s="78"/>
      <c r="CM297" s="78">
        <v>25000.980190476192</v>
      </c>
      <c r="CN297" s="78"/>
      <c r="CO297" s="78"/>
      <c r="CP297" s="97">
        <v>24887.459802469137</v>
      </c>
      <c r="CQ297" s="78"/>
      <c r="CR297" s="78">
        <v>24952.845333333335</v>
      </c>
      <c r="CS297" s="78">
        <v>24989.93226277372</v>
      </c>
      <c r="CT297" s="78">
        <v>25020.585785123963</v>
      </c>
      <c r="CU297" s="78">
        <v>25061.061714285715</v>
      </c>
      <c r="CV297" s="78">
        <v>25097.693142857144</v>
      </c>
      <c r="CW297" s="78"/>
      <c r="CX297" s="78">
        <v>25286.817714285717</v>
      </c>
      <c r="CY297" s="78"/>
      <c r="CZ297" s="78">
        <v>21317.835809523811</v>
      </c>
      <c r="DA297" s="78">
        <v>19526.986888888889</v>
      </c>
      <c r="DB297" s="78"/>
      <c r="DC297" s="97">
        <v>24087.429611760275</v>
      </c>
      <c r="DD297" s="78"/>
      <c r="DE297" s="78"/>
      <c r="DF297" s="78"/>
      <c r="DG297" s="78"/>
      <c r="DH297" s="78"/>
      <c r="DI297" s="78"/>
      <c r="DJ297" s="78"/>
      <c r="DK297" s="78"/>
      <c r="DL297" s="78"/>
      <c r="DM297" s="78"/>
      <c r="DN297" s="78"/>
      <c r="DO297" s="78"/>
      <c r="DP297" s="97"/>
    </row>
    <row r="298" spans="2:120" s="22" customFormat="1" hidden="1" outlineLevel="1" x14ac:dyDescent="0.35">
      <c r="B298" s="25" t="s">
        <v>230</v>
      </c>
      <c r="C298" s="75" t="s">
        <v>231</v>
      </c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80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80"/>
      <c r="AD298" s="77">
        <v>2250</v>
      </c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80">
        <v>2250</v>
      </c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83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83"/>
      <c r="BQ298" s="77">
        <v>495.55524540123508</v>
      </c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83">
        <v>495.55524540123508</v>
      </c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96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96"/>
      <c r="DD298" s="77">
        <v>14493.268444444444</v>
      </c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96">
        <v>14493.268444444444</v>
      </c>
    </row>
    <row r="299" spans="2:120" s="22" customFormat="1" hidden="1" outlineLevel="1" x14ac:dyDescent="0.35">
      <c r="B299" s="25" t="s">
        <v>230</v>
      </c>
      <c r="C299" s="75" t="s">
        <v>141</v>
      </c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80"/>
      <c r="Q299" s="77"/>
      <c r="R299" s="77"/>
      <c r="S299" s="77"/>
      <c r="T299" s="77"/>
      <c r="U299" s="77"/>
      <c r="V299" s="77">
        <v>28000</v>
      </c>
      <c r="W299" s="77"/>
      <c r="X299" s="77">
        <v>-3500</v>
      </c>
      <c r="Y299" s="77"/>
      <c r="Z299" s="77"/>
      <c r="AA299" s="77"/>
      <c r="AB299" s="77"/>
      <c r="AC299" s="80">
        <v>24500</v>
      </c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80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83"/>
      <c r="BD299" s="77"/>
      <c r="BE299" s="77"/>
      <c r="BF299" s="77"/>
      <c r="BG299" s="77"/>
      <c r="BH299" s="77"/>
      <c r="BI299" s="77">
        <v>491.38838108350484</v>
      </c>
      <c r="BJ299" s="77"/>
      <c r="BK299" s="77">
        <v>486.9775799592623</v>
      </c>
      <c r="BL299" s="77"/>
      <c r="BM299" s="77"/>
      <c r="BN299" s="77"/>
      <c r="BO299" s="77"/>
      <c r="BP299" s="83">
        <v>492.01849552982532</v>
      </c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83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96"/>
      <c r="CQ299" s="77"/>
      <c r="CR299" s="77"/>
      <c r="CS299" s="77"/>
      <c r="CT299" s="77"/>
      <c r="CU299" s="77"/>
      <c r="CV299" s="77">
        <v>20999.509642857141</v>
      </c>
      <c r="CW299" s="77"/>
      <c r="CX299" s="77">
        <v>20999.763142857144</v>
      </c>
      <c r="CY299" s="77"/>
      <c r="CZ299" s="77"/>
      <c r="DA299" s="77"/>
      <c r="DB299" s="77"/>
      <c r="DC299" s="96">
        <v>20999.473428571429</v>
      </c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96"/>
    </row>
    <row r="300" spans="2:120" s="22" customFormat="1" hidden="1" outlineLevel="1" x14ac:dyDescent="0.35">
      <c r="B300" s="25" t="s">
        <v>230</v>
      </c>
      <c r="C300" s="75" t="s">
        <v>25</v>
      </c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80"/>
      <c r="Q300" s="77"/>
      <c r="R300" s="77"/>
      <c r="S300" s="77"/>
      <c r="T300" s="77">
        <v>25</v>
      </c>
      <c r="U300" s="77"/>
      <c r="V300" s="77"/>
      <c r="W300" s="77"/>
      <c r="X300" s="77"/>
      <c r="Y300" s="77"/>
      <c r="Z300" s="77"/>
      <c r="AA300" s="77"/>
      <c r="AB300" s="77"/>
      <c r="AC300" s="80">
        <v>25</v>
      </c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80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83"/>
      <c r="BD300" s="77"/>
      <c r="BE300" s="77"/>
      <c r="BF300" s="77"/>
      <c r="BG300" s="77">
        <v>584.31430757246051</v>
      </c>
      <c r="BH300" s="77"/>
      <c r="BI300" s="77"/>
      <c r="BJ300" s="77"/>
      <c r="BK300" s="77"/>
      <c r="BL300" s="77"/>
      <c r="BM300" s="77"/>
      <c r="BN300" s="77"/>
      <c r="BO300" s="77"/>
      <c r="BP300" s="83">
        <v>584.31430757246051</v>
      </c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83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96"/>
      <c r="CQ300" s="77"/>
      <c r="CR300" s="77"/>
      <c r="CS300" s="77"/>
      <c r="CT300" s="77">
        <v>20999.279999999999</v>
      </c>
      <c r="CU300" s="77"/>
      <c r="CV300" s="77"/>
      <c r="CW300" s="77"/>
      <c r="CX300" s="77"/>
      <c r="CY300" s="77"/>
      <c r="CZ300" s="77"/>
      <c r="DA300" s="77"/>
      <c r="DB300" s="77"/>
      <c r="DC300" s="96">
        <v>20999.279999999999</v>
      </c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96"/>
    </row>
    <row r="301" spans="2:120" s="22" customFormat="1" hidden="1" outlineLevel="1" x14ac:dyDescent="0.35">
      <c r="B301" s="25" t="s">
        <v>230</v>
      </c>
      <c r="C301" s="75" t="s">
        <v>210</v>
      </c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80"/>
      <c r="Q301" s="77"/>
      <c r="R301" s="77"/>
      <c r="S301" s="77">
        <v>6000</v>
      </c>
      <c r="T301" s="77"/>
      <c r="U301" s="77"/>
      <c r="V301" s="77"/>
      <c r="W301" s="77"/>
      <c r="X301" s="77"/>
      <c r="Y301" s="77"/>
      <c r="Z301" s="77">
        <v>9000</v>
      </c>
      <c r="AA301" s="77"/>
      <c r="AB301" s="77"/>
      <c r="AC301" s="80">
        <v>15000</v>
      </c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80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83"/>
      <c r="BD301" s="77"/>
      <c r="BE301" s="77"/>
      <c r="BF301" s="77">
        <v>465.39682930888489</v>
      </c>
      <c r="BG301" s="77"/>
      <c r="BH301" s="77"/>
      <c r="BI301" s="77"/>
      <c r="BJ301" s="77"/>
      <c r="BK301" s="77"/>
      <c r="BL301" s="77"/>
      <c r="BM301" s="77">
        <v>451.84291132735586</v>
      </c>
      <c r="BN301" s="77"/>
      <c r="BO301" s="77"/>
      <c r="BP301" s="83">
        <v>457.26447851996744</v>
      </c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83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96"/>
      <c r="CQ301" s="77"/>
      <c r="CR301" s="77"/>
      <c r="CS301" s="77">
        <v>20999.082833333334</v>
      </c>
      <c r="CT301" s="77"/>
      <c r="CU301" s="77"/>
      <c r="CV301" s="77"/>
      <c r="CW301" s="77"/>
      <c r="CX301" s="77"/>
      <c r="CY301" s="77"/>
      <c r="CZ301" s="77">
        <v>17984.886333333332</v>
      </c>
      <c r="DA301" s="77"/>
      <c r="DB301" s="77"/>
      <c r="DC301" s="96">
        <v>19190.564933333335</v>
      </c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96"/>
    </row>
    <row r="302" spans="2:120" s="22" customFormat="1" hidden="1" collapsed="1" x14ac:dyDescent="0.35">
      <c r="B302" s="106" t="s">
        <v>232</v>
      </c>
      <c r="C302" s="76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81"/>
      <c r="Q302" s="78"/>
      <c r="R302" s="78"/>
      <c r="S302" s="78">
        <v>6000</v>
      </c>
      <c r="T302" s="78">
        <v>25</v>
      </c>
      <c r="U302" s="78"/>
      <c r="V302" s="78">
        <v>28000</v>
      </c>
      <c r="W302" s="78"/>
      <c r="X302" s="78">
        <v>-3500</v>
      </c>
      <c r="Y302" s="78"/>
      <c r="Z302" s="78">
        <v>9000</v>
      </c>
      <c r="AA302" s="78"/>
      <c r="AB302" s="78"/>
      <c r="AC302" s="81">
        <v>39525</v>
      </c>
      <c r="AD302" s="78">
        <v>2250</v>
      </c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81">
        <v>2250</v>
      </c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84"/>
      <c r="BD302" s="78"/>
      <c r="BE302" s="78"/>
      <c r="BF302" s="78">
        <v>465.39682930888489</v>
      </c>
      <c r="BG302" s="78">
        <v>584.31430757246051</v>
      </c>
      <c r="BH302" s="78"/>
      <c r="BI302" s="78">
        <v>491.38838108350484</v>
      </c>
      <c r="BJ302" s="78"/>
      <c r="BK302" s="78">
        <v>486.9775799592623</v>
      </c>
      <c r="BL302" s="78"/>
      <c r="BM302" s="78">
        <v>451.84291132735586</v>
      </c>
      <c r="BN302" s="78"/>
      <c r="BO302" s="78"/>
      <c r="BP302" s="84">
        <v>478.88749338316359</v>
      </c>
      <c r="BQ302" s="78">
        <v>495.55524540123508</v>
      </c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84">
        <v>495.55524540123508</v>
      </c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97"/>
      <c r="CQ302" s="78"/>
      <c r="CR302" s="78"/>
      <c r="CS302" s="78">
        <v>20999.082833333334</v>
      </c>
      <c r="CT302" s="78">
        <v>20999.279999999999</v>
      </c>
      <c r="CU302" s="78"/>
      <c r="CV302" s="78">
        <v>20999.509642857141</v>
      </c>
      <c r="CW302" s="78"/>
      <c r="CX302" s="78">
        <v>20999.763142857144</v>
      </c>
      <c r="CY302" s="78"/>
      <c r="CZ302" s="78">
        <v>17984.886333333332</v>
      </c>
      <c r="DA302" s="78"/>
      <c r="DB302" s="78"/>
      <c r="DC302" s="97">
        <v>20312.980518659075</v>
      </c>
      <c r="DD302" s="78">
        <v>14493.268444444444</v>
      </c>
      <c r="DE302" s="78"/>
      <c r="DF302" s="78"/>
      <c r="DG302" s="78"/>
      <c r="DH302" s="78"/>
      <c r="DI302" s="78"/>
      <c r="DJ302" s="78"/>
      <c r="DK302" s="78"/>
      <c r="DL302" s="78"/>
      <c r="DM302" s="78"/>
      <c r="DN302" s="78"/>
      <c r="DO302" s="78"/>
      <c r="DP302" s="97">
        <v>14493.268444444444</v>
      </c>
    </row>
    <row r="303" spans="2:120" s="22" customFormat="1" hidden="1" outlineLevel="1" x14ac:dyDescent="0.35">
      <c r="B303" s="25" t="s">
        <v>233</v>
      </c>
      <c r="C303" s="75" t="s">
        <v>58</v>
      </c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80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>
        <v>500</v>
      </c>
      <c r="AC303" s="80">
        <v>500</v>
      </c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80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83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>
        <v>765.18999336298521</v>
      </c>
      <c r="BP303" s="83">
        <v>765.18999336298521</v>
      </c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83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96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>
        <v>17185.946</v>
      </c>
      <c r="DC303" s="96">
        <v>17185.946</v>
      </c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96"/>
    </row>
    <row r="304" spans="2:120" s="22" customFormat="1" hidden="1" outlineLevel="1" x14ac:dyDescent="0.35">
      <c r="B304" s="25" t="s">
        <v>233</v>
      </c>
      <c r="C304" s="75" t="s">
        <v>141</v>
      </c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80"/>
      <c r="Q304" s="77"/>
      <c r="R304" s="77"/>
      <c r="S304" s="77">
        <v>50</v>
      </c>
      <c r="T304" s="77"/>
      <c r="U304" s="77"/>
      <c r="V304" s="77"/>
      <c r="W304" s="77"/>
      <c r="X304" s="77"/>
      <c r="Y304" s="77"/>
      <c r="Z304" s="77"/>
      <c r="AA304" s="77"/>
      <c r="AB304" s="77"/>
      <c r="AC304" s="80">
        <v>50</v>
      </c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80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83"/>
      <c r="BD304" s="77"/>
      <c r="BE304" s="77"/>
      <c r="BF304" s="77">
        <v>656.83023920005371</v>
      </c>
      <c r="BG304" s="77"/>
      <c r="BH304" s="77"/>
      <c r="BI304" s="77"/>
      <c r="BJ304" s="77"/>
      <c r="BK304" s="77"/>
      <c r="BL304" s="77"/>
      <c r="BM304" s="77"/>
      <c r="BN304" s="77"/>
      <c r="BO304" s="77"/>
      <c r="BP304" s="83">
        <v>656.83023920005371</v>
      </c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83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96"/>
      <c r="CQ304" s="77"/>
      <c r="CR304" s="77"/>
      <c r="CS304" s="77">
        <v>17232.3</v>
      </c>
      <c r="CT304" s="77"/>
      <c r="CU304" s="77"/>
      <c r="CV304" s="77"/>
      <c r="CW304" s="77"/>
      <c r="CX304" s="77"/>
      <c r="CY304" s="77"/>
      <c r="CZ304" s="77"/>
      <c r="DA304" s="77"/>
      <c r="DB304" s="77"/>
      <c r="DC304" s="96">
        <v>17232.3</v>
      </c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96"/>
    </row>
    <row r="305" spans="2:120" s="22" customFormat="1" hidden="1" outlineLevel="1" x14ac:dyDescent="0.35">
      <c r="B305" s="25" t="s">
        <v>233</v>
      </c>
      <c r="C305" s="75" t="s">
        <v>216</v>
      </c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80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80"/>
      <c r="AD305" s="77"/>
      <c r="AE305" s="77"/>
      <c r="AF305" s="77"/>
      <c r="AG305" s="77">
        <v>5250</v>
      </c>
      <c r="AH305" s="77"/>
      <c r="AI305" s="77"/>
      <c r="AJ305" s="77"/>
      <c r="AK305" s="77"/>
      <c r="AL305" s="77"/>
      <c r="AM305" s="77"/>
      <c r="AN305" s="77"/>
      <c r="AO305" s="77"/>
      <c r="AP305" s="80">
        <v>5250</v>
      </c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83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83"/>
      <c r="BQ305" s="77"/>
      <c r="BR305" s="77"/>
      <c r="BS305" s="77"/>
      <c r="BT305" s="77">
        <v>647.69709386144621</v>
      </c>
      <c r="BU305" s="77"/>
      <c r="BV305" s="77"/>
      <c r="BW305" s="77"/>
      <c r="BX305" s="77"/>
      <c r="BY305" s="77"/>
      <c r="BZ305" s="77"/>
      <c r="CA305" s="77"/>
      <c r="CB305" s="77"/>
      <c r="CC305" s="83">
        <v>647.69709386144621</v>
      </c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96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96"/>
      <c r="DD305" s="77"/>
      <c r="DE305" s="77"/>
      <c r="DF305" s="77"/>
      <c r="DG305" s="77">
        <v>16947.459216430107</v>
      </c>
      <c r="DH305" s="77"/>
      <c r="DI305" s="77"/>
      <c r="DJ305" s="77"/>
      <c r="DK305" s="77"/>
      <c r="DL305" s="77"/>
      <c r="DM305" s="77"/>
      <c r="DN305" s="77"/>
      <c r="DO305" s="77"/>
      <c r="DP305" s="96">
        <v>16947.459216430107</v>
      </c>
    </row>
    <row r="306" spans="2:120" s="22" customFormat="1" hidden="1" outlineLevel="1" x14ac:dyDescent="0.35">
      <c r="B306" s="25" t="s">
        <v>233</v>
      </c>
      <c r="C306" s="75" t="s">
        <v>25</v>
      </c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80"/>
      <c r="Q306" s="77"/>
      <c r="R306" s="77"/>
      <c r="S306" s="77"/>
      <c r="T306" s="77">
        <v>25</v>
      </c>
      <c r="U306" s="77"/>
      <c r="V306" s="77"/>
      <c r="W306" s="77"/>
      <c r="X306" s="77"/>
      <c r="Y306" s="77"/>
      <c r="Z306" s="77"/>
      <c r="AA306" s="77"/>
      <c r="AB306" s="77"/>
      <c r="AC306" s="80">
        <v>25</v>
      </c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80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83"/>
      <c r="BD306" s="77"/>
      <c r="BE306" s="77"/>
      <c r="BF306" s="77"/>
      <c r="BG306" s="77">
        <v>584.31430757246051</v>
      </c>
      <c r="BH306" s="77"/>
      <c r="BI306" s="77"/>
      <c r="BJ306" s="77"/>
      <c r="BK306" s="77"/>
      <c r="BL306" s="77"/>
      <c r="BM306" s="77"/>
      <c r="BN306" s="77"/>
      <c r="BO306" s="77"/>
      <c r="BP306" s="83">
        <v>584.31430757246051</v>
      </c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83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96"/>
      <c r="CQ306" s="77"/>
      <c r="CR306" s="77"/>
      <c r="CS306" s="77"/>
      <c r="CT306" s="77">
        <v>17503</v>
      </c>
      <c r="CU306" s="77"/>
      <c r="CV306" s="77"/>
      <c r="CW306" s="77"/>
      <c r="CX306" s="77"/>
      <c r="CY306" s="77"/>
      <c r="CZ306" s="77"/>
      <c r="DA306" s="77"/>
      <c r="DB306" s="77"/>
      <c r="DC306" s="96">
        <v>17503</v>
      </c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96"/>
    </row>
    <row r="307" spans="2:120" s="22" customFormat="1" hidden="1" outlineLevel="1" x14ac:dyDescent="0.35">
      <c r="B307" s="25" t="s">
        <v>233</v>
      </c>
      <c r="C307" s="75" t="s">
        <v>210</v>
      </c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80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80"/>
      <c r="AD307" s="77"/>
      <c r="AE307" s="77"/>
      <c r="AF307" s="77"/>
      <c r="AG307" s="77">
        <v>50</v>
      </c>
      <c r="AH307" s="77"/>
      <c r="AI307" s="77"/>
      <c r="AJ307" s="77"/>
      <c r="AK307" s="77"/>
      <c r="AL307" s="77"/>
      <c r="AM307" s="77"/>
      <c r="AN307" s="77"/>
      <c r="AO307" s="77"/>
      <c r="AP307" s="80">
        <v>50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83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83"/>
      <c r="BQ307" s="77"/>
      <c r="BR307" s="77"/>
      <c r="BS307" s="77"/>
      <c r="BT307" s="77">
        <v>647.61904761904759</v>
      </c>
      <c r="BU307" s="77"/>
      <c r="BV307" s="77"/>
      <c r="BW307" s="77"/>
      <c r="BX307" s="77"/>
      <c r="BY307" s="77"/>
      <c r="BZ307" s="77"/>
      <c r="CA307" s="77"/>
      <c r="CB307" s="77"/>
      <c r="CC307" s="83">
        <v>647.61904761904759</v>
      </c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96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96"/>
      <c r="DD307" s="77"/>
      <c r="DE307" s="77"/>
      <c r="DF307" s="77"/>
      <c r="DG307" s="77">
        <v>16947.459216430107</v>
      </c>
      <c r="DH307" s="77"/>
      <c r="DI307" s="77"/>
      <c r="DJ307" s="77"/>
      <c r="DK307" s="77"/>
      <c r="DL307" s="77"/>
      <c r="DM307" s="77"/>
      <c r="DN307" s="77"/>
      <c r="DO307" s="77"/>
      <c r="DP307" s="96">
        <v>16947.459216430107</v>
      </c>
    </row>
    <row r="308" spans="2:120" s="22" customFormat="1" hidden="1" collapsed="1" x14ac:dyDescent="0.35">
      <c r="B308" s="106" t="s">
        <v>234</v>
      </c>
      <c r="C308" s="76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81"/>
      <c r="Q308" s="78"/>
      <c r="R308" s="78"/>
      <c r="S308" s="78">
        <v>50</v>
      </c>
      <c r="T308" s="78">
        <v>25</v>
      </c>
      <c r="U308" s="78"/>
      <c r="V308" s="78"/>
      <c r="W308" s="78"/>
      <c r="X308" s="78"/>
      <c r="Y308" s="78"/>
      <c r="Z308" s="78"/>
      <c r="AA308" s="78"/>
      <c r="AB308" s="78">
        <v>500</v>
      </c>
      <c r="AC308" s="81">
        <v>575</v>
      </c>
      <c r="AD308" s="78"/>
      <c r="AE308" s="78"/>
      <c r="AF308" s="78"/>
      <c r="AG308" s="78">
        <v>5300</v>
      </c>
      <c r="AH308" s="78"/>
      <c r="AI308" s="78"/>
      <c r="AJ308" s="78"/>
      <c r="AK308" s="78"/>
      <c r="AL308" s="78"/>
      <c r="AM308" s="78"/>
      <c r="AN308" s="78"/>
      <c r="AO308" s="78"/>
      <c r="AP308" s="81">
        <v>5300</v>
      </c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84"/>
      <c r="BD308" s="78"/>
      <c r="BE308" s="78"/>
      <c r="BF308" s="78">
        <v>656.83023920005371</v>
      </c>
      <c r="BG308" s="78">
        <v>584.31430757246051</v>
      </c>
      <c r="BH308" s="78"/>
      <c r="BI308" s="78"/>
      <c r="BJ308" s="78"/>
      <c r="BK308" s="78"/>
      <c r="BL308" s="78"/>
      <c r="BM308" s="78"/>
      <c r="BN308" s="78"/>
      <c r="BO308" s="78">
        <v>765.18999336298521</v>
      </c>
      <c r="BP308" s="84">
        <v>747.90324579270737</v>
      </c>
      <c r="BQ308" s="78"/>
      <c r="BR308" s="78"/>
      <c r="BS308" s="78"/>
      <c r="BT308" s="78">
        <v>647.6963575761406</v>
      </c>
      <c r="BU308" s="78"/>
      <c r="BV308" s="78"/>
      <c r="BW308" s="78"/>
      <c r="BX308" s="78"/>
      <c r="BY308" s="78"/>
      <c r="BZ308" s="78"/>
      <c r="CA308" s="78"/>
      <c r="CB308" s="78"/>
      <c r="CC308" s="84">
        <v>647.6963575761406</v>
      </c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97"/>
      <c r="CQ308" s="78"/>
      <c r="CR308" s="78"/>
      <c r="CS308" s="78">
        <v>17232.3</v>
      </c>
      <c r="CT308" s="78">
        <v>17503</v>
      </c>
      <c r="CU308" s="78"/>
      <c r="CV308" s="78"/>
      <c r="CW308" s="78"/>
      <c r="CX308" s="78"/>
      <c r="CY308" s="78"/>
      <c r="CZ308" s="78"/>
      <c r="DA308" s="78"/>
      <c r="DB308" s="78">
        <v>17185.946</v>
      </c>
      <c r="DC308" s="97">
        <v>17203.761739130434</v>
      </c>
      <c r="DD308" s="78"/>
      <c r="DE308" s="78"/>
      <c r="DF308" s="78"/>
      <c r="DG308" s="78">
        <v>16947.459216430107</v>
      </c>
      <c r="DH308" s="78"/>
      <c r="DI308" s="78"/>
      <c r="DJ308" s="78"/>
      <c r="DK308" s="78"/>
      <c r="DL308" s="78"/>
      <c r="DM308" s="78"/>
      <c r="DN308" s="78"/>
      <c r="DO308" s="78"/>
      <c r="DP308" s="97">
        <v>16947.459216430107</v>
      </c>
    </row>
    <row r="309" spans="2:120" s="22" customFormat="1" hidden="1" outlineLevel="1" x14ac:dyDescent="0.35">
      <c r="B309" s="25" t="s">
        <v>235</v>
      </c>
      <c r="C309" s="75" t="s">
        <v>58</v>
      </c>
      <c r="D309" s="77">
        <v>35250</v>
      </c>
      <c r="E309" s="77"/>
      <c r="F309" s="77"/>
      <c r="G309" s="77"/>
      <c r="H309" s="77"/>
      <c r="I309" s="77"/>
      <c r="J309" s="77"/>
      <c r="K309" s="77"/>
      <c r="L309" s="77"/>
      <c r="M309" s="77">
        <v>4500</v>
      </c>
      <c r="N309" s="77"/>
      <c r="O309" s="77"/>
      <c r="P309" s="80">
        <v>39750</v>
      </c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80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80"/>
      <c r="AQ309" s="77">
        <v>131.28167941491571</v>
      </c>
      <c r="AR309" s="77"/>
      <c r="AS309" s="77"/>
      <c r="AT309" s="77"/>
      <c r="AU309" s="77"/>
      <c r="AV309" s="77"/>
      <c r="AW309" s="77"/>
      <c r="AX309" s="77"/>
      <c r="AY309" s="77"/>
      <c r="AZ309" s="77">
        <v>129.14333125006723</v>
      </c>
      <c r="BA309" s="77"/>
      <c r="BB309" s="77"/>
      <c r="BC309" s="83">
        <v>131.03960226417817</v>
      </c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83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83"/>
      <c r="CD309" s="77">
        <v>33122.629106382978</v>
      </c>
      <c r="CE309" s="77"/>
      <c r="CF309" s="77"/>
      <c r="CG309" s="77"/>
      <c r="CH309" s="77"/>
      <c r="CI309" s="77"/>
      <c r="CJ309" s="77"/>
      <c r="CK309" s="77"/>
      <c r="CL309" s="77"/>
      <c r="CM309" s="77">
        <v>15491.846888888889</v>
      </c>
      <c r="CN309" s="77"/>
      <c r="CO309" s="77"/>
      <c r="CP309" s="96">
        <v>31126.691496855346</v>
      </c>
      <c r="CQ309" s="77"/>
      <c r="CR309" s="77"/>
      <c r="CS309" s="77"/>
      <c r="CT309" s="77"/>
      <c r="CU309" s="77"/>
      <c r="CV309" s="77"/>
      <c r="CW309" s="77"/>
      <c r="CX309" s="77"/>
      <c r="CY309" s="77"/>
      <c r="CZ309" s="77"/>
      <c r="DA309" s="77"/>
      <c r="DB309" s="77"/>
      <c r="DC309" s="96"/>
      <c r="DD309" s="77"/>
      <c r="DE309" s="77"/>
      <c r="DF309" s="77"/>
      <c r="DG309" s="77"/>
      <c r="DH309" s="77"/>
      <c r="DI309" s="77"/>
      <c r="DJ309" s="77"/>
      <c r="DK309" s="77"/>
      <c r="DL309" s="77"/>
      <c r="DM309" s="77"/>
      <c r="DN309" s="77"/>
      <c r="DO309" s="77"/>
      <c r="DP309" s="96"/>
    </row>
    <row r="310" spans="2:120" s="22" customFormat="1" hidden="1" collapsed="1" x14ac:dyDescent="0.35">
      <c r="B310" s="106" t="s">
        <v>236</v>
      </c>
      <c r="C310" s="76"/>
      <c r="D310" s="78">
        <v>35250</v>
      </c>
      <c r="E310" s="78"/>
      <c r="F310" s="78"/>
      <c r="G310" s="78"/>
      <c r="H310" s="78"/>
      <c r="I310" s="78"/>
      <c r="J310" s="78"/>
      <c r="K310" s="78"/>
      <c r="L310" s="78"/>
      <c r="M310" s="78">
        <v>4500</v>
      </c>
      <c r="N310" s="78"/>
      <c r="O310" s="78"/>
      <c r="P310" s="81">
        <v>39750</v>
      </c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81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81"/>
      <c r="AQ310" s="78">
        <v>131.28167941491571</v>
      </c>
      <c r="AR310" s="78"/>
      <c r="AS310" s="78"/>
      <c r="AT310" s="78"/>
      <c r="AU310" s="78"/>
      <c r="AV310" s="78"/>
      <c r="AW310" s="78"/>
      <c r="AX310" s="78"/>
      <c r="AY310" s="78"/>
      <c r="AZ310" s="78">
        <v>129.14333125006723</v>
      </c>
      <c r="BA310" s="78"/>
      <c r="BB310" s="78"/>
      <c r="BC310" s="84">
        <v>131.03960226417817</v>
      </c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84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84"/>
      <c r="CD310" s="78">
        <v>33122.629106382978</v>
      </c>
      <c r="CE310" s="78"/>
      <c r="CF310" s="78"/>
      <c r="CG310" s="78"/>
      <c r="CH310" s="78"/>
      <c r="CI310" s="78"/>
      <c r="CJ310" s="78"/>
      <c r="CK310" s="78"/>
      <c r="CL310" s="78"/>
      <c r="CM310" s="78">
        <v>15491.846888888889</v>
      </c>
      <c r="CN310" s="78"/>
      <c r="CO310" s="78"/>
      <c r="CP310" s="97">
        <v>31126.691496855346</v>
      </c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97"/>
      <c r="DD310" s="78"/>
      <c r="DE310" s="78"/>
      <c r="DF310" s="78"/>
      <c r="DG310" s="78"/>
      <c r="DH310" s="78"/>
      <c r="DI310" s="78"/>
      <c r="DJ310" s="78"/>
      <c r="DK310" s="78"/>
      <c r="DL310" s="78"/>
      <c r="DM310" s="78"/>
      <c r="DN310" s="78"/>
      <c r="DO310" s="78"/>
      <c r="DP310" s="97"/>
    </row>
    <row r="311" spans="2:120" s="22" customFormat="1" hidden="1" outlineLevel="1" x14ac:dyDescent="0.35">
      <c r="B311" s="25" t="s">
        <v>237</v>
      </c>
      <c r="C311" s="75" t="s">
        <v>58</v>
      </c>
      <c r="D311" s="77">
        <v>49250</v>
      </c>
      <c r="E311" s="77"/>
      <c r="F311" s="77"/>
      <c r="G311" s="77"/>
      <c r="H311" s="77"/>
      <c r="I311" s="77"/>
      <c r="J311" s="77"/>
      <c r="K311" s="77"/>
      <c r="L311" s="77"/>
      <c r="M311" s="77">
        <v>3750</v>
      </c>
      <c r="N311" s="77"/>
      <c r="O311" s="77"/>
      <c r="P311" s="80">
        <v>53000</v>
      </c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80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80"/>
      <c r="AQ311" s="77">
        <v>131.28167941491571</v>
      </c>
      <c r="AR311" s="77"/>
      <c r="AS311" s="77"/>
      <c r="AT311" s="77"/>
      <c r="AU311" s="77"/>
      <c r="AV311" s="77"/>
      <c r="AW311" s="77"/>
      <c r="AX311" s="77"/>
      <c r="AY311" s="77"/>
      <c r="AZ311" s="77">
        <v>129.14333125006723</v>
      </c>
      <c r="BA311" s="77"/>
      <c r="BB311" s="77"/>
      <c r="BC311" s="83">
        <v>131.13038119570476</v>
      </c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83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83"/>
      <c r="CD311" s="77">
        <v>918.63872081218278</v>
      </c>
      <c r="CE311" s="77"/>
      <c r="CF311" s="77"/>
      <c r="CG311" s="77"/>
      <c r="CH311" s="77"/>
      <c r="CI311" s="77"/>
      <c r="CJ311" s="77"/>
      <c r="CK311" s="77"/>
      <c r="CL311" s="77"/>
      <c r="CM311" s="77">
        <v>1540</v>
      </c>
      <c r="CN311" s="77"/>
      <c r="CO311" s="77"/>
      <c r="CP311" s="96">
        <v>962.60296226415096</v>
      </c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96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96"/>
    </row>
    <row r="312" spans="2:120" s="22" customFormat="1" hidden="1" collapsed="1" x14ac:dyDescent="0.35">
      <c r="B312" s="106" t="s">
        <v>238</v>
      </c>
      <c r="C312" s="76"/>
      <c r="D312" s="78">
        <v>49250</v>
      </c>
      <c r="E312" s="78"/>
      <c r="F312" s="78"/>
      <c r="G312" s="78"/>
      <c r="H312" s="78"/>
      <c r="I312" s="78"/>
      <c r="J312" s="78"/>
      <c r="K312" s="78"/>
      <c r="L312" s="78"/>
      <c r="M312" s="78">
        <v>3750</v>
      </c>
      <c r="N312" s="78"/>
      <c r="O312" s="78"/>
      <c r="P312" s="81">
        <v>53000</v>
      </c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81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81"/>
      <c r="AQ312" s="78">
        <v>131.28167941491571</v>
      </c>
      <c r="AR312" s="78"/>
      <c r="AS312" s="78"/>
      <c r="AT312" s="78"/>
      <c r="AU312" s="78"/>
      <c r="AV312" s="78"/>
      <c r="AW312" s="78"/>
      <c r="AX312" s="78"/>
      <c r="AY312" s="78"/>
      <c r="AZ312" s="78">
        <v>129.14333125006723</v>
      </c>
      <c r="BA312" s="78"/>
      <c r="BB312" s="78"/>
      <c r="BC312" s="84">
        <v>131.13038119570476</v>
      </c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84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84"/>
      <c r="CD312" s="78">
        <v>918.63872081218278</v>
      </c>
      <c r="CE312" s="78"/>
      <c r="CF312" s="78"/>
      <c r="CG312" s="78"/>
      <c r="CH312" s="78"/>
      <c r="CI312" s="78"/>
      <c r="CJ312" s="78"/>
      <c r="CK312" s="78"/>
      <c r="CL312" s="78"/>
      <c r="CM312" s="78">
        <v>1540</v>
      </c>
      <c r="CN312" s="78"/>
      <c r="CO312" s="78"/>
      <c r="CP312" s="97">
        <v>962.60296226415096</v>
      </c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97"/>
      <c r="DD312" s="78"/>
      <c r="DE312" s="78"/>
      <c r="DF312" s="78"/>
      <c r="DG312" s="78"/>
      <c r="DH312" s="78"/>
      <c r="DI312" s="78"/>
      <c r="DJ312" s="78"/>
      <c r="DK312" s="78"/>
      <c r="DL312" s="78"/>
      <c r="DM312" s="78"/>
      <c r="DN312" s="78"/>
      <c r="DO312" s="78"/>
      <c r="DP312" s="97"/>
    </row>
    <row r="313" spans="2:120" s="22" customFormat="1" hidden="1" outlineLevel="1" x14ac:dyDescent="0.35">
      <c r="B313" s="25" t="s">
        <v>239</v>
      </c>
      <c r="C313" s="75" t="s">
        <v>58</v>
      </c>
      <c r="D313" s="77">
        <v>14250</v>
      </c>
      <c r="E313" s="77"/>
      <c r="F313" s="77"/>
      <c r="G313" s="77"/>
      <c r="H313" s="77"/>
      <c r="I313" s="77"/>
      <c r="J313" s="77"/>
      <c r="K313" s="77"/>
      <c r="L313" s="77"/>
      <c r="M313" s="77">
        <v>1500</v>
      </c>
      <c r="N313" s="77"/>
      <c r="O313" s="77"/>
      <c r="P313" s="80">
        <v>15750</v>
      </c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80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80"/>
      <c r="AQ313" s="77">
        <v>131.28167941491571</v>
      </c>
      <c r="AR313" s="77"/>
      <c r="AS313" s="77"/>
      <c r="AT313" s="77"/>
      <c r="AU313" s="77"/>
      <c r="AV313" s="77"/>
      <c r="AW313" s="77"/>
      <c r="AX313" s="77"/>
      <c r="AY313" s="77"/>
      <c r="AZ313" s="77">
        <v>129.14333125006723</v>
      </c>
      <c r="BA313" s="77"/>
      <c r="BB313" s="77"/>
      <c r="BC313" s="83">
        <v>131.07802720873968</v>
      </c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83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83"/>
      <c r="CD313" s="77">
        <v>892.00133333333338</v>
      </c>
      <c r="CE313" s="77"/>
      <c r="CF313" s="77"/>
      <c r="CG313" s="77"/>
      <c r="CH313" s="77"/>
      <c r="CI313" s="77"/>
      <c r="CJ313" s="77"/>
      <c r="CK313" s="77"/>
      <c r="CL313" s="77"/>
      <c r="CM313" s="77">
        <v>7369.4813333333332</v>
      </c>
      <c r="CN313" s="77"/>
      <c r="CO313" s="77"/>
      <c r="CP313" s="96">
        <v>1508.9041904761905</v>
      </c>
      <c r="CQ313" s="77"/>
      <c r="CR313" s="77"/>
      <c r="CS313" s="77"/>
      <c r="CT313" s="77"/>
      <c r="CU313" s="77"/>
      <c r="CV313" s="77"/>
      <c r="CW313" s="77"/>
      <c r="CX313" s="77"/>
      <c r="CY313" s="77"/>
      <c r="CZ313" s="77"/>
      <c r="DA313" s="77"/>
      <c r="DB313" s="77"/>
      <c r="DC313" s="96"/>
      <c r="DD313" s="77"/>
      <c r="DE313" s="77"/>
      <c r="DF313" s="77"/>
      <c r="DG313" s="77"/>
      <c r="DH313" s="77"/>
      <c r="DI313" s="77"/>
      <c r="DJ313" s="77"/>
      <c r="DK313" s="77"/>
      <c r="DL313" s="77"/>
      <c r="DM313" s="77"/>
      <c r="DN313" s="77"/>
      <c r="DO313" s="77"/>
      <c r="DP313" s="96"/>
    </row>
    <row r="314" spans="2:120" s="22" customFormat="1" hidden="1" collapsed="1" x14ac:dyDescent="0.35">
      <c r="B314" s="106" t="s">
        <v>240</v>
      </c>
      <c r="C314" s="76"/>
      <c r="D314" s="78">
        <v>14250</v>
      </c>
      <c r="E314" s="78"/>
      <c r="F314" s="78"/>
      <c r="G314" s="78"/>
      <c r="H314" s="78"/>
      <c r="I314" s="78"/>
      <c r="J314" s="78"/>
      <c r="K314" s="78"/>
      <c r="L314" s="78"/>
      <c r="M314" s="78">
        <v>1500</v>
      </c>
      <c r="N314" s="78"/>
      <c r="O314" s="78"/>
      <c r="P314" s="81">
        <v>15750</v>
      </c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81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81"/>
      <c r="AQ314" s="78">
        <v>131.28167941491571</v>
      </c>
      <c r="AR314" s="78"/>
      <c r="AS314" s="78"/>
      <c r="AT314" s="78"/>
      <c r="AU314" s="78"/>
      <c r="AV314" s="78"/>
      <c r="AW314" s="78"/>
      <c r="AX314" s="78"/>
      <c r="AY314" s="78"/>
      <c r="AZ314" s="78">
        <v>129.14333125006723</v>
      </c>
      <c r="BA314" s="78"/>
      <c r="BB314" s="78"/>
      <c r="BC314" s="84">
        <v>131.07802720873968</v>
      </c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84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84"/>
      <c r="CD314" s="78">
        <v>892.00133333333338</v>
      </c>
      <c r="CE314" s="78"/>
      <c r="CF314" s="78"/>
      <c r="CG314" s="78"/>
      <c r="CH314" s="78"/>
      <c r="CI314" s="78"/>
      <c r="CJ314" s="78"/>
      <c r="CK314" s="78"/>
      <c r="CL314" s="78"/>
      <c r="CM314" s="78">
        <v>7369.4813333333332</v>
      </c>
      <c r="CN314" s="78"/>
      <c r="CO314" s="78"/>
      <c r="CP314" s="97">
        <v>1508.9041904761905</v>
      </c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97"/>
      <c r="DD314" s="78"/>
      <c r="DE314" s="78"/>
      <c r="DF314" s="78"/>
      <c r="DG314" s="78"/>
      <c r="DH314" s="78"/>
      <c r="DI314" s="78"/>
      <c r="DJ314" s="78"/>
      <c r="DK314" s="78"/>
      <c r="DL314" s="78"/>
      <c r="DM314" s="78"/>
      <c r="DN314" s="78"/>
      <c r="DO314" s="78"/>
      <c r="DP314" s="97"/>
    </row>
    <row r="315" spans="2:120" s="22" customFormat="1" hidden="1" outlineLevel="1" x14ac:dyDescent="0.35">
      <c r="B315" s="25" t="s">
        <v>241</v>
      </c>
      <c r="C315" s="75" t="s">
        <v>58</v>
      </c>
      <c r="D315" s="77">
        <v>34250</v>
      </c>
      <c r="E315" s="77"/>
      <c r="F315" s="77"/>
      <c r="G315" s="77"/>
      <c r="H315" s="77"/>
      <c r="I315" s="77"/>
      <c r="J315" s="77"/>
      <c r="K315" s="77"/>
      <c r="L315" s="77"/>
      <c r="M315" s="77">
        <v>1500</v>
      </c>
      <c r="N315" s="77"/>
      <c r="O315" s="77"/>
      <c r="P315" s="80">
        <v>35750</v>
      </c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80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80"/>
      <c r="AQ315" s="77">
        <v>131.28167941491571</v>
      </c>
      <c r="AR315" s="77"/>
      <c r="AS315" s="77"/>
      <c r="AT315" s="77"/>
      <c r="AU315" s="77"/>
      <c r="AV315" s="77"/>
      <c r="AW315" s="77"/>
      <c r="AX315" s="77"/>
      <c r="AY315" s="77"/>
      <c r="AZ315" s="77">
        <v>129.14333125006723</v>
      </c>
      <c r="BA315" s="77"/>
      <c r="BB315" s="77"/>
      <c r="BC315" s="83">
        <v>131.1919585128941</v>
      </c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83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83"/>
      <c r="CD315" s="77">
        <v>439.11150364963504</v>
      </c>
      <c r="CE315" s="77"/>
      <c r="CF315" s="77"/>
      <c r="CG315" s="77"/>
      <c r="CH315" s="77"/>
      <c r="CI315" s="77"/>
      <c r="CJ315" s="77"/>
      <c r="CK315" s="77"/>
      <c r="CL315" s="77"/>
      <c r="CM315" s="77">
        <v>1540</v>
      </c>
      <c r="CN315" s="77"/>
      <c r="CO315" s="77"/>
      <c r="CP315" s="96">
        <v>485.30262937062935</v>
      </c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96"/>
      <c r="DD315" s="77"/>
      <c r="DE315" s="77"/>
      <c r="DF315" s="77"/>
      <c r="DG315" s="77"/>
      <c r="DH315" s="77"/>
      <c r="DI315" s="77"/>
      <c r="DJ315" s="77"/>
      <c r="DK315" s="77"/>
      <c r="DL315" s="77"/>
      <c r="DM315" s="77"/>
      <c r="DN315" s="77"/>
      <c r="DO315" s="77"/>
      <c r="DP315" s="96"/>
    </row>
    <row r="316" spans="2:120" s="22" customFormat="1" hidden="1" collapsed="1" x14ac:dyDescent="0.35">
      <c r="B316" s="106" t="s">
        <v>242</v>
      </c>
      <c r="C316" s="76"/>
      <c r="D316" s="78">
        <v>34250</v>
      </c>
      <c r="E316" s="78"/>
      <c r="F316" s="78"/>
      <c r="G316" s="78"/>
      <c r="H316" s="78"/>
      <c r="I316" s="78"/>
      <c r="J316" s="78"/>
      <c r="K316" s="78"/>
      <c r="L316" s="78"/>
      <c r="M316" s="78">
        <v>1500</v>
      </c>
      <c r="N316" s="78"/>
      <c r="O316" s="78"/>
      <c r="P316" s="81">
        <v>35750</v>
      </c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81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81"/>
      <c r="AQ316" s="78">
        <v>131.28167941491571</v>
      </c>
      <c r="AR316" s="78"/>
      <c r="AS316" s="78"/>
      <c r="AT316" s="78"/>
      <c r="AU316" s="78"/>
      <c r="AV316" s="78"/>
      <c r="AW316" s="78"/>
      <c r="AX316" s="78"/>
      <c r="AY316" s="78"/>
      <c r="AZ316" s="78">
        <v>129.14333125006723</v>
      </c>
      <c r="BA316" s="78"/>
      <c r="BB316" s="78"/>
      <c r="BC316" s="84">
        <v>131.1919585128941</v>
      </c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84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84"/>
      <c r="CD316" s="78">
        <v>439.11150364963504</v>
      </c>
      <c r="CE316" s="78"/>
      <c r="CF316" s="78"/>
      <c r="CG316" s="78"/>
      <c r="CH316" s="78"/>
      <c r="CI316" s="78"/>
      <c r="CJ316" s="78"/>
      <c r="CK316" s="78"/>
      <c r="CL316" s="78"/>
      <c r="CM316" s="78">
        <v>1540</v>
      </c>
      <c r="CN316" s="78"/>
      <c r="CO316" s="78"/>
      <c r="CP316" s="97">
        <v>485.30262937062935</v>
      </c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97"/>
      <c r="DD316" s="78"/>
      <c r="DE316" s="78"/>
      <c r="DF316" s="78"/>
      <c r="DG316" s="78"/>
      <c r="DH316" s="78"/>
      <c r="DI316" s="78"/>
      <c r="DJ316" s="78"/>
      <c r="DK316" s="78"/>
      <c r="DL316" s="78"/>
      <c r="DM316" s="78"/>
      <c r="DN316" s="78"/>
      <c r="DO316" s="78"/>
      <c r="DP316" s="97"/>
    </row>
    <row r="317" spans="2:120" s="22" customFormat="1" hidden="1" outlineLevel="1" x14ac:dyDescent="0.35">
      <c r="B317" s="25" t="s">
        <v>243</v>
      </c>
      <c r="C317" s="75" t="s">
        <v>58</v>
      </c>
      <c r="D317" s="77">
        <v>6000</v>
      </c>
      <c r="E317" s="77"/>
      <c r="F317" s="77"/>
      <c r="G317" s="77"/>
      <c r="H317" s="77"/>
      <c r="I317" s="77"/>
      <c r="J317" s="77"/>
      <c r="K317" s="77"/>
      <c r="L317" s="77"/>
      <c r="M317" s="77">
        <v>1500</v>
      </c>
      <c r="N317" s="77"/>
      <c r="O317" s="77"/>
      <c r="P317" s="80">
        <v>7500</v>
      </c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80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80"/>
      <c r="AQ317" s="77">
        <v>131.28167941491574</v>
      </c>
      <c r="AR317" s="77"/>
      <c r="AS317" s="77"/>
      <c r="AT317" s="77"/>
      <c r="AU317" s="77"/>
      <c r="AV317" s="77"/>
      <c r="AW317" s="77"/>
      <c r="AX317" s="77"/>
      <c r="AY317" s="77"/>
      <c r="AZ317" s="77">
        <v>129.14333125006723</v>
      </c>
      <c r="BA317" s="77"/>
      <c r="BB317" s="77"/>
      <c r="BC317" s="83">
        <v>130.85400978194602</v>
      </c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83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83"/>
      <c r="CD317" s="77">
        <v>1540</v>
      </c>
      <c r="CE317" s="77"/>
      <c r="CF317" s="77"/>
      <c r="CG317" s="77"/>
      <c r="CH317" s="77"/>
      <c r="CI317" s="77"/>
      <c r="CJ317" s="77"/>
      <c r="CK317" s="77"/>
      <c r="CL317" s="77"/>
      <c r="CM317" s="77">
        <v>5458.732</v>
      </c>
      <c r="CN317" s="77"/>
      <c r="CO317" s="77"/>
      <c r="CP317" s="96">
        <v>2323.7464</v>
      </c>
      <c r="CQ317" s="77"/>
      <c r="CR317" s="77"/>
      <c r="CS317" s="77"/>
      <c r="CT317" s="77"/>
      <c r="CU317" s="77"/>
      <c r="CV317" s="77"/>
      <c r="CW317" s="77"/>
      <c r="CX317" s="77"/>
      <c r="CY317" s="77"/>
      <c r="CZ317" s="77"/>
      <c r="DA317" s="77"/>
      <c r="DB317" s="77"/>
      <c r="DC317" s="96"/>
      <c r="DD317" s="77"/>
      <c r="DE317" s="77"/>
      <c r="DF317" s="77"/>
      <c r="DG317" s="77"/>
      <c r="DH317" s="77"/>
      <c r="DI317" s="77"/>
      <c r="DJ317" s="77"/>
      <c r="DK317" s="77"/>
      <c r="DL317" s="77"/>
      <c r="DM317" s="77"/>
      <c r="DN317" s="77"/>
      <c r="DO317" s="77"/>
      <c r="DP317" s="96"/>
    </row>
    <row r="318" spans="2:120" s="22" customFormat="1" hidden="1" collapsed="1" x14ac:dyDescent="0.35">
      <c r="B318" s="106" t="s">
        <v>244</v>
      </c>
      <c r="C318" s="76"/>
      <c r="D318" s="78">
        <v>6000</v>
      </c>
      <c r="E318" s="78"/>
      <c r="F318" s="78"/>
      <c r="G318" s="78"/>
      <c r="H318" s="78"/>
      <c r="I318" s="78"/>
      <c r="J318" s="78"/>
      <c r="K318" s="78"/>
      <c r="L318" s="78"/>
      <c r="M318" s="78">
        <v>1500</v>
      </c>
      <c r="N318" s="78"/>
      <c r="O318" s="78"/>
      <c r="P318" s="81">
        <v>7500</v>
      </c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81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81"/>
      <c r="AQ318" s="78">
        <v>131.28167941491574</v>
      </c>
      <c r="AR318" s="78"/>
      <c r="AS318" s="78"/>
      <c r="AT318" s="78"/>
      <c r="AU318" s="78"/>
      <c r="AV318" s="78"/>
      <c r="AW318" s="78"/>
      <c r="AX318" s="78"/>
      <c r="AY318" s="78"/>
      <c r="AZ318" s="78">
        <v>129.14333125006723</v>
      </c>
      <c r="BA318" s="78"/>
      <c r="BB318" s="78"/>
      <c r="BC318" s="84">
        <v>130.85400978194602</v>
      </c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84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84"/>
      <c r="CD318" s="78">
        <v>1540</v>
      </c>
      <c r="CE318" s="78"/>
      <c r="CF318" s="78"/>
      <c r="CG318" s="78"/>
      <c r="CH318" s="78"/>
      <c r="CI318" s="78"/>
      <c r="CJ318" s="78"/>
      <c r="CK318" s="78"/>
      <c r="CL318" s="78"/>
      <c r="CM318" s="78">
        <v>5458.732</v>
      </c>
      <c r="CN318" s="78"/>
      <c r="CO318" s="78"/>
      <c r="CP318" s="97">
        <v>2323.7464</v>
      </c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97"/>
      <c r="DD318" s="78"/>
      <c r="DE318" s="78"/>
      <c r="DF318" s="78"/>
      <c r="DG318" s="78"/>
      <c r="DH318" s="78"/>
      <c r="DI318" s="78"/>
      <c r="DJ318" s="78"/>
      <c r="DK318" s="78"/>
      <c r="DL318" s="78"/>
      <c r="DM318" s="78"/>
      <c r="DN318" s="78"/>
      <c r="DO318" s="78"/>
      <c r="DP318" s="97"/>
    </row>
    <row r="319" spans="2:120" s="22" customFormat="1" hidden="1" outlineLevel="1" x14ac:dyDescent="0.35">
      <c r="B319" s="25" t="s">
        <v>245</v>
      </c>
      <c r="C319" s="75" t="s">
        <v>58</v>
      </c>
      <c r="D319" s="77"/>
      <c r="E319" s="77"/>
      <c r="F319" s="77"/>
      <c r="G319" s="77"/>
      <c r="H319" s="77"/>
      <c r="I319" s="77"/>
      <c r="J319" s="77"/>
      <c r="K319" s="77"/>
      <c r="L319" s="77"/>
      <c r="M319" s="77">
        <v>13750</v>
      </c>
      <c r="N319" s="77"/>
      <c r="O319" s="77"/>
      <c r="P319" s="80">
        <v>13750</v>
      </c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80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80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>
        <v>129.14333125006723</v>
      </c>
      <c r="BA319" s="77"/>
      <c r="BB319" s="77"/>
      <c r="BC319" s="83">
        <v>129.14333125006723</v>
      </c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83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83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>
        <v>4000</v>
      </c>
      <c r="CN319" s="77"/>
      <c r="CO319" s="77"/>
      <c r="CP319" s="96">
        <v>4000</v>
      </c>
      <c r="CQ319" s="77"/>
      <c r="CR319" s="77"/>
      <c r="CS319" s="77"/>
      <c r="CT319" s="77"/>
      <c r="CU319" s="77"/>
      <c r="CV319" s="77"/>
      <c r="CW319" s="77"/>
      <c r="CX319" s="77"/>
      <c r="CY319" s="77"/>
      <c r="CZ319" s="77"/>
      <c r="DA319" s="77"/>
      <c r="DB319" s="77"/>
      <c r="DC319" s="96"/>
      <c r="DD319" s="77"/>
      <c r="DE319" s="77"/>
      <c r="DF319" s="77"/>
      <c r="DG319" s="77"/>
      <c r="DH319" s="77"/>
      <c r="DI319" s="77"/>
      <c r="DJ319" s="77"/>
      <c r="DK319" s="77"/>
      <c r="DL319" s="77"/>
      <c r="DM319" s="77"/>
      <c r="DN319" s="77"/>
      <c r="DO319" s="77"/>
      <c r="DP319" s="96"/>
    </row>
    <row r="320" spans="2:120" s="22" customFormat="1" hidden="1" collapsed="1" x14ac:dyDescent="0.35">
      <c r="B320" s="106" t="s">
        <v>246</v>
      </c>
      <c r="C320" s="76"/>
      <c r="D320" s="78"/>
      <c r="E320" s="78"/>
      <c r="F320" s="78"/>
      <c r="G320" s="78"/>
      <c r="H320" s="78"/>
      <c r="I320" s="78"/>
      <c r="J320" s="78"/>
      <c r="K320" s="78"/>
      <c r="L320" s="78"/>
      <c r="M320" s="78">
        <v>13750</v>
      </c>
      <c r="N320" s="78"/>
      <c r="O320" s="78"/>
      <c r="P320" s="81">
        <v>13750</v>
      </c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81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81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>
        <v>129.14333125006723</v>
      </c>
      <c r="BA320" s="78"/>
      <c r="BB320" s="78"/>
      <c r="BC320" s="84">
        <v>129.14333125006723</v>
      </c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84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84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>
        <v>4000</v>
      </c>
      <c r="CN320" s="78"/>
      <c r="CO320" s="78"/>
      <c r="CP320" s="97">
        <v>4000</v>
      </c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97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97"/>
    </row>
    <row r="321" spans="2:120" s="22" customFormat="1" hidden="1" outlineLevel="1" x14ac:dyDescent="0.35">
      <c r="B321" s="25" t="s">
        <v>247</v>
      </c>
      <c r="C321" s="75" t="s">
        <v>58</v>
      </c>
      <c r="D321" s="77"/>
      <c r="E321" s="77"/>
      <c r="F321" s="77"/>
      <c r="G321" s="77"/>
      <c r="H321" s="77"/>
      <c r="I321" s="77"/>
      <c r="J321" s="77"/>
      <c r="K321" s="77"/>
      <c r="L321" s="77"/>
      <c r="M321" s="77">
        <v>12750</v>
      </c>
      <c r="N321" s="77"/>
      <c r="O321" s="77"/>
      <c r="P321" s="80">
        <v>12750</v>
      </c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80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80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>
        <v>129.14333125006723</v>
      </c>
      <c r="BA321" s="77"/>
      <c r="BB321" s="77"/>
      <c r="BC321" s="83">
        <v>129.14333125006723</v>
      </c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83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83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>
        <v>2963.2240000000002</v>
      </c>
      <c r="CN321" s="77"/>
      <c r="CO321" s="77"/>
      <c r="CP321" s="96">
        <v>2963.2240000000002</v>
      </c>
      <c r="CQ321" s="77"/>
      <c r="CR321" s="77"/>
      <c r="CS321" s="77"/>
      <c r="CT321" s="77"/>
      <c r="CU321" s="77"/>
      <c r="CV321" s="77"/>
      <c r="CW321" s="77"/>
      <c r="CX321" s="77"/>
      <c r="CY321" s="77"/>
      <c r="CZ321" s="77"/>
      <c r="DA321" s="77"/>
      <c r="DB321" s="77"/>
      <c r="DC321" s="96"/>
      <c r="DD321" s="77"/>
      <c r="DE321" s="77"/>
      <c r="DF321" s="77"/>
      <c r="DG321" s="77"/>
      <c r="DH321" s="77"/>
      <c r="DI321" s="77"/>
      <c r="DJ321" s="77"/>
      <c r="DK321" s="77"/>
      <c r="DL321" s="77"/>
      <c r="DM321" s="77"/>
      <c r="DN321" s="77"/>
      <c r="DO321" s="77"/>
      <c r="DP321" s="96"/>
    </row>
    <row r="322" spans="2:120" s="22" customFormat="1" hidden="1" collapsed="1" x14ac:dyDescent="0.35">
      <c r="B322" s="106" t="s">
        <v>248</v>
      </c>
      <c r="C322" s="76"/>
      <c r="D322" s="78"/>
      <c r="E322" s="78"/>
      <c r="F322" s="78"/>
      <c r="G322" s="78"/>
      <c r="H322" s="78"/>
      <c r="I322" s="78"/>
      <c r="J322" s="78"/>
      <c r="K322" s="78"/>
      <c r="L322" s="78"/>
      <c r="M322" s="78">
        <v>12750</v>
      </c>
      <c r="N322" s="78"/>
      <c r="O322" s="78"/>
      <c r="P322" s="81">
        <v>12750</v>
      </c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81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81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>
        <v>129.14333125006723</v>
      </c>
      <c r="BA322" s="78"/>
      <c r="BB322" s="78"/>
      <c r="BC322" s="84">
        <v>129.14333125006723</v>
      </c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84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84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>
        <v>2963.2240000000002</v>
      </c>
      <c r="CN322" s="78"/>
      <c r="CO322" s="78"/>
      <c r="CP322" s="97">
        <v>2963.2240000000002</v>
      </c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97"/>
      <c r="DD322" s="78"/>
      <c r="DE322" s="78"/>
      <c r="DF322" s="78"/>
      <c r="DG322" s="78"/>
      <c r="DH322" s="78"/>
      <c r="DI322" s="78"/>
      <c r="DJ322" s="78"/>
      <c r="DK322" s="78"/>
      <c r="DL322" s="78"/>
      <c r="DM322" s="78"/>
      <c r="DN322" s="78"/>
      <c r="DO322" s="78"/>
      <c r="DP322" s="97"/>
    </row>
    <row r="323" spans="2:120" s="22" customFormat="1" hidden="1" outlineLevel="1" x14ac:dyDescent="0.35">
      <c r="B323" s="25" t="s">
        <v>249</v>
      </c>
      <c r="C323" s="75" t="s">
        <v>58</v>
      </c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80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80"/>
      <c r="AD323" s="77">
        <v>1500</v>
      </c>
      <c r="AE323" s="77"/>
      <c r="AF323" s="77">
        <v>1500</v>
      </c>
      <c r="AG323" s="77"/>
      <c r="AH323" s="77"/>
      <c r="AI323" s="77"/>
      <c r="AJ323" s="77"/>
      <c r="AK323" s="77"/>
      <c r="AL323" s="77"/>
      <c r="AM323" s="77"/>
      <c r="AN323" s="77"/>
      <c r="AO323" s="77"/>
      <c r="AP323" s="80">
        <v>3000</v>
      </c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83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83"/>
      <c r="BQ323" s="77">
        <v>838.63195375593625</v>
      </c>
      <c r="BR323" s="77"/>
      <c r="BS323" s="77">
        <v>839.40117482779237</v>
      </c>
      <c r="BT323" s="77"/>
      <c r="BU323" s="77"/>
      <c r="BV323" s="77"/>
      <c r="BW323" s="77"/>
      <c r="BX323" s="77"/>
      <c r="BY323" s="77"/>
      <c r="BZ323" s="77"/>
      <c r="CA323" s="77"/>
      <c r="CB323" s="77"/>
      <c r="CC323" s="83">
        <v>839.01656429186437</v>
      </c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96"/>
      <c r="CQ323" s="77"/>
      <c r="CR323" s="77"/>
      <c r="CS323" s="77"/>
      <c r="CT323" s="77"/>
      <c r="CU323" s="77"/>
      <c r="CV323" s="77"/>
      <c r="CW323" s="77"/>
      <c r="CX323" s="77"/>
      <c r="CY323" s="77"/>
      <c r="CZ323" s="77"/>
      <c r="DA323" s="77"/>
      <c r="DB323" s="77"/>
      <c r="DC323" s="96"/>
      <c r="DD323" s="77">
        <v>20383.261511111108</v>
      </c>
      <c r="DE323" s="77"/>
      <c r="DF323" s="77">
        <v>20383.261906976742</v>
      </c>
      <c r="DG323" s="77"/>
      <c r="DH323" s="77"/>
      <c r="DI323" s="77"/>
      <c r="DJ323" s="77"/>
      <c r="DK323" s="77"/>
      <c r="DL323" s="77"/>
      <c r="DM323" s="77"/>
      <c r="DN323" s="77"/>
      <c r="DO323" s="77"/>
      <c r="DP323" s="96">
        <v>20383.261709043923</v>
      </c>
    </row>
    <row r="324" spans="2:120" s="22" customFormat="1" hidden="1" outlineLevel="1" x14ac:dyDescent="0.35">
      <c r="B324" s="25" t="s">
        <v>249</v>
      </c>
      <c r="C324" s="75" t="s">
        <v>147</v>
      </c>
      <c r="D324" s="77"/>
      <c r="E324" s="77"/>
      <c r="F324" s="77">
        <v>39000</v>
      </c>
      <c r="G324" s="77">
        <v>30500</v>
      </c>
      <c r="H324" s="77">
        <v>35250</v>
      </c>
      <c r="I324" s="77">
        <v>5250</v>
      </c>
      <c r="J324" s="77"/>
      <c r="K324" s="77"/>
      <c r="L324" s="77"/>
      <c r="M324" s="77"/>
      <c r="N324" s="77"/>
      <c r="O324" s="77"/>
      <c r="P324" s="80">
        <v>110000</v>
      </c>
      <c r="Q324" s="77"/>
      <c r="R324" s="77"/>
      <c r="S324" s="77">
        <v>5250</v>
      </c>
      <c r="T324" s="77"/>
      <c r="U324" s="77">
        <v>20250</v>
      </c>
      <c r="V324" s="77"/>
      <c r="W324" s="77">
        <v>9750</v>
      </c>
      <c r="X324" s="77"/>
      <c r="Y324" s="77"/>
      <c r="Z324" s="77"/>
      <c r="AA324" s="77"/>
      <c r="AB324" s="77"/>
      <c r="AC324" s="80">
        <v>35250</v>
      </c>
      <c r="AD324" s="77">
        <v>9750</v>
      </c>
      <c r="AE324" s="77"/>
      <c r="AF324" s="77">
        <v>20000</v>
      </c>
      <c r="AG324" s="77"/>
      <c r="AH324" s="77"/>
      <c r="AI324" s="77"/>
      <c r="AJ324" s="77"/>
      <c r="AK324" s="77"/>
      <c r="AL324" s="77"/>
      <c r="AM324" s="77"/>
      <c r="AN324" s="77"/>
      <c r="AO324" s="77"/>
      <c r="AP324" s="80">
        <v>29750</v>
      </c>
      <c r="AQ324" s="77"/>
      <c r="AR324" s="77"/>
      <c r="AS324" s="77">
        <v>888.01464220904484</v>
      </c>
      <c r="AT324" s="77">
        <v>871.09306158739923</v>
      </c>
      <c r="AU324" s="77">
        <v>864.45386642273354</v>
      </c>
      <c r="AV324" s="77">
        <v>864.01674726135354</v>
      </c>
      <c r="AW324" s="77"/>
      <c r="AX324" s="77"/>
      <c r="AY324" s="77"/>
      <c r="AZ324" s="77"/>
      <c r="BA324" s="77"/>
      <c r="BB324" s="77"/>
      <c r="BC324" s="83">
        <v>874.62723762810799</v>
      </c>
      <c r="BD324" s="77"/>
      <c r="BE324" s="77"/>
      <c r="BF324" s="77">
        <v>720.83152622865066</v>
      </c>
      <c r="BG324" s="77"/>
      <c r="BH324" s="77">
        <v>691.68691229639023</v>
      </c>
      <c r="BI324" s="77"/>
      <c r="BJ324" s="77">
        <v>686.12567366567862</v>
      </c>
      <c r="BK324" s="77"/>
      <c r="BL324" s="77"/>
      <c r="BM324" s="77"/>
      <c r="BN324" s="77"/>
      <c r="BO324" s="77"/>
      <c r="BP324" s="83">
        <v>694.48938453738117</v>
      </c>
      <c r="BQ324" s="77">
        <v>645.07010943936632</v>
      </c>
      <c r="BR324" s="77"/>
      <c r="BS324" s="77">
        <v>646.31051963056689</v>
      </c>
      <c r="BT324" s="77"/>
      <c r="BU324" s="77"/>
      <c r="BV324" s="77"/>
      <c r="BW324" s="77"/>
      <c r="BX324" s="77"/>
      <c r="BY324" s="77"/>
      <c r="BZ324" s="77"/>
      <c r="CA324" s="77"/>
      <c r="CB324" s="77"/>
      <c r="CC324" s="83">
        <v>645.90399864353481</v>
      </c>
      <c r="CD324" s="77"/>
      <c r="CE324" s="77"/>
      <c r="CF324" s="77">
        <v>24149.423205128202</v>
      </c>
      <c r="CG324" s="77">
        <v>20340.551377049182</v>
      </c>
      <c r="CH324" s="77">
        <v>22449.363092198582</v>
      </c>
      <c r="CI324" s="77">
        <v>21754.551809523811</v>
      </c>
      <c r="CJ324" s="77"/>
      <c r="CK324" s="77"/>
      <c r="CL324" s="77"/>
      <c r="CM324" s="77"/>
      <c r="CN324" s="77"/>
      <c r="CO324" s="77"/>
      <c r="CP324" s="96">
        <v>22434.234254545456</v>
      </c>
      <c r="CQ324" s="77"/>
      <c r="CR324" s="77"/>
      <c r="CS324" s="77">
        <v>20383.261142857144</v>
      </c>
      <c r="CT324" s="77"/>
      <c r="CU324" s="77">
        <v>20383.261333333332</v>
      </c>
      <c r="CV324" s="77"/>
      <c r="CW324" s="77">
        <v>20383.261333333332</v>
      </c>
      <c r="CX324" s="77"/>
      <c r="CY324" s="77"/>
      <c r="CZ324" s="77"/>
      <c r="DA324" s="77"/>
      <c r="DB324" s="77"/>
      <c r="DC324" s="96">
        <v>20383.261304964541</v>
      </c>
      <c r="DD324" s="77">
        <v>20383.261511111112</v>
      </c>
      <c r="DE324" s="77"/>
      <c r="DF324" s="77">
        <v>20383.261906976742</v>
      </c>
      <c r="DG324" s="77"/>
      <c r="DH324" s="77"/>
      <c r="DI324" s="77"/>
      <c r="DJ324" s="77"/>
      <c r="DK324" s="77"/>
      <c r="DL324" s="77"/>
      <c r="DM324" s="77"/>
      <c r="DN324" s="77"/>
      <c r="DO324" s="77"/>
      <c r="DP324" s="96">
        <v>20383.261777239266</v>
      </c>
    </row>
    <row r="325" spans="2:120" s="22" customFormat="1" hidden="1" outlineLevel="1" x14ac:dyDescent="0.35">
      <c r="B325" s="25" t="s">
        <v>249</v>
      </c>
      <c r="C325" s="75" t="s">
        <v>197</v>
      </c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80"/>
      <c r="Q325" s="77"/>
      <c r="R325" s="77"/>
      <c r="S325" s="77"/>
      <c r="T325" s="77">
        <v>100</v>
      </c>
      <c r="U325" s="77"/>
      <c r="V325" s="77"/>
      <c r="W325" s="77"/>
      <c r="X325" s="77"/>
      <c r="Y325" s="77"/>
      <c r="Z325" s="77"/>
      <c r="AA325" s="77"/>
      <c r="AB325" s="77"/>
      <c r="AC325" s="80">
        <v>100</v>
      </c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80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83"/>
      <c r="BD325" s="77"/>
      <c r="BE325" s="77"/>
      <c r="BF325" s="77"/>
      <c r="BG325" s="77">
        <v>787.71801346715108</v>
      </c>
      <c r="BH325" s="77"/>
      <c r="BI325" s="77"/>
      <c r="BJ325" s="77"/>
      <c r="BK325" s="77"/>
      <c r="BL325" s="77"/>
      <c r="BM325" s="77"/>
      <c r="BN325" s="77"/>
      <c r="BO325" s="77"/>
      <c r="BP325" s="83">
        <v>787.71801346715108</v>
      </c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83"/>
      <c r="CD325" s="77"/>
      <c r="CE325" s="77"/>
      <c r="CF325" s="77"/>
      <c r="CG325" s="77"/>
      <c r="CH325" s="77"/>
      <c r="CI325" s="77"/>
      <c r="CJ325" s="77"/>
      <c r="CK325" s="77"/>
      <c r="CL325" s="77"/>
      <c r="CM325" s="77"/>
      <c r="CN325" s="77"/>
      <c r="CO325" s="77"/>
      <c r="CP325" s="96"/>
      <c r="CQ325" s="77"/>
      <c r="CR325" s="77"/>
      <c r="CS325" s="77"/>
      <c r="CT325" s="77">
        <v>20383.259999999998</v>
      </c>
      <c r="CU325" s="77"/>
      <c r="CV325" s="77"/>
      <c r="CW325" s="77"/>
      <c r="CX325" s="77"/>
      <c r="CY325" s="77"/>
      <c r="CZ325" s="77"/>
      <c r="DA325" s="77"/>
      <c r="DB325" s="77"/>
      <c r="DC325" s="96">
        <v>20383.259999999998</v>
      </c>
      <c r="DD325" s="77"/>
      <c r="DE325" s="77"/>
      <c r="DF325" s="77"/>
      <c r="DG325" s="77"/>
      <c r="DH325" s="77"/>
      <c r="DI325" s="77"/>
      <c r="DJ325" s="77"/>
      <c r="DK325" s="77"/>
      <c r="DL325" s="77"/>
      <c r="DM325" s="77"/>
      <c r="DN325" s="77"/>
      <c r="DO325" s="77"/>
      <c r="DP325" s="96"/>
    </row>
    <row r="326" spans="2:120" s="22" customFormat="1" hidden="1" outlineLevel="1" x14ac:dyDescent="0.35">
      <c r="B326" s="25" t="s">
        <v>249</v>
      </c>
      <c r="C326" s="75" t="s">
        <v>215</v>
      </c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80"/>
      <c r="Q326" s="77"/>
      <c r="R326" s="77"/>
      <c r="S326" s="77"/>
      <c r="T326" s="77"/>
      <c r="U326" s="77"/>
      <c r="V326" s="77"/>
      <c r="W326" s="77">
        <v>6000</v>
      </c>
      <c r="X326" s="77"/>
      <c r="Y326" s="77">
        <v>6000</v>
      </c>
      <c r="Z326" s="77"/>
      <c r="AA326" s="77"/>
      <c r="AB326" s="77"/>
      <c r="AC326" s="80">
        <v>12000</v>
      </c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80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83"/>
      <c r="BD326" s="77"/>
      <c r="BE326" s="77"/>
      <c r="BF326" s="77"/>
      <c r="BG326" s="77"/>
      <c r="BH326" s="77"/>
      <c r="BI326" s="77"/>
      <c r="BJ326" s="77">
        <v>614.86786915299103</v>
      </c>
      <c r="BK326" s="77"/>
      <c r="BL326" s="77">
        <v>609.83931082485299</v>
      </c>
      <c r="BM326" s="77"/>
      <c r="BN326" s="77"/>
      <c r="BO326" s="77"/>
      <c r="BP326" s="83">
        <v>612.35358998892207</v>
      </c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83"/>
      <c r="CD326" s="77"/>
      <c r="CE326" s="77"/>
      <c r="CF326" s="77"/>
      <c r="CG326" s="77"/>
      <c r="CH326" s="77"/>
      <c r="CI326" s="77"/>
      <c r="CJ326" s="77"/>
      <c r="CK326" s="77"/>
      <c r="CL326" s="77"/>
      <c r="CM326" s="77"/>
      <c r="CN326" s="77"/>
      <c r="CO326" s="77"/>
      <c r="CP326" s="96"/>
      <c r="CQ326" s="77"/>
      <c r="CR326" s="77"/>
      <c r="CS326" s="77"/>
      <c r="CT326" s="77"/>
      <c r="CU326" s="77"/>
      <c r="CV326" s="77"/>
      <c r="CW326" s="77">
        <v>20383.261333333332</v>
      </c>
      <c r="CX326" s="77"/>
      <c r="CY326" s="77">
        <v>20383.261666666665</v>
      </c>
      <c r="CZ326" s="77"/>
      <c r="DA326" s="77"/>
      <c r="DB326" s="77"/>
      <c r="DC326" s="96">
        <v>20383.261500000001</v>
      </c>
      <c r="DD326" s="77"/>
      <c r="DE326" s="77"/>
      <c r="DF326" s="77"/>
      <c r="DG326" s="77"/>
      <c r="DH326" s="77"/>
      <c r="DI326" s="77"/>
      <c r="DJ326" s="77"/>
      <c r="DK326" s="77"/>
      <c r="DL326" s="77"/>
      <c r="DM326" s="77"/>
      <c r="DN326" s="77"/>
      <c r="DO326" s="77"/>
      <c r="DP326" s="96"/>
    </row>
    <row r="327" spans="2:120" s="22" customFormat="1" hidden="1" outlineLevel="1" x14ac:dyDescent="0.35">
      <c r="B327" s="25" t="s">
        <v>249</v>
      </c>
      <c r="C327" s="75" t="s">
        <v>211</v>
      </c>
      <c r="D327" s="77">
        <v>15000</v>
      </c>
      <c r="E327" s="77">
        <v>15000</v>
      </c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80">
        <v>30000</v>
      </c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80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80"/>
      <c r="AQ327" s="77">
        <v>806.41605980168924</v>
      </c>
      <c r="AR327" s="77">
        <v>802.14464334248976</v>
      </c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83">
        <v>804.28035157208967</v>
      </c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83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83"/>
      <c r="CD327" s="77">
        <v>22203.40346666667</v>
      </c>
      <c r="CE327" s="77">
        <v>20558.593133333332</v>
      </c>
      <c r="CF327" s="77"/>
      <c r="CG327" s="77"/>
      <c r="CH327" s="77"/>
      <c r="CI327" s="77"/>
      <c r="CJ327" s="77"/>
      <c r="CK327" s="77"/>
      <c r="CL327" s="77"/>
      <c r="CM327" s="77"/>
      <c r="CN327" s="77"/>
      <c r="CO327" s="77"/>
      <c r="CP327" s="96">
        <v>21380.998300000003</v>
      </c>
      <c r="CQ327" s="77"/>
      <c r="CR327" s="77"/>
      <c r="CS327" s="77"/>
      <c r="CT327" s="77"/>
      <c r="CU327" s="77"/>
      <c r="CV327" s="77"/>
      <c r="CW327" s="77"/>
      <c r="CX327" s="77"/>
      <c r="CY327" s="77"/>
      <c r="CZ327" s="77"/>
      <c r="DA327" s="77"/>
      <c r="DB327" s="77"/>
      <c r="DC327" s="96"/>
      <c r="DD327" s="77"/>
      <c r="DE327" s="77"/>
      <c r="DF327" s="77"/>
      <c r="DG327" s="77"/>
      <c r="DH327" s="77"/>
      <c r="DI327" s="77"/>
      <c r="DJ327" s="77"/>
      <c r="DK327" s="77"/>
      <c r="DL327" s="77"/>
      <c r="DM327" s="77"/>
      <c r="DN327" s="77"/>
      <c r="DO327" s="77"/>
      <c r="DP327" s="96"/>
    </row>
    <row r="328" spans="2:120" s="22" customFormat="1" hidden="1" collapsed="1" x14ac:dyDescent="0.35">
      <c r="B328" s="106" t="s">
        <v>250</v>
      </c>
      <c r="C328" s="76"/>
      <c r="D328" s="78">
        <v>15000</v>
      </c>
      <c r="E328" s="78">
        <v>15000</v>
      </c>
      <c r="F328" s="78">
        <v>39000</v>
      </c>
      <c r="G328" s="78">
        <v>30500</v>
      </c>
      <c r="H328" s="78">
        <v>35250</v>
      </c>
      <c r="I328" s="78">
        <v>5250</v>
      </c>
      <c r="J328" s="78"/>
      <c r="K328" s="78"/>
      <c r="L328" s="78"/>
      <c r="M328" s="78"/>
      <c r="N328" s="78"/>
      <c r="O328" s="78"/>
      <c r="P328" s="81">
        <v>140000</v>
      </c>
      <c r="Q328" s="78"/>
      <c r="R328" s="78"/>
      <c r="S328" s="78">
        <v>5250</v>
      </c>
      <c r="T328" s="78">
        <v>100</v>
      </c>
      <c r="U328" s="78">
        <v>20250</v>
      </c>
      <c r="V328" s="78"/>
      <c r="W328" s="78">
        <v>15750</v>
      </c>
      <c r="X328" s="78"/>
      <c r="Y328" s="78">
        <v>6000</v>
      </c>
      <c r="Z328" s="78"/>
      <c r="AA328" s="78"/>
      <c r="AB328" s="78"/>
      <c r="AC328" s="81">
        <v>47350</v>
      </c>
      <c r="AD328" s="78">
        <v>11250</v>
      </c>
      <c r="AE328" s="78"/>
      <c r="AF328" s="78">
        <v>21500</v>
      </c>
      <c r="AG328" s="78"/>
      <c r="AH328" s="78"/>
      <c r="AI328" s="78"/>
      <c r="AJ328" s="78"/>
      <c r="AK328" s="78"/>
      <c r="AL328" s="78"/>
      <c r="AM328" s="78"/>
      <c r="AN328" s="78"/>
      <c r="AO328" s="78"/>
      <c r="AP328" s="81">
        <v>32750</v>
      </c>
      <c r="AQ328" s="78">
        <v>806.41605980168924</v>
      </c>
      <c r="AR328" s="78">
        <v>802.14464334248976</v>
      </c>
      <c r="AS328" s="78">
        <v>888.01464220904484</v>
      </c>
      <c r="AT328" s="78">
        <v>871.09306158739923</v>
      </c>
      <c r="AU328" s="78">
        <v>864.45386642273354</v>
      </c>
      <c r="AV328" s="78">
        <v>864.01674726135354</v>
      </c>
      <c r="AW328" s="78"/>
      <c r="AX328" s="78"/>
      <c r="AY328" s="78"/>
      <c r="AZ328" s="78"/>
      <c r="BA328" s="78"/>
      <c r="BB328" s="78"/>
      <c r="BC328" s="84">
        <v>859.55290490181835</v>
      </c>
      <c r="BD328" s="78"/>
      <c r="BE328" s="78"/>
      <c r="BF328" s="78">
        <v>720.83152622865066</v>
      </c>
      <c r="BG328" s="78">
        <v>787.71801346715108</v>
      </c>
      <c r="BH328" s="78">
        <v>691.68691229639023</v>
      </c>
      <c r="BI328" s="78"/>
      <c r="BJ328" s="78">
        <v>658.97984337513105</v>
      </c>
      <c r="BK328" s="78"/>
      <c r="BL328" s="78">
        <v>609.83931082485299</v>
      </c>
      <c r="BM328" s="78"/>
      <c r="BN328" s="78"/>
      <c r="BO328" s="78"/>
      <c r="BP328" s="84">
        <v>673.87044743730667</v>
      </c>
      <c r="BQ328" s="78">
        <v>670.87835534824228</v>
      </c>
      <c r="BR328" s="78"/>
      <c r="BS328" s="78">
        <v>659.78196069083845</v>
      </c>
      <c r="BT328" s="78"/>
      <c r="BU328" s="78"/>
      <c r="BV328" s="78"/>
      <c r="BW328" s="78"/>
      <c r="BX328" s="78"/>
      <c r="BY328" s="78"/>
      <c r="BZ328" s="78"/>
      <c r="CA328" s="78"/>
      <c r="CB328" s="78"/>
      <c r="CC328" s="84">
        <v>663.59369931361084</v>
      </c>
      <c r="CD328" s="78">
        <v>22203.40346666667</v>
      </c>
      <c r="CE328" s="78">
        <v>20558.593133333332</v>
      </c>
      <c r="CF328" s="78">
        <v>24149.423205128202</v>
      </c>
      <c r="CG328" s="78">
        <v>20340.551377049182</v>
      </c>
      <c r="CH328" s="78">
        <v>22449.363092198582</v>
      </c>
      <c r="CI328" s="78">
        <v>21754.551809523811</v>
      </c>
      <c r="CJ328" s="78"/>
      <c r="CK328" s="78"/>
      <c r="CL328" s="78"/>
      <c r="CM328" s="78"/>
      <c r="CN328" s="78"/>
      <c r="CO328" s="78"/>
      <c r="CP328" s="97">
        <v>22208.540835714281</v>
      </c>
      <c r="CQ328" s="78"/>
      <c r="CR328" s="78"/>
      <c r="CS328" s="78">
        <v>20383.261142857144</v>
      </c>
      <c r="CT328" s="78">
        <v>20383.259999999998</v>
      </c>
      <c r="CU328" s="78">
        <v>20383.261333333332</v>
      </c>
      <c r="CV328" s="78"/>
      <c r="CW328" s="78">
        <v>20383.261333333332</v>
      </c>
      <c r="CX328" s="78"/>
      <c r="CY328" s="78">
        <v>20383.261666666665</v>
      </c>
      <c r="CZ328" s="78"/>
      <c r="DA328" s="78"/>
      <c r="DB328" s="78"/>
      <c r="DC328" s="97">
        <v>20383.261351636749</v>
      </c>
      <c r="DD328" s="78">
        <v>20383.261511111112</v>
      </c>
      <c r="DE328" s="78"/>
      <c r="DF328" s="78">
        <v>20383.261906976742</v>
      </c>
      <c r="DG328" s="78"/>
      <c r="DH328" s="78"/>
      <c r="DI328" s="78"/>
      <c r="DJ328" s="78"/>
      <c r="DK328" s="78"/>
      <c r="DL328" s="78"/>
      <c r="DM328" s="78"/>
      <c r="DN328" s="78"/>
      <c r="DO328" s="78"/>
      <c r="DP328" s="97">
        <v>20383.261770992365</v>
      </c>
    </row>
    <row r="329" spans="2:120" s="22" customFormat="1" hidden="1" outlineLevel="1" x14ac:dyDescent="0.35">
      <c r="B329" s="25" t="s">
        <v>251</v>
      </c>
      <c r="C329" s="75" t="s">
        <v>197</v>
      </c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80"/>
      <c r="Q329" s="77"/>
      <c r="R329" s="77"/>
      <c r="S329" s="77"/>
      <c r="T329" s="77">
        <v>100</v>
      </c>
      <c r="U329" s="77"/>
      <c r="V329" s="77"/>
      <c r="W329" s="77"/>
      <c r="X329" s="77"/>
      <c r="Y329" s="77"/>
      <c r="Z329" s="77"/>
      <c r="AA329" s="77"/>
      <c r="AB329" s="77"/>
      <c r="AC329" s="80">
        <v>100</v>
      </c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80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83"/>
      <c r="BD329" s="77"/>
      <c r="BE329" s="77"/>
      <c r="BF329" s="77"/>
      <c r="BG329" s="77">
        <v>787.71801346715108</v>
      </c>
      <c r="BH329" s="77"/>
      <c r="BI329" s="77"/>
      <c r="BJ329" s="77"/>
      <c r="BK329" s="77"/>
      <c r="BL329" s="77"/>
      <c r="BM329" s="77"/>
      <c r="BN329" s="77"/>
      <c r="BO329" s="77"/>
      <c r="BP329" s="83">
        <v>787.71801346715108</v>
      </c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83"/>
      <c r="CD329" s="77"/>
      <c r="CE329" s="77"/>
      <c r="CF329" s="77"/>
      <c r="CG329" s="77"/>
      <c r="CH329" s="77"/>
      <c r="CI329" s="77"/>
      <c r="CJ329" s="77"/>
      <c r="CK329" s="77"/>
      <c r="CL329" s="77"/>
      <c r="CM329" s="77"/>
      <c r="CN329" s="77"/>
      <c r="CO329" s="77"/>
      <c r="CP329" s="96"/>
      <c r="CQ329" s="77"/>
      <c r="CR329" s="77"/>
      <c r="CS329" s="77"/>
      <c r="CT329" s="77">
        <v>19424.599999999999</v>
      </c>
      <c r="CU329" s="77"/>
      <c r="CV329" s="77"/>
      <c r="CW329" s="77"/>
      <c r="CX329" s="77"/>
      <c r="CY329" s="77"/>
      <c r="CZ329" s="77"/>
      <c r="DA329" s="77"/>
      <c r="DB329" s="77"/>
      <c r="DC329" s="96">
        <v>19424.599999999999</v>
      </c>
      <c r="DD329" s="77"/>
      <c r="DE329" s="77"/>
      <c r="DF329" s="77"/>
      <c r="DG329" s="77"/>
      <c r="DH329" s="77"/>
      <c r="DI329" s="77"/>
      <c r="DJ329" s="77"/>
      <c r="DK329" s="77"/>
      <c r="DL329" s="77"/>
      <c r="DM329" s="77"/>
      <c r="DN329" s="77"/>
      <c r="DO329" s="77"/>
      <c r="DP329" s="96"/>
    </row>
    <row r="330" spans="2:120" s="22" customFormat="1" hidden="1" collapsed="1" x14ac:dyDescent="0.35">
      <c r="B330" s="106" t="s">
        <v>252</v>
      </c>
      <c r="C330" s="76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81"/>
      <c r="Q330" s="78"/>
      <c r="R330" s="78"/>
      <c r="S330" s="78"/>
      <c r="T330" s="78">
        <v>100</v>
      </c>
      <c r="U330" s="78"/>
      <c r="V330" s="78"/>
      <c r="W330" s="78"/>
      <c r="X330" s="78"/>
      <c r="Y330" s="78"/>
      <c r="Z330" s="78"/>
      <c r="AA330" s="78"/>
      <c r="AB330" s="78"/>
      <c r="AC330" s="81">
        <v>100</v>
      </c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81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84"/>
      <c r="BD330" s="78"/>
      <c r="BE330" s="78"/>
      <c r="BF330" s="78"/>
      <c r="BG330" s="78">
        <v>787.71801346715108</v>
      </c>
      <c r="BH330" s="78"/>
      <c r="BI330" s="78"/>
      <c r="BJ330" s="78"/>
      <c r="BK330" s="78"/>
      <c r="BL330" s="78"/>
      <c r="BM330" s="78"/>
      <c r="BN330" s="78"/>
      <c r="BO330" s="78"/>
      <c r="BP330" s="84">
        <v>787.71801346715108</v>
      </c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84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97"/>
      <c r="CQ330" s="78"/>
      <c r="CR330" s="78"/>
      <c r="CS330" s="78"/>
      <c r="CT330" s="78">
        <v>19424.599999999999</v>
      </c>
      <c r="CU330" s="78"/>
      <c r="CV330" s="78"/>
      <c r="CW330" s="78"/>
      <c r="CX330" s="78"/>
      <c r="CY330" s="78"/>
      <c r="CZ330" s="78"/>
      <c r="DA330" s="78"/>
      <c r="DB330" s="78"/>
      <c r="DC330" s="97">
        <v>19424.599999999999</v>
      </c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97"/>
    </row>
    <row r="331" spans="2:120" s="22" customFormat="1" hidden="1" outlineLevel="1" x14ac:dyDescent="0.35">
      <c r="B331" s="25" t="s">
        <v>253</v>
      </c>
      <c r="C331" s="75" t="s">
        <v>5</v>
      </c>
      <c r="D331" s="77">
        <v>500</v>
      </c>
      <c r="E331" s="77"/>
      <c r="F331" s="77"/>
      <c r="G331" s="77"/>
      <c r="H331" s="77">
        <v>11000</v>
      </c>
      <c r="I331" s="77"/>
      <c r="J331" s="77"/>
      <c r="K331" s="77"/>
      <c r="L331" s="77"/>
      <c r="M331" s="77"/>
      <c r="N331" s="77">
        <v>5500</v>
      </c>
      <c r="O331" s="77">
        <v>300</v>
      </c>
      <c r="P331" s="80">
        <v>17300</v>
      </c>
      <c r="Q331" s="77"/>
      <c r="R331" s="77"/>
      <c r="S331" s="77"/>
      <c r="T331" s="77"/>
      <c r="U331" s="77">
        <v>25</v>
      </c>
      <c r="V331" s="77">
        <v>5500</v>
      </c>
      <c r="W331" s="77"/>
      <c r="X331" s="77"/>
      <c r="Y331" s="77"/>
      <c r="Z331" s="77"/>
      <c r="AA331" s="77"/>
      <c r="AB331" s="77"/>
      <c r="AC331" s="80">
        <v>5525</v>
      </c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80"/>
      <c r="AQ331" s="77">
        <v>1462.0676534339896</v>
      </c>
      <c r="AR331" s="77"/>
      <c r="AS331" s="77"/>
      <c r="AT331" s="77"/>
      <c r="AU331" s="77">
        <v>1338.2434719886903</v>
      </c>
      <c r="AV331" s="77"/>
      <c r="AW331" s="77"/>
      <c r="AX331" s="77"/>
      <c r="AY331" s="77"/>
      <c r="AZ331" s="77"/>
      <c r="BA331" s="77">
        <v>1326.5102771876827</v>
      </c>
      <c r="BB331" s="77">
        <v>1363.2553138736289</v>
      </c>
      <c r="BC331" s="83">
        <v>1338.5257304790134</v>
      </c>
      <c r="BD331" s="77"/>
      <c r="BE331" s="77"/>
      <c r="BF331" s="77"/>
      <c r="BG331" s="77"/>
      <c r="BH331" s="77">
        <v>1293.502368798197</v>
      </c>
      <c r="BI331" s="77">
        <v>1286.7109010754677</v>
      </c>
      <c r="BJ331" s="77"/>
      <c r="BK331" s="77"/>
      <c r="BL331" s="77"/>
      <c r="BM331" s="77"/>
      <c r="BN331" s="77"/>
      <c r="BO331" s="77"/>
      <c r="BP331" s="83">
        <v>1286.7416316986476</v>
      </c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83"/>
      <c r="CD331" s="77">
        <v>23039.446</v>
      </c>
      <c r="CE331" s="77"/>
      <c r="CF331" s="77"/>
      <c r="CG331" s="77"/>
      <c r="CH331" s="77">
        <v>23908.264999999999</v>
      </c>
      <c r="CI331" s="77"/>
      <c r="CJ331" s="77"/>
      <c r="CK331" s="77"/>
      <c r="CL331" s="77"/>
      <c r="CM331" s="77"/>
      <c r="CN331" s="77">
        <v>23532.615818181817</v>
      </c>
      <c r="CO331" s="77">
        <v>23717.173333333332</v>
      </c>
      <c r="CP331" s="96">
        <v>23760.41485549133</v>
      </c>
      <c r="CQ331" s="77"/>
      <c r="CR331" s="77"/>
      <c r="CS331" s="77"/>
      <c r="CT331" s="77"/>
      <c r="CU331" s="77">
        <v>24210.757285067866</v>
      </c>
      <c r="CV331" s="77">
        <v>24211.24490909091</v>
      </c>
      <c r="CW331" s="77"/>
      <c r="CX331" s="77"/>
      <c r="CY331" s="77"/>
      <c r="CZ331" s="77"/>
      <c r="DA331" s="77"/>
      <c r="DB331" s="77"/>
      <c r="DC331" s="96">
        <v>24211.242702647367</v>
      </c>
      <c r="DD331" s="77"/>
      <c r="DE331" s="77"/>
      <c r="DF331" s="77"/>
      <c r="DG331" s="77"/>
      <c r="DH331" s="77"/>
      <c r="DI331" s="77"/>
      <c r="DJ331" s="77"/>
      <c r="DK331" s="77"/>
      <c r="DL331" s="77"/>
      <c r="DM331" s="77"/>
      <c r="DN331" s="77"/>
      <c r="DO331" s="77"/>
      <c r="DP331" s="96"/>
    </row>
    <row r="332" spans="2:120" s="22" customFormat="1" hidden="1" outlineLevel="1" x14ac:dyDescent="0.35">
      <c r="B332" s="25" t="s">
        <v>253</v>
      </c>
      <c r="C332" s="75" t="s">
        <v>50</v>
      </c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80"/>
      <c r="Q332" s="77"/>
      <c r="R332" s="77"/>
      <c r="S332" s="77"/>
      <c r="T332" s="77"/>
      <c r="U332" s="77"/>
      <c r="V332" s="77"/>
      <c r="W332" s="77"/>
      <c r="X332" s="77"/>
      <c r="Y332" s="77"/>
      <c r="Z332" s="77">
        <v>2750</v>
      </c>
      <c r="AA332" s="77"/>
      <c r="AB332" s="77"/>
      <c r="AC332" s="80">
        <v>2750</v>
      </c>
      <c r="AD332" s="77"/>
      <c r="AE332" s="77"/>
      <c r="AF332" s="77"/>
      <c r="AG332" s="77">
        <v>28875</v>
      </c>
      <c r="AH332" s="77"/>
      <c r="AI332" s="77"/>
      <c r="AJ332" s="77"/>
      <c r="AK332" s="77"/>
      <c r="AL332" s="77"/>
      <c r="AM332" s="77"/>
      <c r="AN332" s="77"/>
      <c r="AO332" s="77"/>
      <c r="AP332" s="80">
        <v>28875</v>
      </c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83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>
        <v>1318.8009778280812</v>
      </c>
      <c r="BN332" s="77"/>
      <c r="BO332" s="77"/>
      <c r="BP332" s="83">
        <v>1318.8009778280812</v>
      </c>
      <c r="BQ332" s="77"/>
      <c r="BR332" s="77"/>
      <c r="BS332" s="77"/>
      <c r="BT332" s="77">
        <v>1278.542528735632</v>
      </c>
      <c r="BU332" s="77"/>
      <c r="BV332" s="77"/>
      <c r="BW332" s="77"/>
      <c r="BX332" s="77"/>
      <c r="BY332" s="77"/>
      <c r="BZ332" s="77"/>
      <c r="CA332" s="77"/>
      <c r="CB332" s="77"/>
      <c r="CC332" s="83">
        <v>1278.542528735632</v>
      </c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96"/>
      <c r="CQ332" s="77"/>
      <c r="CR332" s="77"/>
      <c r="CS332" s="77"/>
      <c r="CT332" s="77"/>
      <c r="CU332" s="77"/>
      <c r="CV332" s="77"/>
      <c r="CW332" s="77"/>
      <c r="CX332" s="77"/>
      <c r="CY332" s="77"/>
      <c r="CZ332" s="77">
        <v>24239.462545454546</v>
      </c>
      <c r="DA332" s="77"/>
      <c r="DB332" s="77"/>
      <c r="DC332" s="96">
        <v>24239.462545454546</v>
      </c>
      <c r="DD332" s="77"/>
      <c r="DE332" s="77"/>
      <c r="DF332" s="77"/>
      <c r="DG332" s="77">
        <v>25698.703026318875</v>
      </c>
      <c r="DH332" s="77"/>
      <c r="DI332" s="77"/>
      <c r="DJ332" s="77"/>
      <c r="DK332" s="77"/>
      <c r="DL332" s="77"/>
      <c r="DM332" s="77"/>
      <c r="DN332" s="77"/>
      <c r="DO332" s="77"/>
      <c r="DP332" s="96">
        <v>25698.703026318875</v>
      </c>
    </row>
    <row r="333" spans="2:120" s="22" customFormat="1" hidden="1" outlineLevel="1" x14ac:dyDescent="0.35">
      <c r="B333" s="25" t="s">
        <v>253</v>
      </c>
      <c r="C333" s="75" t="s">
        <v>54</v>
      </c>
      <c r="D333" s="77"/>
      <c r="E333" s="77"/>
      <c r="F333" s="77">
        <v>300</v>
      </c>
      <c r="G333" s="77"/>
      <c r="H333" s="77"/>
      <c r="I333" s="77"/>
      <c r="J333" s="77"/>
      <c r="K333" s="77">
        <v>5500</v>
      </c>
      <c r="L333" s="77">
        <v>5500</v>
      </c>
      <c r="M333" s="77"/>
      <c r="N333" s="77"/>
      <c r="O333" s="77"/>
      <c r="P333" s="80">
        <v>11300</v>
      </c>
      <c r="Q333" s="77">
        <v>5500</v>
      </c>
      <c r="R333" s="77">
        <v>5500</v>
      </c>
      <c r="S333" s="77">
        <v>5500</v>
      </c>
      <c r="T333" s="77"/>
      <c r="U333" s="77">
        <v>5500</v>
      </c>
      <c r="V333" s="77"/>
      <c r="W333" s="77">
        <v>9625</v>
      </c>
      <c r="X333" s="77"/>
      <c r="Y333" s="77">
        <v>5500</v>
      </c>
      <c r="Z333" s="77"/>
      <c r="AA333" s="77">
        <v>5500</v>
      </c>
      <c r="AB333" s="77">
        <v>11000</v>
      </c>
      <c r="AC333" s="80">
        <v>53625</v>
      </c>
      <c r="AD333" s="77">
        <v>60500</v>
      </c>
      <c r="AE333" s="77">
        <v>5500</v>
      </c>
      <c r="AF333" s="77">
        <v>66000</v>
      </c>
      <c r="AG333" s="77"/>
      <c r="AH333" s="77"/>
      <c r="AI333" s="77"/>
      <c r="AJ333" s="77"/>
      <c r="AK333" s="77"/>
      <c r="AL333" s="77"/>
      <c r="AM333" s="77"/>
      <c r="AN333" s="77"/>
      <c r="AO333" s="77"/>
      <c r="AP333" s="80">
        <v>132000</v>
      </c>
      <c r="AQ333" s="77"/>
      <c r="AR333" s="77"/>
      <c r="AS333" s="77">
        <v>1440.7384572807753</v>
      </c>
      <c r="AT333" s="77"/>
      <c r="AU333" s="77"/>
      <c r="AV333" s="77"/>
      <c r="AW333" s="77"/>
      <c r="AX333" s="77">
        <v>1358.9358677301955</v>
      </c>
      <c r="AY333" s="77">
        <v>1382.2716586188039</v>
      </c>
      <c r="AZ333" s="77"/>
      <c r="BA333" s="77"/>
      <c r="BB333" s="77"/>
      <c r="BC333" s="83">
        <v>1372.4657462038699</v>
      </c>
      <c r="BD333" s="77">
        <v>1340.2810513215195</v>
      </c>
      <c r="BE333" s="77">
        <v>1356.8312690403991</v>
      </c>
      <c r="BF333" s="77">
        <v>1351.3663179558805</v>
      </c>
      <c r="BG333" s="77"/>
      <c r="BH333" s="77">
        <v>1293.5023687981973</v>
      </c>
      <c r="BI333" s="77"/>
      <c r="BJ333" s="77">
        <v>1294.2971974046266</v>
      </c>
      <c r="BK333" s="77"/>
      <c r="BL333" s="77">
        <v>1298.1302234898835</v>
      </c>
      <c r="BM333" s="77"/>
      <c r="BN333" s="77">
        <v>1305.3331030566244</v>
      </c>
      <c r="BO333" s="77">
        <v>1320.5266310461716</v>
      </c>
      <c r="BP333" s="83">
        <v>1318.1043785859429</v>
      </c>
      <c r="BQ333" s="77">
        <v>1297.5542306317416</v>
      </c>
      <c r="BR333" s="77">
        <v>1310.070938634904</v>
      </c>
      <c r="BS333" s="77">
        <v>1298.7443904528736</v>
      </c>
      <c r="BT333" s="77"/>
      <c r="BU333" s="77"/>
      <c r="BV333" s="77"/>
      <c r="BW333" s="77"/>
      <c r="BX333" s="77"/>
      <c r="BY333" s="77"/>
      <c r="BZ333" s="77"/>
      <c r="CA333" s="77"/>
      <c r="CB333" s="77"/>
      <c r="CC333" s="83">
        <v>1298.6708400424393</v>
      </c>
      <c r="CD333" s="77"/>
      <c r="CE333" s="77"/>
      <c r="CF333" s="77">
        <v>23021.08</v>
      </c>
      <c r="CG333" s="77"/>
      <c r="CH333" s="77"/>
      <c r="CI333" s="77"/>
      <c r="CJ333" s="77"/>
      <c r="CK333" s="77">
        <v>23597.77709090909</v>
      </c>
      <c r="CL333" s="77">
        <v>23303.032181818187</v>
      </c>
      <c r="CM333" s="77"/>
      <c r="CN333" s="77"/>
      <c r="CO333" s="77"/>
      <c r="CP333" s="96">
        <v>23439.006637168146</v>
      </c>
      <c r="CQ333" s="77">
        <v>23754.463090909088</v>
      </c>
      <c r="CR333" s="77">
        <v>23960.887454545453</v>
      </c>
      <c r="CS333" s="77">
        <v>24170.505272727274</v>
      </c>
      <c r="CT333" s="77"/>
      <c r="CU333" s="77">
        <v>24210.757285067877</v>
      </c>
      <c r="CV333" s="77"/>
      <c r="CW333" s="77">
        <v>24234.404155844157</v>
      </c>
      <c r="CX333" s="77"/>
      <c r="CY333" s="77">
        <v>24234.404181818183</v>
      </c>
      <c r="CZ333" s="77"/>
      <c r="DA333" s="77">
        <v>24246.24490909091</v>
      </c>
      <c r="DB333" s="77">
        <v>24292.793363636363</v>
      </c>
      <c r="DC333" s="96">
        <v>24161.3390968368</v>
      </c>
      <c r="DD333" s="77">
        <v>24341.172198347111</v>
      </c>
      <c r="DE333" s="77">
        <v>24364.461272727272</v>
      </c>
      <c r="DF333" s="77">
        <v>25698.702939393941</v>
      </c>
      <c r="DG333" s="77"/>
      <c r="DH333" s="77"/>
      <c r="DI333" s="77"/>
      <c r="DJ333" s="77"/>
      <c r="DK333" s="77"/>
      <c r="DL333" s="77"/>
      <c r="DM333" s="77"/>
      <c r="DN333" s="77"/>
      <c r="DO333" s="77"/>
      <c r="DP333" s="96">
        <v>25020.907946969699</v>
      </c>
    </row>
    <row r="334" spans="2:120" s="22" customFormat="1" hidden="1" collapsed="1" x14ac:dyDescent="0.35">
      <c r="B334" s="106" t="s">
        <v>254</v>
      </c>
      <c r="C334" s="76"/>
      <c r="D334" s="78">
        <v>500</v>
      </c>
      <c r="E334" s="78"/>
      <c r="F334" s="78">
        <v>300</v>
      </c>
      <c r="G334" s="78"/>
      <c r="H334" s="78">
        <v>11000</v>
      </c>
      <c r="I334" s="78"/>
      <c r="J334" s="78"/>
      <c r="K334" s="78">
        <v>5500</v>
      </c>
      <c r="L334" s="78">
        <v>5500</v>
      </c>
      <c r="M334" s="78"/>
      <c r="N334" s="78">
        <v>5500</v>
      </c>
      <c r="O334" s="78">
        <v>300</v>
      </c>
      <c r="P334" s="81">
        <v>28600</v>
      </c>
      <c r="Q334" s="78">
        <v>5500</v>
      </c>
      <c r="R334" s="78">
        <v>5500</v>
      </c>
      <c r="S334" s="78">
        <v>5500</v>
      </c>
      <c r="T334" s="78"/>
      <c r="U334" s="78">
        <v>5525</v>
      </c>
      <c r="V334" s="78">
        <v>5500</v>
      </c>
      <c r="W334" s="78">
        <v>9625</v>
      </c>
      <c r="X334" s="78"/>
      <c r="Y334" s="78">
        <v>5500</v>
      </c>
      <c r="Z334" s="78">
        <v>2750</v>
      </c>
      <c r="AA334" s="78">
        <v>5500</v>
      </c>
      <c r="AB334" s="78">
        <v>11000</v>
      </c>
      <c r="AC334" s="81">
        <v>61900</v>
      </c>
      <c r="AD334" s="78">
        <v>60500</v>
      </c>
      <c r="AE334" s="78">
        <v>5500</v>
      </c>
      <c r="AF334" s="78">
        <v>66000</v>
      </c>
      <c r="AG334" s="78">
        <v>28875</v>
      </c>
      <c r="AH334" s="78"/>
      <c r="AI334" s="78"/>
      <c r="AJ334" s="78"/>
      <c r="AK334" s="78"/>
      <c r="AL334" s="78"/>
      <c r="AM334" s="78"/>
      <c r="AN334" s="78"/>
      <c r="AO334" s="78"/>
      <c r="AP334" s="81">
        <v>160875</v>
      </c>
      <c r="AQ334" s="78">
        <v>1462.0676534339896</v>
      </c>
      <c r="AR334" s="78"/>
      <c r="AS334" s="78">
        <v>1440.7384572807753</v>
      </c>
      <c r="AT334" s="78"/>
      <c r="AU334" s="78">
        <v>1338.2434719886903</v>
      </c>
      <c r="AV334" s="78"/>
      <c r="AW334" s="78"/>
      <c r="AX334" s="78">
        <v>1358.9358677301955</v>
      </c>
      <c r="AY334" s="78">
        <v>1382.2716586188039</v>
      </c>
      <c r="AZ334" s="78"/>
      <c r="BA334" s="78">
        <v>1326.5102771876827</v>
      </c>
      <c r="BB334" s="78">
        <v>1363.2553138736289</v>
      </c>
      <c r="BC334" s="84">
        <v>1351.9355968318414</v>
      </c>
      <c r="BD334" s="78">
        <v>1340.2810513215195</v>
      </c>
      <c r="BE334" s="78">
        <v>1356.8312690403991</v>
      </c>
      <c r="BF334" s="78">
        <v>1351.3663179558805</v>
      </c>
      <c r="BG334" s="78"/>
      <c r="BH334" s="78">
        <v>1293.502368798197</v>
      </c>
      <c r="BI334" s="78">
        <v>1286.7109010754677</v>
      </c>
      <c r="BJ334" s="78">
        <v>1294.2971974046266</v>
      </c>
      <c r="BK334" s="78"/>
      <c r="BL334" s="78">
        <v>1298.1302234898835</v>
      </c>
      <c r="BM334" s="78">
        <v>1318.8009778280812</v>
      </c>
      <c r="BN334" s="78">
        <v>1305.3331030566244</v>
      </c>
      <c r="BO334" s="78">
        <v>1320.5266310461716</v>
      </c>
      <c r="BP334" s="84">
        <v>1315.3359855546596</v>
      </c>
      <c r="BQ334" s="78">
        <v>1297.5542306317416</v>
      </c>
      <c r="BR334" s="78">
        <v>1310.070938634904</v>
      </c>
      <c r="BS334" s="78">
        <v>1298.7443904528736</v>
      </c>
      <c r="BT334" s="78">
        <v>1278.542528735632</v>
      </c>
      <c r="BU334" s="78"/>
      <c r="BV334" s="78"/>
      <c r="BW334" s="78"/>
      <c r="BX334" s="78"/>
      <c r="BY334" s="78"/>
      <c r="BZ334" s="78"/>
      <c r="CA334" s="78"/>
      <c r="CB334" s="78"/>
      <c r="CC334" s="84">
        <v>1295.0580662181405</v>
      </c>
      <c r="CD334" s="78">
        <v>23039.446</v>
      </c>
      <c r="CE334" s="78"/>
      <c r="CF334" s="78">
        <v>23021.08</v>
      </c>
      <c r="CG334" s="78"/>
      <c r="CH334" s="78">
        <v>23908.264999999999</v>
      </c>
      <c r="CI334" s="78"/>
      <c r="CJ334" s="78"/>
      <c r="CK334" s="78">
        <v>23597.77709090909</v>
      </c>
      <c r="CL334" s="78">
        <v>23303.032181818187</v>
      </c>
      <c r="CM334" s="78"/>
      <c r="CN334" s="78">
        <v>23532.615818181817</v>
      </c>
      <c r="CO334" s="78">
        <v>23717.173333333332</v>
      </c>
      <c r="CP334" s="97">
        <v>23633.424895104894</v>
      </c>
      <c r="CQ334" s="78">
        <v>23754.463090909088</v>
      </c>
      <c r="CR334" s="78">
        <v>23960.887454545453</v>
      </c>
      <c r="CS334" s="78">
        <v>24170.505272727274</v>
      </c>
      <c r="CT334" s="78"/>
      <c r="CU334" s="78">
        <v>24210.757285067877</v>
      </c>
      <c r="CV334" s="78">
        <v>24211.24490909091</v>
      </c>
      <c r="CW334" s="78">
        <v>24234.404155844157</v>
      </c>
      <c r="CX334" s="78"/>
      <c r="CY334" s="78">
        <v>24234.404181818183</v>
      </c>
      <c r="CZ334" s="78">
        <v>24239.462545454546</v>
      </c>
      <c r="DA334" s="78">
        <v>24246.24490909091</v>
      </c>
      <c r="DB334" s="78">
        <v>24292.793363636363</v>
      </c>
      <c r="DC334" s="97">
        <v>24169.26408723748</v>
      </c>
      <c r="DD334" s="78">
        <v>24341.172198347111</v>
      </c>
      <c r="DE334" s="78">
        <v>24364.461272727272</v>
      </c>
      <c r="DF334" s="78">
        <v>25698.702939393941</v>
      </c>
      <c r="DG334" s="78">
        <v>25698.703026318875</v>
      </c>
      <c r="DH334" s="78"/>
      <c r="DI334" s="78"/>
      <c r="DJ334" s="78"/>
      <c r="DK334" s="78"/>
      <c r="DL334" s="78"/>
      <c r="DM334" s="78"/>
      <c r="DN334" s="78"/>
      <c r="DO334" s="78"/>
      <c r="DP334" s="97">
        <v>25142.563474032373</v>
      </c>
    </row>
    <row r="335" spans="2:120" s="22" customFormat="1" hidden="1" outlineLevel="1" x14ac:dyDescent="0.35">
      <c r="B335" s="25" t="s">
        <v>255</v>
      </c>
      <c r="C335" s="75" t="s">
        <v>5</v>
      </c>
      <c r="D335" s="77"/>
      <c r="E335" s="77"/>
      <c r="F335" s="77">
        <v>33000</v>
      </c>
      <c r="G335" s="77">
        <v>17000</v>
      </c>
      <c r="H335" s="77"/>
      <c r="I335" s="77"/>
      <c r="J335" s="77"/>
      <c r="K335" s="77"/>
      <c r="L335" s="77"/>
      <c r="M335" s="77"/>
      <c r="N335" s="77"/>
      <c r="O335" s="77"/>
      <c r="P335" s="80">
        <v>50000</v>
      </c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80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80"/>
      <c r="AQ335" s="77"/>
      <c r="AR335" s="77"/>
      <c r="AS335" s="77">
        <v>1449.7285806412817</v>
      </c>
      <c r="AT335" s="77">
        <v>1422.4238864015933</v>
      </c>
      <c r="AU335" s="77"/>
      <c r="AV335" s="77"/>
      <c r="AW335" s="77"/>
      <c r="AX335" s="77"/>
      <c r="AY335" s="77"/>
      <c r="AZ335" s="77"/>
      <c r="BA335" s="77"/>
      <c r="BB335" s="77"/>
      <c r="BC335" s="83">
        <v>1440.4449845997876</v>
      </c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83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83"/>
      <c r="CD335" s="77"/>
      <c r="CE335" s="77"/>
      <c r="CF335" s="77">
        <v>29280.028242424247</v>
      </c>
      <c r="CG335" s="77">
        <v>31340.424680000004</v>
      </c>
      <c r="CH335" s="77"/>
      <c r="CI335" s="77"/>
      <c r="CJ335" s="77"/>
      <c r="CK335" s="77"/>
      <c r="CL335" s="77"/>
      <c r="CM335" s="77"/>
      <c r="CN335" s="77"/>
      <c r="CO335" s="77"/>
      <c r="CP335" s="96">
        <v>29980.563031200003</v>
      </c>
      <c r="CQ335" s="77"/>
      <c r="CR335" s="77"/>
      <c r="CS335" s="77"/>
      <c r="CT335" s="77"/>
      <c r="CU335" s="77"/>
      <c r="CV335" s="77"/>
      <c r="CW335" s="77"/>
      <c r="CX335" s="77"/>
      <c r="CY335" s="77"/>
      <c r="CZ335" s="77"/>
      <c r="DA335" s="77"/>
      <c r="DB335" s="77"/>
      <c r="DC335" s="96"/>
      <c r="DD335" s="77"/>
      <c r="DE335" s="77"/>
      <c r="DF335" s="77"/>
      <c r="DG335" s="77"/>
      <c r="DH335" s="77"/>
      <c r="DI335" s="77"/>
      <c r="DJ335" s="77"/>
      <c r="DK335" s="77"/>
      <c r="DL335" s="77"/>
      <c r="DM335" s="77"/>
      <c r="DN335" s="77"/>
      <c r="DO335" s="77"/>
      <c r="DP335" s="96"/>
    </row>
    <row r="336" spans="2:120" s="22" customFormat="1" hidden="1" outlineLevel="1" x14ac:dyDescent="0.35">
      <c r="B336" s="25" t="s">
        <v>255</v>
      </c>
      <c r="C336" s="75" t="s">
        <v>51</v>
      </c>
      <c r="D336" s="77"/>
      <c r="E336" s="77"/>
      <c r="F336" s="77"/>
      <c r="G336" s="77"/>
      <c r="H336" s="77">
        <v>2500</v>
      </c>
      <c r="I336" s="77"/>
      <c r="J336" s="77"/>
      <c r="K336" s="77"/>
      <c r="L336" s="77"/>
      <c r="M336" s="77"/>
      <c r="N336" s="77"/>
      <c r="O336" s="77"/>
      <c r="P336" s="80">
        <v>2500</v>
      </c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80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80"/>
      <c r="AQ336" s="77"/>
      <c r="AR336" s="77"/>
      <c r="AS336" s="77"/>
      <c r="AT336" s="77"/>
      <c r="AU336" s="77">
        <v>1364.192602844287</v>
      </c>
      <c r="AV336" s="77"/>
      <c r="AW336" s="77"/>
      <c r="AX336" s="77"/>
      <c r="AY336" s="77"/>
      <c r="AZ336" s="77"/>
      <c r="BA336" s="77"/>
      <c r="BB336" s="77"/>
      <c r="BC336" s="83">
        <v>1364.192602844287</v>
      </c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83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83"/>
      <c r="CD336" s="77"/>
      <c r="CE336" s="77"/>
      <c r="CF336" s="77"/>
      <c r="CG336" s="77"/>
      <c r="CH336" s="77">
        <v>26324.727599999998</v>
      </c>
      <c r="CI336" s="77"/>
      <c r="CJ336" s="77"/>
      <c r="CK336" s="77"/>
      <c r="CL336" s="77"/>
      <c r="CM336" s="77"/>
      <c r="CN336" s="77"/>
      <c r="CO336" s="77"/>
      <c r="CP336" s="96">
        <v>26324.727599999998</v>
      </c>
      <c r="CQ336" s="77"/>
      <c r="CR336" s="77"/>
      <c r="CS336" s="77"/>
      <c r="CT336" s="77"/>
      <c r="CU336" s="77"/>
      <c r="CV336" s="77"/>
      <c r="CW336" s="77"/>
      <c r="CX336" s="77"/>
      <c r="CY336" s="77"/>
      <c r="CZ336" s="77"/>
      <c r="DA336" s="77"/>
      <c r="DB336" s="77"/>
      <c r="DC336" s="96"/>
      <c r="DD336" s="77"/>
      <c r="DE336" s="77"/>
      <c r="DF336" s="77"/>
      <c r="DG336" s="77"/>
      <c r="DH336" s="77"/>
      <c r="DI336" s="77"/>
      <c r="DJ336" s="77"/>
      <c r="DK336" s="77"/>
      <c r="DL336" s="77"/>
      <c r="DM336" s="77"/>
      <c r="DN336" s="77"/>
      <c r="DO336" s="77"/>
      <c r="DP336" s="96"/>
    </row>
    <row r="337" spans="1:120" s="22" customFormat="1" hidden="1" outlineLevel="1" x14ac:dyDescent="0.35">
      <c r="B337" s="25" t="s">
        <v>255</v>
      </c>
      <c r="C337" s="75" t="s">
        <v>54</v>
      </c>
      <c r="D337" s="77"/>
      <c r="E337" s="77"/>
      <c r="F337" s="77"/>
      <c r="G337" s="77">
        <v>33000</v>
      </c>
      <c r="H337" s="77"/>
      <c r="I337" s="77">
        <v>27500</v>
      </c>
      <c r="J337" s="77">
        <v>11000</v>
      </c>
      <c r="K337" s="77">
        <v>16500</v>
      </c>
      <c r="L337" s="77">
        <v>27500</v>
      </c>
      <c r="M337" s="77">
        <v>33000</v>
      </c>
      <c r="N337" s="77">
        <v>11000</v>
      </c>
      <c r="O337" s="77">
        <v>27500</v>
      </c>
      <c r="P337" s="80">
        <v>187000</v>
      </c>
      <c r="Q337" s="77">
        <v>22000</v>
      </c>
      <c r="R337" s="77">
        <v>44000</v>
      </c>
      <c r="S337" s="77">
        <v>44000</v>
      </c>
      <c r="T337" s="77">
        <v>22000</v>
      </c>
      <c r="U337" s="77">
        <v>33000</v>
      </c>
      <c r="V337" s="77">
        <v>44000</v>
      </c>
      <c r="W337" s="77">
        <v>11000</v>
      </c>
      <c r="X337" s="77">
        <v>44000</v>
      </c>
      <c r="Y337" s="77">
        <v>33000</v>
      </c>
      <c r="Z337" s="77">
        <v>28875</v>
      </c>
      <c r="AA337" s="77">
        <v>22000</v>
      </c>
      <c r="AB337" s="77">
        <v>11000</v>
      </c>
      <c r="AC337" s="80">
        <v>358875</v>
      </c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80"/>
      <c r="AQ337" s="77"/>
      <c r="AR337" s="77"/>
      <c r="AS337" s="77"/>
      <c r="AT337" s="77">
        <v>1349.3634549255776</v>
      </c>
      <c r="AU337" s="77"/>
      <c r="AV337" s="77">
        <v>1339.7517388435795</v>
      </c>
      <c r="AW337" s="77">
        <v>1339.9120077479492</v>
      </c>
      <c r="AX337" s="77">
        <v>1358.9358677301955</v>
      </c>
      <c r="AY337" s="77">
        <v>1382.2716586188039</v>
      </c>
      <c r="AZ337" s="77">
        <v>1365.0518093165267</v>
      </c>
      <c r="BA337" s="77">
        <v>1343.7206686627553</v>
      </c>
      <c r="BB337" s="77">
        <v>1341.7471615804343</v>
      </c>
      <c r="BC337" s="83">
        <v>1354.3946275493734</v>
      </c>
      <c r="BD337" s="77">
        <v>1360.5109768870038</v>
      </c>
      <c r="BE337" s="77">
        <v>1356.8312690403991</v>
      </c>
      <c r="BF337" s="77">
        <v>1351.3663179558805</v>
      </c>
      <c r="BG337" s="77">
        <v>1298.9307057335798</v>
      </c>
      <c r="BH337" s="77">
        <v>1293.5023687981973</v>
      </c>
      <c r="BI337" s="77">
        <v>1286.7109010754675</v>
      </c>
      <c r="BJ337" s="77">
        <v>1309.240983549101</v>
      </c>
      <c r="BK337" s="77">
        <v>1301.9811880567468</v>
      </c>
      <c r="BL337" s="77">
        <v>1298.130224646025</v>
      </c>
      <c r="BM337" s="77">
        <v>1304.5376593865767</v>
      </c>
      <c r="BN337" s="77">
        <v>1317.9411174229424</v>
      </c>
      <c r="BO337" s="77">
        <v>1320.5101794613142</v>
      </c>
      <c r="BP337" s="83">
        <v>1317.1305625696209</v>
      </c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83"/>
      <c r="CD337" s="77"/>
      <c r="CE337" s="77"/>
      <c r="CF337" s="77"/>
      <c r="CG337" s="77">
        <v>31340.424680000004</v>
      </c>
      <c r="CH337" s="77"/>
      <c r="CI337" s="77">
        <v>25355.17290909091</v>
      </c>
      <c r="CJ337" s="77">
        <v>23994.966181818178</v>
      </c>
      <c r="CK337" s="77">
        <v>23362.658303030305</v>
      </c>
      <c r="CL337" s="77">
        <v>23322.465454545458</v>
      </c>
      <c r="CM337" s="77">
        <v>23431.890939393939</v>
      </c>
      <c r="CN337" s="77">
        <v>24285.548363636364</v>
      </c>
      <c r="CO337" s="77">
        <v>24840.695418181818</v>
      </c>
      <c r="CP337" s="96">
        <v>25378.663724278078</v>
      </c>
      <c r="CQ337" s="77">
        <v>25235.473590909092</v>
      </c>
      <c r="CR337" s="77">
        <v>26346.475522727273</v>
      </c>
      <c r="CS337" s="77">
        <v>27206.363249999999</v>
      </c>
      <c r="CT337" s="77">
        <v>27225.221590909092</v>
      </c>
      <c r="CU337" s="77">
        <v>28048.357303030301</v>
      </c>
      <c r="CV337" s="77">
        <v>27620.317954545455</v>
      </c>
      <c r="CW337" s="77">
        <v>27726.915636363636</v>
      </c>
      <c r="CX337" s="77">
        <v>26823.187181818183</v>
      </c>
      <c r="CY337" s="77">
        <v>27986.505393939402</v>
      </c>
      <c r="CZ337" s="77">
        <v>28976.087238095239</v>
      </c>
      <c r="DA337" s="77">
        <v>28733.578136363638</v>
      </c>
      <c r="DB337" s="77">
        <v>33485.170272727271</v>
      </c>
      <c r="DC337" s="96">
        <v>27578.630659700459</v>
      </c>
      <c r="DD337" s="77"/>
      <c r="DE337" s="77"/>
      <c r="DF337" s="77"/>
      <c r="DG337" s="77"/>
      <c r="DH337" s="77"/>
      <c r="DI337" s="77"/>
      <c r="DJ337" s="77"/>
      <c r="DK337" s="77"/>
      <c r="DL337" s="77"/>
      <c r="DM337" s="77"/>
      <c r="DN337" s="77"/>
      <c r="DO337" s="77"/>
      <c r="DP337" s="96"/>
    </row>
    <row r="338" spans="1:120" hidden="1" collapsed="1" x14ac:dyDescent="0.35">
      <c r="B338" s="106" t="s">
        <v>256</v>
      </c>
      <c r="C338" s="76"/>
      <c r="D338" s="78"/>
      <c r="E338" s="78"/>
      <c r="F338" s="78">
        <v>33000</v>
      </c>
      <c r="G338" s="78">
        <v>50000</v>
      </c>
      <c r="H338" s="78">
        <v>2500</v>
      </c>
      <c r="I338" s="78">
        <v>27500</v>
      </c>
      <c r="J338" s="78">
        <v>11000</v>
      </c>
      <c r="K338" s="78">
        <v>16500</v>
      </c>
      <c r="L338" s="78">
        <v>27500</v>
      </c>
      <c r="M338" s="78">
        <v>33000</v>
      </c>
      <c r="N338" s="78">
        <v>11000</v>
      </c>
      <c r="O338" s="78">
        <v>27500</v>
      </c>
      <c r="P338" s="81">
        <v>239500</v>
      </c>
      <c r="Q338" s="78">
        <v>22000</v>
      </c>
      <c r="R338" s="78">
        <v>44000</v>
      </c>
      <c r="S338" s="78">
        <v>44000</v>
      </c>
      <c r="T338" s="78">
        <v>22000</v>
      </c>
      <c r="U338" s="78">
        <v>33000</v>
      </c>
      <c r="V338" s="78">
        <v>44000</v>
      </c>
      <c r="W338" s="78">
        <v>11000</v>
      </c>
      <c r="X338" s="78">
        <v>44000</v>
      </c>
      <c r="Y338" s="78">
        <v>33000</v>
      </c>
      <c r="Z338" s="78">
        <v>28875</v>
      </c>
      <c r="AA338" s="78">
        <v>22000</v>
      </c>
      <c r="AB338" s="78">
        <v>11000</v>
      </c>
      <c r="AC338" s="81">
        <v>358875</v>
      </c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81"/>
      <c r="AQ338" s="78"/>
      <c r="AR338" s="78"/>
      <c r="AS338" s="78">
        <v>1449.7285806412817</v>
      </c>
      <c r="AT338" s="78">
        <v>1374.2040016274232</v>
      </c>
      <c r="AU338" s="78">
        <v>1364.192602844287</v>
      </c>
      <c r="AV338" s="78">
        <v>1339.7517388435795</v>
      </c>
      <c r="AW338" s="78">
        <v>1339.9120077479492</v>
      </c>
      <c r="AX338" s="78">
        <v>1358.9358677301955</v>
      </c>
      <c r="AY338" s="78">
        <v>1382.2716586188039</v>
      </c>
      <c r="AZ338" s="78">
        <v>1365.0518093165267</v>
      </c>
      <c r="BA338" s="78">
        <v>1343.7206686627553</v>
      </c>
      <c r="BB338" s="78">
        <v>1341.7471615804343</v>
      </c>
      <c r="BC338" s="84">
        <v>1372.461486800973</v>
      </c>
      <c r="BD338" s="78">
        <v>1360.5109768870038</v>
      </c>
      <c r="BE338" s="78">
        <v>1356.8312690403991</v>
      </c>
      <c r="BF338" s="78">
        <v>1351.3663179558805</v>
      </c>
      <c r="BG338" s="78">
        <v>1298.9307057335798</v>
      </c>
      <c r="BH338" s="78">
        <v>1293.5023687981973</v>
      </c>
      <c r="BI338" s="78">
        <v>1286.7109010754675</v>
      </c>
      <c r="BJ338" s="78">
        <v>1309.240983549101</v>
      </c>
      <c r="BK338" s="78">
        <v>1301.9811880567468</v>
      </c>
      <c r="BL338" s="78">
        <v>1298.130224646025</v>
      </c>
      <c r="BM338" s="78">
        <v>1304.5376593865767</v>
      </c>
      <c r="BN338" s="78">
        <v>1317.9411174229424</v>
      </c>
      <c r="BO338" s="78">
        <v>1320.5101794613142</v>
      </c>
      <c r="BP338" s="84">
        <v>1317.1305625696209</v>
      </c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84"/>
      <c r="CD338" s="78"/>
      <c r="CE338" s="78"/>
      <c r="CF338" s="78">
        <v>29280.028242424247</v>
      </c>
      <c r="CG338" s="78">
        <v>31340.424680000004</v>
      </c>
      <c r="CH338" s="78">
        <v>26324.727599999998</v>
      </c>
      <c r="CI338" s="78">
        <v>25355.17290909091</v>
      </c>
      <c r="CJ338" s="78">
        <v>23994.966181818178</v>
      </c>
      <c r="CK338" s="78">
        <v>23362.658303030305</v>
      </c>
      <c r="CL338" s="78">
        <v>23322.465454545458</v>
      </c>
      <c r="CM338" s="78">
        <v>23431.890939393939</v>
      </c>
      <c r="CN338" s="78">
        <v>24285.548363636364</v>
      </c>
      <c r="CO338" s="78">
        <v>24840.695418181818</v>
      </c>
      <c r="CP338" s="97">
        <v>26349.26967432152</v>
      </c>
      <c r="CQ338" s="78">
        <v>25235.473590909092</v>
      </c>
      <c r="CR338" s="78">
        <v>26346.475522727273</v>
      </c>
      <c r="CS338" s="78">
        <v>27206.363249999999</v>
      </c>
      <c r="CT338" s="78">
        <v>27225.221590909092</v>
      </c>
      <c r="CU338" s="78">
        <v>28048.357303030301</v>
      </c>
      <c r="CV338" s="78">
        <v>27620.317954545455</v>
      </c>
      <c r="CW338" s="78">
        <v>27726.915636363636</v>
      </c>
      <c r="CX338" s="78">
        <v>26823.187181818183</v>
      </c>
      <c r="CY338" s="78">
        <v>27986.505393939402</v>
      </c>
      <c r="CZ338" s="78">
        <v>28976.087238095239</v>
      </c>
      <c r="DA338" s="78">
        <v>28733.578136363638</v>
      </c>
      <c r="DB338" s="78">
        <v>33485.170272727271</v>
      </c>
      <c r="DC338" s="97">
        <v>27578.630659700459</v>
      </c>
      <c r="DD338" s="78"/>
      <c r="DE338" s="78"/>
      <c r="DF338" s="78"/>
      <c r="DG338" s="78"/>
      <c r="DH338" s="78"/>
      <c r="DI338" s="78"/>
      <c r="DJ338" s="78"/>
      <c r="DK338" s="78"/>
      <c r="DL338" s="78"/>
      <c r="DM338" s="78"/>
      <c r="DN338" s="78"/>
      <c r="DO338" s="78"/>
      <c r="DP338" s="97"/>
    </row>
    <row r="339" spans="1:120" s="22" customFormat="1" hidden="1" outlineLevel="1" x14ac:dyDescent="0.35">
      <c r="B339" s="25" t="s">
        <v>257</v>
      </c>
      <c r="C339" s="75" t="s">
        <v>58</v>
      </c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80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80"/>
      <c r="AD339" s="77">
        <v>500</v>
      </c>
      <c r="AE339" s="77"/>
      <c r="AF339" s="77">
        <v>600</v>
      </c>
      <c r="AG339" s="77"/>
      <c r="AH339" s="77"/>
      <c r="AI339" s="77"/>
      <c r="AJ339" s="77"/>
      <c r="AK339" s="77"/>
      <c r="AL339" s="77"/>
      <c r="AM339" s="77"/>
      <c r="AN339" s="77"/>
      <c r="AO339" s="77"/>
      <c r="AP339" s="80">
        <v>1100</v>
      </c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83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83"/>
      <c r="BQ339" s="77">
        <v>838.63195375593625</v>
      </c>
      <c r="BR339" s="77"/>
      <c r="BS339" s="77">
        <v>839.40117482779237</v>
      </c>
      <c r="BT339" s="77"/>
      <c r="BU339" s="77"/>
      <c r="BV339" s="77"/>
      <c r="BW339" s="77"/>
      <c r="BX339" s="77"/>
      <c r="BY339" s="77"/>
      <c r="BZ339" s="77"/>
      <c r="CA339" s="77"/>
      <c r="CB339" s="77"/>
      <c r="CC339" s="83">
        <v>839.05152888603959</v>
      </c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96"/>
      <c r="CQ339" s="77"/>
      <c r="CR339" s="77"/>
      <c r="CS339" s="77"/>
      <c r="CT339" s="77"/>
      <c r="CU339" s="77"/>
      <c r="CV339" s="77"/>
      <c r="CW339" s="77"/>
      <c r="CX339" s="77"/>
      <c r="CY339" s="77"/>
      <c r="CZ339" s="77"/>
      <c r="DA339" s="77"/>
      <c r="DB339" s="77"/>
      <c r="DC339" s="96"/>
      <c r="DD339" s="77">
        <v>21246.66</v>
      </c>
      <c r="DE339" s="77"/>
      <c r="DF339" s="77">
        <v>21246.656776273376</v>
      </c>
      <c r="DG339" s="77"/>
      <c r="DH339" s="77"/>
      <c r="DI339" s="77"/>
      <c r="DJ339" s="77"/>
      <c r="DK339" s="77"/>
      <c r="DL339" s="77"/>
      <c r="DM339" s="77"/>
      <c r="DN339" s="77"/>
      <c r="DO339" s="77"/>
      <c r="DP339" s="96">
        <v>21246.658241603658</v>
      </c>
    </row>
    <row r="340" spans="1:120" s="22" customFormat="1" hidden="1" outlineLevel="1" x14ac:dyDescent="0.35">
      <c r="B340" s="25" t="s">
        <v>257</v>
      </c>
      <c r="C340" s="75" t="s">
        <v>258</v>
      </c>
      <c r="D340" s="77"/>
      <c r="E340" s="77">
        <v>165000</v>
      </c>
      <c r="F340" s="77">
        <v>58000</v>
      </c>
      <c r="G340" s="77"/>
      <c r="H340" s="77">
        <v>222000</v>
      </c>
      <c r="I340" s="77">
        <v>511260</v>
      </c>
      <c r="J340" s="77">
        <v>180000</v>
      </c>
      <c r="K340" s="77">
        <v>380000</v>
      </c>
      <c r="L340" s="77"/>
      <c r="M340" s="77">
        <v>264740</v>
      </c>
      <c r="N340" s="77">
        <v>115000</v>
      </c>
      <c r="O340" s="77">
        <v>65000</v>
      </c>
      <c r="P340" s="80">
        <v>1961000</v>
      </c>
      <c r="Q340" s="77"/>
      <c r="R340" s="77">
        <v>386000</v>
      </c>
      <c r="S340" s="77">
        <v>140000</v>
      </c>
      <c r="T340" s="77">
        <v>120000</v>
      </c>
      <c r="U340" s="77">
        <v>80000</v>
      </c>
      <c r="V340" s="77">
        <v>100000</v>
      </c>
      <c r="W340" s="77">
        <v>20000</v>
      </c>
      <c r="X340" s="77">
        <v>80000</v>
      </c>
      <c r="Y340" s="77">
        <v>220000</v>
      </c>
      <c r="Z340" s="77">
        <v>138000</v>
      </c>
      <c r="AA340" s="77">
        <v>160000</v>
      </c>
      <c r="AB340" s="77">
        <v>100000</v>
      </c>
      <c r="AC340" s="80">
        <v>1544000</v>
      </c>
      <c r="AD340" s="77"/>
      <c r="AE340" s="77"/>
      <c r="AF340" s="77">
        <v>154500</v>
      </c>
      <c r="AG340" s="77"/>
      <c r="AH340" s="77"/>
      <c r="AI340" s="77"/>
      <c r="AJ340" s="77"/>
      <c r="AK340" s="77"/>
      <c r="AL340" s="77"/>
      <c r="AM340" s="77"/>
      <c r="AN340" s="77"/>
      <c r="AO340" s="77"/>
      <c r="AP340" s="80">
        <v>154500</v>
      </c>
      <c r="AQ340" s="77"/>
      <c r="AR340" s="77">
        <v>662.7002019620104</v>
      </c>
      <c r="AS340" s="77">
        <v>663.14258366037598</v>
      </c>
      <c r="AT340" s="77"/>
      <c r="AU340" s="77">
        <v>664.03268569960994</v>
      </c>
      <c r="AV340" s="77">
        <v>673.25967958158412</v>
      </c>
      <c r="AW340" s="77">
        <v>672.55743382714388</v>
      </c>
      <c r="AX340" s="77">
        <v>706.174396101752</v>
      </c>
      <c r="AY340" s="77"/>
      <c r="AZ340" s="77">
        <v>722.57020682871484</v>
      </c>
      <c r="BA340" s="77">
        <v>693.45596220807715</v>
      </c>
      <c r="BB340" s="77">
        <v>723.78440084072213</v>
      </c>
      <c r="BC340" s="83">
        <v>686.8572514309991</v>
      </c>
      <c r="BD340" s="77"/>
      <c r="BE340" s="77">
        <v>708.55185880593206</v>
      </c>
      <c r="BF340" s="77">
        <v>717.68287872943324</v>
      </c>
      <c r="BG340" s="77">
        <v>674.63956095136996</v>
      </c>
      <c r="BH340" s="77">
        <v>612.90560584829859</v>
      </c>
      <c r="BI340" s="77">
        <v>637.47080779027522</v>
      </c>
      <c r="BJ340" s="77">
        <v>607.9715647187287</v>
      </c>
      <c r="BK340" s="77">
        <v>645.92744929417483</v>
      </c>
      <c r="BL340" s="77">
        <v>652.21109358024796</v>
      </c>
      <c r="BM340" s="77">
        <v>631.1291633820789</v>
      </c>
      <c r="BN340" s="77">
        <v>635.32789353373357</v>
      </c>
      <c r="BO340" s="77">
        <v>633.7686120028925</v>
      </c>
      <c r="BP340" s="83">
        <v>665.25784560896557</v>
      </c>
      <c r="BQ340" s="77"/>
      <c r="BR340" s="77"/>
      <c r="BS340" s="77">
        <v>615.9559900722212</v>
      </c>
      <c r="BT340" s="77"/>
      <c r="BU340" s="77"/>
      <c r="BV340" s="77"/>
      <c r="BW340" s="77"/>
      <c r="BX340" s="77"/>
      <c r="BY340" s="77"/>
      <c r="BZ340" s="77"/>
      <c r="CA340" s="77"/>
      <c r="CB340" s="77"/>
      <c r="CC340" s="83">
        <v>615.9559900722212</v>
      </c>
      <c r="CD340" s="77"/>
      <c r="CE340" s="77">
        <v>24598.071175757577</v>
      </c>
      <c r="CF340" s="77">
        <v>24778.517844827587</v>
      </c>
      <c r="CG340" s="77"/>
      <c r="CH340" s="77">
        <v>23597.167545045046</v>
      </c>
      <c r="CI340" s="77">
        <v>23592.06293079842</v>
      </c>
      <c r="CJ340" s="77">
        <v>24672.566849999999</v>
      </c>
      <c r="CK340" s="77">
        <v>23671.29420263158</v>
      </c>
      <c r="CL340" s="77"/>
      <c r="CM340" s="77">
        <v>22873.032197627861</v>
      </c>
      <c r="CN340" s="77">
        <v>24826.672713043477</v>
      </c>
      <c r="CO340" s="77">
        <v>21017.047769230769</v>
      </c>
      <c r="CP340" s="96">
        <v>23716.889805711373</v>
      </c>
      <c r="CQ340" s="77"/>
      <c r="CR340" s="77">
        <v>19523.461492227983</v>
      </c>
      <c r="CS340" s="77">
        <v>18725.827835714284</v>
      </c>
      <c r="CT340" s="77">
        <v>20034.898675</v>
      </c>
      <c r="CU340" s="77">
        <v>23286.810199999996</v>
      </c>
      <c r="CV340" s="77">
        <v>23759.066240000004</v>
      </c>
      <c r="CW340" s="77">
        <v>23733.496449999999</v>
      </c>
      <c r="CX340" s="77">
        <v>22508.8446</v>
      </c>
      <c r="CY340" s="77">
        <v>22904.606418181818</v>
      </c>
      <c r="CZ340" s="77">
        <v>22108.052231884059</v>
      </c>
      <c r="DA340" s="77">
        <v>20611.435393749998</v>
      </c>
      <c r="DB340" s="77">
        <v>21246.658749999999</v>
      </c>
      <c r="DC340" s="96">
        <v>21106.547259715026</v>
      </c>
      <c r="DD340" s="77"/>
      <c r="DE340" s="77"/>
      <c r="DF340" s="77">
        <v>21246.656776273372</v>
      </c>
      <c r="DG340" s="77"/>
      <c r="DH340" s="77"/>
      <c r="DI340" s="77"/>
      <c r="DJ340" s="77"/>
      <c r="DK340" s="77"/>
      <c r="DL340" s="77"/>
      <c r="DM340" s="77"/>
      <c r="DN340" s="77"/>
      <c r="DO340" s="77"/>
      <c r="DP340" s="96">
        <v>21246.656776273372</v>
      </c>
    </row>
    <row r="341" spans="1:120" s="22" customFormat="1" hidden="1" collapsed="1" x14ac:dyDescent="0.35">
      <c r="A341" s="22" t="s">
        <v>373</v>
      </c>
      <c r="B341" s="106" t="s">
        <v>259</v>
      </c>
      <c r="C341" s="76"/>
      <c r="D341" s="78"/>
      <c r="E341" s="78">
        <v>165000</v>
      </c>
      <c r="F341" s="78">
        <v>58000</v>
      </c>
      <c r="G341" s="78"/>
      <c r="H341" s="78">
        <v>222000</v>
      </c>
      <c r="I341" s="78">
        <v>511260</v>
      </c>
      <c r="J341" s="78">
        <v>180000</v>
      </c>
      <c r="K341" s="78">
        <v>380000</v>
      </c>
      <c r="L341" s="78"/>
      <c r="M341" s="78">
        <v>264740</v>
      </c>
      <c r="N341" s="78">
        <v>115000</v>
      </c>
      <c r="O341" s="78">
        <v>65000</v>
      </c>
      <c r="P341" s="81">
        <v>1961000</v>
      </c>
      <c r="Q341" s="78"/>
      <c r="R341" s="78">
        <v>386000</v>
      </c>
      <c r="S341" s="78">
        <v>140000</v>
      </c>
      <c r="T341" s="78">
        <v>120000</v>
      </c>
      <c r="U341" s="78">
        <v>80000</v>
      </c>
      <c r="V341" s="78">
        <v>100000</v>
      </c>
      <c r="W341" s="78">
        <v>20000</v>
      </c>
      <c r="X341" s="78">
        <v>80000</v>
      </c>
      <c r="Y341" s="78">
        <v>220000</v>
      </c>
      <c r="Z341" s="78">
        <v>138000</v>
      </c>
      <c r="AA341" s="78">
        <v>160000</v>
      </c>
      <c r="AB341" s="78">
        <v>100000</v>
      </c>
      <c r="AC341" s="81">
        <v>1544000</v>
      </c>
      <c r="AD341" s="78">
        <v>500</v>
      </c>
      <c r="AE341" s="78"/>
      <c r="AF341" s="78">
        <v>155100</v>
      </c>
      <c r="AG341" s="78"/>
      <c r="AH341" s="78"/>
      <c r="AI341" s="78"/>
      <c r="AJ341" s="78"/>
      <c r="AK341" s="78"/>
      <c r="AL341" s="78"/>
      <c r="AM341" s="78"/>
      <c r="AN341" s="78"/>
      <c r="AO341" s="78"/>
      <c r="AP341" s="81">
        <v>155600</v>
      </c>
      <c r="AQ341" s="78"/>
      <c r="AR341" s="78">
        <v>662.7002019620104</v>
      </c>
      <c r="AS341" s="78">
        <v>663.14258366037598</v>
      </c>
      <c r="AT341" s="78"/>
      <c r="AU341" s="78">
        <v>664.03268569960994</v>
      </c>
      <c r="AV341" s="78">
        <v>673.25967958158412</v>
      </c>
      <c r="AW341" s="78">
        <v>672.55743382714388</v>
      </c>
      <c r="AX341" s="78">
        <v>706.174396101752</v>
      </c>
      <c r="AY341" s="78"/>
      <c r="AZ341" s="78">
        <v>722.57020682871484</v>
      </c>
      <c r="BA341" s="78">
        <v>693.45596220807715</v>
      </c>
      <c r="BB341" s="78">
        <v>723.78440084072213</v>
      </c>
      <c r="BC341" s="84">
        <v>686.8572514309991</v>
      </c>
      <c r="BD341" s="78"/>
      <c r="BE341" s="78">
        <v>708.55185880593206</v>
      </c>
      <c r="BF341" s="78">
        <v>717.68287872943324</v>
      </c>
      <c r="BG341" s="78">
        <v>674.63956095136996</v>
      </c>
      <c r="BH341" s="78">
        <v>612.90560584829859</v>
      </c>
      <c r="BI341" s="78">
        <v>637.47080779027522</v>
      </c>
      <c r="BJ341" s="78">
        <v>607.9715647187287</v>
      </c>
      <c r="BK341" s="78">
        <v>645.92744929417483</v>
      </c>
      <c r="BL341" s="78">
        <v>652.21109358024796</v>
      </c>
      <c r="BM341" s="78">
        <v>631.1291633820789</v>
      </c>
      <c r="BN341" s="78">
        <v>635.32789353373357</v>
      </c>
      <c r="BO341" s="78">
        <v>633.7686120028925</v>
      </c>
      <c r="BP341" s="84">
        <v>665.25784560896557</v>
      </c>
      <c r="BQ341" s="78">
        <v>838.63195375593625</v>
      </c>
      <c r="BR341" s="78"/>
      <c r="BS341" s="78">
        <v>616.8203815026103</v>
      </c>
      <c r="BT341" s="78"/>
      <c r="BU341" s="78"/>
      <c r="BV341" s="78"/>
      <c r="BW341" s="78"/>
      <c r="BX341" s="78"/>
      <c r="BY341" s="78"/>
      <c r="BZ341" s="78"/>
      <c r="CA341" s="78"/>
      <c r="CB341" s="78"/>
      <c r="CC341" s="84">
        <v>617.5331436242468</v>
      </c>
      <c r="CD341" s="78"/>
      <c r="CE341" s="78">
        <v>24598.071175757577</v>
      </c>
      <c r="CF341" s="78">
        <v>24778.517844827587</v>
      </c>
      <c r="CG341" s="78"/>
      <c r="CH341" s="78">
        <v>23597.167545045046</v>
      </c>
      <c r="CI341" s="78">
        <v>23592.06293079842</v>
      </c>
      <c r="CJ341" s="78">
        <v>24672.566849999999</v>
      </c>
      <c r="CK341" s="78">
        <v>23671.29420263158</v>
      </c>
      <c r="CL341" s="78"/>
      <c r="CM341" s="78">
        <v>22873.032197627861</v>
      </c>
      <c r="CN341" s="78">
        <v>24826.672713043477</v>
      </c>
      <c r="CO341" s="78">
        <v>21017.047769230769</v>
      </c>
      <c r="CP341" s="97">
        <v>23716.889805711373</v>
      </c>
      <c r="CQ341" s="78"/>
      <c r="CR341" s="78">
        <v>19523.461492227983</v>
      </c>
      <c r="CS341" s="78">
        <v>18725.827835714284</v>
      </c>
      <c r="CT341" s="78">
        <v>20034.898675</v>
      </c>
      <c r="CU341" s="78">
        <v>23286.810199999996</v>
      </c>
      <c r="CV341" s="78">
        <v>23759.066240000004</v>
      </c>
      <c r="CW341" s="78">
        <v>23733.496449999999</v>
      </c>
      <c r="CX341" s="78">
        <v>22508.8446</v>
      </c>
      <c r="CY341" s="78">
        <v>22904.606418181818</v>
      </c>
      <c r="CZ341" s="78">
        <v>22108.052231884059</v>
      </c>
      <c r="DA341" s="78">
        <v>20611.435393749998</v>
      </c>
      <c r="DB341" s="78">
        <v>21246.658749999999</v>
      </c>
      <c r="DC341" s="97">
        <v>21106.547259715026</v>
      </c>
      <c r="DD341" s="78">
        <v>21246.66</v>
      </c>
      <c r="DE341" s="78"/>
      <c r="DF341" s="78">
        <v>21246.656776273372</v>
      </c>
      <c r="DG341" s="78"/>
      <c r="DH341" s="78"/>
      <c r="DI341" s="78"/>
      <c r="DJ341" s="78"/>
      <c r="DK341" s="78"/>
      <c r="DL341" s="78"/>
      <c r="DM341" s="78"/>
      <c r="DN341" s="78"/>
      <c r="DO341" s="78"/>
      <c r="DP341" s="97">
        <v>21246.656786632389</v>
      </c>
    </row>
    <row r="342" spans="1:120" s="22" customFormat="1" hidden="1" outlineLevel="1" x14ac:dyDescent="0.35">
      <c r="B342" s="25" t="s">
        <v>260</v>
      </c>
      <c r="C342" s="75" t="s">
        <v>141</v>
      </c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80"/>
      <c r="Q342" s="77"/>
      <c r="R342" s="77"/>
      <c r="S342" s="77"/>
      <c r="T342" s="77"/>
      <c r="U342" s="77"/>
      <c r="V342" s="77"/>
      <c r="W342" s="77"/>
      <c r="X342" s="77"/>
      <c r="Y342" s="77"/>
      <c r="Z342" s="77">
        <v>11000</v>
      </c>
      <c r="AA342" s="77"/>
      <c r="AB342" s="77"/>
      <c r="AC342" s="80">
        <v>11000</v>
      </c>
      <c r="AD342" s="77">
        <v>11000</v>
      </c>
      <c r="AE342" s="77"/>
      <c r="AF342" s="77"/>
      <c r="AG342" s="77">
        <v>5500</v>
      </c>
      <c r="AH342" s="77"/>
      <c r="AI342" s="77"/>
      <c r="AJ342" s="77"/>
      <c r="AK342" s="77"/>
      <c r="AL342" s="77"/>
      <c r="AM342" s="77"/>
      <c r="AN342" s="77"/>
      <c r="AO342" s="77"/>
      <c r="AP342" s="80">
        <v>16500</v>
      </c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83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>
        <v>699.24260296793102</v>
      </c>
      <c r="BN342" s="77"/>
      <c r="BO342" s="77"/>
      <c r="BP342" s="83">
        <v>699.24260296793102</v>
      </c>
      <c r="BQ342" s="77">
        <v>697.58930698789243</v>
      </c>
      <c r="BR342" s="77"/>
      <c r="BS342" s="77"/>
      <c r="BT342" s="77">
        <v>754.30337845297367</v>
      </c>
      <c r="BU342" s="77"/>
      <c r="BV342" s="77"/>
      <c r="BW342" s="77"/>
      <c r="BX342" s="77"/>
      <c r="BY342" s="77"/>
      <c r="BZ342" s="77"/>
      <c r="CA342" s="77"/>
      <c r="CB342" s="77"/>
      <c r="CC342" s="83">
        <v>716.49399747625284</v>
      </c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96"/>
      <c r="CQ342" s="77"/>
      <c r="CR342" s="77"/>
      <c r="CS342" s="77"/>
      <c r="CT342" s="77"/>
      <c r="CU342" s="77"/>
      <c r="CV342" s="77"/>
      <c r="CW342" s="77"/>
      <c r="CX342" s="77"/>
      <c r="CY342" s="77"/>
      <c r="CZ342" s="77">
        <v>23812.457818181821</v>
      </c>
      <c r="DA342" s="77"/>
      <c r="DB342" s="77"/>
      <c r="DC342" s="96">
        <v>23812.457818181821</v>
      </c>
      <c r="DD342" s="77">
        <v>23812.455818181817</v>
      </c>
      <c r="DE342" s="77"/>
      <c r="DF342" s="77"/>
      <c r="DG342" s="77">
        <v>20039.922993111206</v>
      </c>
      <c r="DH342" s="77"/>
      <c r="DI342" s="77"/>
      <c r="DJ342" s="77"/>
      <c r="DK342" s="77"/>
      <c r="DL342" s="77"/>
      <c r="DM342" s="77"/>
      <c r="DN342" s="77"/>
      <c r="DO342" s="77"/>
      <c r="DP342" s="96">
        <v>22554.944876491616</v>
      </c>
    </row>
    <row r="343" spans="1:120" s="22" customFormat="1" hidden="1" collapsed="1" x14ac:dyDescent="0.35">
      <c r="B343" s="106" t="s">
        <v>261</v>
      </c>
      <c r="C343" s="76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81"/>
      <c r="Q343" s="78"/>
      <c r="R343" s="78"/>
      <c r="S343" s="78"/>
      <c r="T343" s="78"/>
      <c r="U343" s="78"/>
      <c r="V343" s="78"/>
      <c r="W343" s="78"/>
      <c r="X343" s="78"/>
      <c r="Y343" s="78"/>
      <c r="Z343" s="78">
        <v>11000</v>
      </c>
      <c r="AA343" s="78"/>
      <c r="AB343" s="78"/>
      <c r="AC343" s="81">
        <v>11000</v>
      </c>
      <c r="AD343" s="78">
        <v>11000</v>
      </c>
      <c r="AE343" s="78"/>
      <c r="AF343" s="78"/>
      <c r="AG343" s="78">
        <v>5500</v>
      </c>
      <c r="AH343" s="78"/>
      <c r="AI343" s="78"/>
      <c r="AJ343" s="78"/>
      <c r="AK343" s="78"/>
      <c r="AL343" s="78"/>
      <c r="AM343" s="78"/>
      <c r="AN343" s="78"/>
      <c r="AO343" s="78"/>
      <c r="AP343" s="81">
        <v>16500</v>
      </c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84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>
        <v>699.24260296793102</v>
      </c>
      <c r="BN343" s="78"/>
      <c r="BO343" s="78"/>
      <c r="BP343" s="84">
        <v>699.24260296793102</v>
      </c>
      <c r="BQ343" s="78">
        <v>697.58930698789243</v>
      </c>
      <c r="BR343" s="78"/>
      <c r="BS343" s="78"/>
      <c r="BT343" s="78">
        <v>754.30337845297367</v>
      </c>
      <c r="BU343" s="78"/>
      <c r="BV343" s="78"/>
      <c r="BW343" s="78"/>
      <c r="BX343" s="78"/>
      <c r="BY343" s="78"/>
      <c r="BZ343" s="78"/>
      <c r="CA343" s="78"/>
      <c r="CB343" s="78"/>
      <c r="CC343" s="84">
        <v>716.49399747625284</v>
      </c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97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>
        <v>23812.457818181821</v>
      </c>
      <c r="DA343" s="78"/>
      <c r="DB343" s="78"/>
      <c r="DC343" s="97">
        <v>23812.457818181821</v>
      </c>
      <c r="DD343" s="78">
        <v>23812.455818181817</v>
      </c>
      <c r="DE343" s="78"/>
      <c r="DF343" s="78"/>
      <c r="DG343" s="78">
        <v>20039.922993111206</v>
      </c>
      <c r="DH343" s="78"/>
      <c r="DI343" s="78"/>
      <c r="DJ343" s="78"/>
      <c r="DK343" s="78"/>
      <c r="DL343" s="78"/>
      <c r="DM343" s="78"/>
      <c r="DN343" s="78"/>
      <c r="DO343" s="78"/>
      <c r="DP343" s="97">
        <v>22554.944876491616</v>
      </c>
    </row>
    <row r="344" spans="1:120" s="22" customFormat="1" hidden="1" outlineLevel="1" x14ac:dyDescent="0.35">
      <c r="B344" s="25" t="s">
        <v>262</v>
      </c>
      <c r="C344" s="75" t="s">
        <v>44</v>
      </c>
      <c r="D344" s="77"/>
      <c r="E344" s="77"/>
      <c r="F344" s="77">
        <v>1000</v>
      </c>
      <c r="G344" s="77"/>
      <c r="H344" s="77"/>
      <c r="I344" s="77"/>
      <c r="J344" s="77"/>
      <c r="K344" s="77"/>
      <c r="L344" s="77"/>
      <c r="M344" s="77"/>
      <c r="N344" s="77"/>
      <c r="O344" s="77"/>
      <c r="P344" s="80">
        <v>1000</v>
      </c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80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80"/>
      <c r="AQ344" s="77"/>
      <c r="AR344" s="77"/>
      <c r="AS344" s="77">
        <v>1364.1393519059638</v>
      </c>
      <c r="AT344" s="77"/>
      <c r="AU344" s="77"/>
      <c r="AV344" s="77"/>
      <c r="AW344" s="77"/>
      <c r="AX344" s="77"/>
      <c r="AY344" s="77"/>
      <c r="AZ344" s="77"/>
      <c r="BA344" s="77"/>
      <c r="BB344" s="77"/>
      <c r="BC344" s="83">
        <v>1364.1393519059638</v>
      </c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83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83"/>
      <c r="CD344" s="77"/>
      <c r="CE344" s="77"/>
      <c r="CF344" s="77">
        <v>27291.205999999998</v>
      </c>
      <c r="CG344" s="77"/>
      <c r="CH344" s="77"/>
      <c r="CI344" s="77"/>
      <c r="CJ344" s="77"/>
      <c r="CK344" s="77"/>
      <c r="CL344" s="77"/>
      <c r="CM344" s="77"/>
      <c r="CN344" s="77"/>
      <c r="CO344" s="77"/>
      <c r="CP344" s="96">
        <v>27291.205999999998</v>
      </c>
      <c r="CQ344" s="77"/>
      <c r="CR344" s="77"/>
      <c r="CS344" s="77"/>
      <c r="CT344" s="77"/>
      <c r="CU344" s="77"/>
      <c r="CV344" s="77"/>
      <c r="CW344" s="77"/>
      <c r="CX344" s="77"/>
      <c r="CY344" s="77"/>
      <c r="CZ344" s="77"/>
      <c r="DA344" s="77"/>
      <c r="DB344" s="77"/>
      <c r="DC344" s="96"/>
      <c r="DD344" s="77"/>
      <c r="DE344" s="77"/>
      <c r="DF344" s="77"/>
      <c r="DG344" s="77"/>
      <c r="DH344" s="77"/>
      <c r="DI344" s="77"/>
      <c r="DJ344" s="77"/>
      <c r="DK344" s="77"/>
      <c r="DL344" s="77"/>
      <c r="DM344" s="77"/>
      <c r="DN344" s="77"/>
      <c r="DO344" s="77"/>
      <c r="DP344" s="96"/>
    </row>
    <row r="345" spans="1:120" s="22" customFormat="1" hidden="1" collapsed="1" x14ac:dyDescent="0.35">
      <c r="B345" s="106" t="s">
        <v>263</v>
      </c>
      <c r="C345" s="76"/>
      <c r="D345" s="78"/>
      <c r="E345" s="78"/>
      <c r="F345" s="78">
        <v>1000</v>
      </c>
      <c r="G345" s="78"/>
      <c r="H345" s="78"/>
      <c r="I345" s="78"/>
      <c r="J345" s="78"/>
      <c r="K345" s="78"/>
      <c r="L345" s="78"/>
      <c r="M345" s="78"/>
      <c r="N345" s="78"/>
      <c r="O345" s="78"/>
      <c r="P345" s="81">
        <v>1000</v>
      </c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81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81"/>
      <c r="AQ345" s="78"/>
      <c r="AR345" s="78"/>
      <c r="AS345" s="78">
        <v>1364.1393519059638</v>
      </c>
      <c r="AT345" s="78"/>
      <c r="AU345" s="78"/>
      <c r="AV345" s="78"/>
      <c r="AW345" s="78"/>
      <c r="AX345" s="78"/>
      <c r="AY345" s="78"/>
      <c r="AZ345" s="78"/>
      <c r="BA345" s="78"/>
      <c r="BB345" s="78"/>
      <c r="BC345" s="84">
        <v>1364.1393519059638</v>
      </c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84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84"/>
      <c r="CD345" s="78"/>
      <c r="CE345" s="78"/>
      <c r="CF345" s="78">
        <v>27291.205999999998</v>
      </c>
      <c r="CG345" s="78"/>
      <c r="CH345" s="78"/>
      <c r="CI345" s="78"/>
      <c r="CJ345" s="78"/>
      <c r="CK345" s="78"/>
      <c r="CL345" s="78"/>
      <c r="CM345" s="78"/>
      <c r="CN345" s="78"/>
      <c r="CO345" s="78"/>
      <c r="CP345" s="97">
        <v>27291.205999999998</v>
      </c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97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97"/>
    </row>
    <row r="346" spans="1:120" s="22" customFormat="1" hidden="1" outlineLevel="1" x14ac:dyDescent="0.35">
      <c r="B346" s="25" t="s">
        <v>264</v>
      </c>
      <c r="C346" s="75" t="s">
        <v>265</v>
      </c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80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>
        <v>10000</v>
      </c>
      <c r="AC346" s="80">
        <v>10000</v>
      </c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80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83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>
        <v>822.57924286520904</v>
      </c>
      <c r="BP346" s="83">
        <v>822.57924286520904</v>
      </c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83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96"/>
      <c r="CQ346" s="77"/>
      <c r="CR346" s="77"/>
      <c r="CS346" s="77"/>
      <c r="CT346" s="77"/>
      <c r="CU346" s="77"/>
      <c r="CV346" s="77"/>
      <c r="CW346" s="77"/>
      <c r="CX346" s="77"/>
      <c r="CY346" s="77"/>
      <c r="CZ346" s="77"/>
      <c r="DA346" s="77"/>
      <c r="DB346" s="77">
        <v>30086.562399999999</v>
      </c>
      <c r="DC346" s="96">
        <v>30086.562399999999</v>
      </c>
      <c r="DD346" s="77"/>
      <c r="DE346" s="77"/>
      <c r="DF346" s="77"/>
      <c r="DG346" s="77"/>
      <c r="DH346" s="77"/>
      <c r="DI346" s="77"/>
      <c r="DJ346" s="77"/>
      <c r="DK346" s="77"/>
      <c r="DL346" s="77"/>
      <c r="DM346" s="77"/>
      <c r="DN346" s="77"/>
      <c r="DO346" s="77"/>
      <c r="DP346" s="96"/>
    </row>
    <row r="347" spans="1:120" s="22" customFormat="1" hidden="1" outlineLevel="1" x14ac:dyDescent="0.35">
      <c r="B347" s="25" t="s">
        <v>264</v>
      </c>
      <c r="C347" s="75" t="s">
        <v>5</v>
      </c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80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80"/>
      <c r="AD347" s="77"/>
      <c r="AE347" s="77">
        <v>200</v>
      </c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80">
        <v>200</v>
      </c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83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83"/>
      <c r="BQ347" s="77"/>
      <c r="BR347" s="77">
        <v>764.07244377055008</v>
      </c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83">
        <v>764.07244377055008</v>
      </c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96"/>
      <c r="CQ347" s="77"/>
      <c r="CR347" s="77"/>
      <c r="CS347" s="77"/>
      <c r="CT347" s="77"/>
      <c r="CU347" s="77"/>
      <c r="CV347" s="77"/>
      <c r="CW347" s="77"/>
      <c r="CX347" s="77"/>
      <c r="CY347" s="77"/>
      <c r="CZ347" s="77"/>
      <c r="DA347" s="77"/>
      <c r="DB347" s="77"/>
      <c r="DC347" s="96"/>
      <c r="DD347" s="77"/>
      <c r="DE347" s="77">
        <v>30086.555</v>
      </c>
      <c r="DF347" s="77"/>
      <c r="DG347" s="77"/>
      <c r="DH347" s="77"/>
      <c r="DI347" s="77"/>
      <c r="DJ347" s="77"/>
      <c r="DK347" s="77"/>
      <c r="DL347" s="77"/>
      <c r="DM347" s="77"/>
      <c r="DN347" s="77"/>
      <c r="DO347" s="77"/>
      <c r="DP347" s="96">
        <v>30086.555</v>
      </c>
    </row>
    <row r="348" spans="1:120" s="22" customFormat="1" hidden="1" outlineLevel="1" x14ac:dyDescent="0.35">
      <c r="B348" s="25" t="s">
        <v>264</v>
      </c>
      <c r="C348" s="75" t="s">
        <v>266</v>
      </c>
      <c r="D348" s="77"/>
      <c r="E348" s="77"/>
      <c r="F348" s="77">
        <v>7000</v>
      </c>
      <c r="G348" s="77"/>
      <c r="H348" s="77"/>
      <c r="I348" s="77"/>
      <c r="J348" s="77"/>
      <c r="K348" s="77">
        <v>7000</v>
      </c>
      <c r="L348" s="77"/>
      <c r="M348" s="77"/>
      <c r="N348" s="77"/>
      <c r="O348" s="77"/>
      <c r="P348" s="80">
        <v>14000</v>
      </c>
      <c r="Q348" s="77"/>
      <c r="R348" s="77"/>
      <c r="S348" s="77"/>
      <c r="T348" s="77"/>
      <c r="U348" s="77"/>
      <c r="V348" s="77"/>
      <c r="W348" s="77"/>
      <c r="X348" s="77"/>
      <c r="Y348" s="77"/>
      <c r="Z348" s="77">
        <v>5500</v>
      </c>
      <c r="AA348" s="77"/>
      <c r="AB348" s="77"/>
      <c r="AC348" s="80">
        <v>5500</v>
      </c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80"/>
      <c r="AQ348" s="77"/>
      <c r="AR348" s="77"/>
      <c r="AS348" s="77">
        <v>996.64263498825403</v>
      </c>
      <c r="AT348" s="77"/>
      <c r="AU348" s="77"/>
      <c r="AV348" s="77"/>
      <c r="AW348" s="77"/>
      <c r="AX348" s="77">
        <v>1003.7640103189411</v>
      </c>
      <c r="AY348" s="77"/>
      <c r="AZ348" s="77"/>
      <c r="BA348" s="77"/>
      <c r="BB348" s="77"/>
      <c r="BC348" s="83">
        <v>1000.2033226535975</v>
      </c>
      <c r="BD348" s="77"/>
      <c r="BE348" s="77"/>
      <c r="BF348" s="77"/>
      <c r="BG348" s="77"/>
      <c r="BH348" s="77"/>
      <c r="BI348" s="77"/>
      <c r="BJ348" s="77"/>
      <c r="BK348" s="77"/>
      <c r="BL348" s="77"/>
      <c r="BM348" s="77">
        <v>821.51453354155831</v>
      </c>
      <c r="BN348" s="77"/>
      <c r="BO348" s="77"/>
      <c r="BP348" s="83">
        <v>821.51453354155831</v>
      </c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83"/>
      <c r="CD348" s="77"/>
      <c r="CE348" s="77"/>
      <c r="CF348" s="77">
        <v>32869.499142857145</v>
      </c>
      <c r="CG348" s="77"/>
      <c r="CH348" s="77"/>
      <c r="CI348" s="77"/>
      <c r="CJ348" s="77"/>
      <c r="CK348" s="77">
        <v>37810.133000000002</v>
      </c>
      <c r="CL348" s="77"/>
      <c r="CM348" s="77"/>
      <c r="CN348" s="77"/>
      <c r="CO348" s="77"/>
      <c r="CP348" s="96">
        <v>35339.81607142857</v>
      </c>
      <c r="CQ348" s="77"/>
      <c r="CR348" s="77"/>
      <c r="CS348" s="77"/>
      <c r="CT348" s="77"/>
      <c r="CU348" s="77"/>
      <c r="CV348" s="77"/>
      <c r="CW348" s="77"/>
      <c r="CX348" s="77"/>
      <c r="CY348" s="77"/>
      <c r="CZ348" s="77">
        <v>26863.341636363635</v>
      </c>
      <c r="DA348" s="77"/>
      <c r="DB348" s="77"/>
      <c r="DC348" s="96">
        <v>26863.341636363635</v>
      </c>
      <c r="DD348" s="77"/>
      <c r="DE348" s="77"/>
      <c r="DF348" s="77"/>
      <c r="DG348" s="77"/>
      <c r="DH348" s="77"/>
      <c r="DI348" s="77"/>
      <c r="DJ348" s="77"/>
      <c r="DK348" s="77"/>
      <c r="DL348" s="77"/>
      <c r="DM348" s="77"/>
      <c r="DN348" s="77"/>
      <c r="DO348" s="77"/>
      <c r="DP348" s="96"/>
    </row>
    <row r="349" spans="1:120" s="22" customFormat="1" hidden="1" outlineLevel="1" x14ac:dyDescent="0.35">
      <c r="B349" s="25" t="s">
        <v>264</v>
      </c>
      <c r="C349" s="75" t="s">
        <v>192</v>
      </c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80"/>
      <c r="Q349" s="77"/>
      <c r="R349" s="77">
        <v>5</v>
      </c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80">
        <v>5</v>
      </c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80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83"/>
      <c r="BD349" s="77"/>
      <c r="BE349" s="77">
        <v>830.95528287688489</v>
      </c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83">
        <v>830.95528287688489</v>
      </c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83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96"/>
      <c r="CQ349" s="77"/>
      <c r="CR349" s="77">
        <v>29041.4</v>
      </c>
      <c r="CS349" s="77"/>
      <c r="CT349" s="77"/>
      <c r="CU349" s="77"/>
      <c r="CV349" s="77"/>
      <c r="CW349" s="77"/>
      <c r="CX349" s="77"/>
      <c r="CY349" s="77"/>
      <c r="CZ349" s="77"/>
      <c r="DA349" s="77"/>
      <c r="DB349" s="77"/>
      <c r="DC349" s="96">
        <v>29041.4</v>
      </c>
      <c r="DD349" s="77"/>
      <c r="DE349" s="77"/>
      <c r="DF349" s="77"/>
      <c r="DG349" s="77"/>
      <c r="DH349" s="77"/>
      <c r="DI349" s="77"/>
      <c r="DJ349" s="77"/>
      <c r="DK349" s="77"/>
      <c r="DL349" s="77"/>
      <c r="DM349" s="77"/>
      <c r="DN349" s="77"/>
      <c r="DO349" s="77"/>
      <c r="DP349" s="96"/>
    </row>
    <row r="350" spans="1:120" s="22" customFormat="1" hidden="1" collapsed="1" x14ac:dyDescent="0.35">
      <c r="B350" s="106" t="s">
        <v>267</v>
      </c>
      <c r="C350" s="76"/>
      <c r="D350" s="78"/>
      <c r="E350" s="78"/>
      <c r="F350" s="78">
        <v>7000</v>
      </c>
      <c r="G350" s="78"/>
      <c r="H350" s="78"/>
      <c r="I350" s="78"/>
      <c r="J350" s="78"/>
      <c r="K350" s="78">
        <v>7000</v>
      </c>
      <c r="L350" s="78"/>
      <c r="M350" s="78"/>
      <c r="N350" s="78"/>
      <c r="O350" s="78"/>
      <c r="P350" s="81">
        <v>14000</v>
      </c>
      <c r="Q350" s="78"/>
      <c r="R350" s="78">
        <v>5</v>
      </c>
      <c r="S350" s="78"/>
      <c r="T350" s="78"/>
      <c r="U350" s="78"/>
      <c r="V350" s="78"/>
      <c r="W350" s="78"/>
      <c r="X350" s="78"/>
      <c r="Y350" s="78"/>
      <c r="Z350" s="78">
        <v>5500</v>
      </c>
      <c r="AA350" s="78"/>
      <c r="AB350" s="78">
        <v>10000</v>
      </c>
      <c r="AC350" s="81">
        <v>15505</v>
      </c>
      <c r="AD350" s="78"/>
      <c r="AE350" s="78">
        <v>200</v>
      </c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81">
        <v>200</v>
      </c>
      <c r="AQ350" s="78"/>
      <c r="AR350" s="78"/>
      <c r="AS350" s="78">
        <v>996.64263498825403</v>
      </c>
      <c r="AT350" s="78"/>
      <c r="AU350" s="78"/>
      <c r="AV350" s="78"/>
      <c r="AW350" s="78"/>
      <c r="AX350" s="78">
        <v>1003.7640103189411</v>
      </c>
      <c r="AY350" s="78"/>
      <c r="AZ350" s="78"/>
      <c r="BA350" s="78"/>
      <c r="BB350" s="78"/>
      <c r="BC350" s="84">
        <v>1000.2033226535975</v>
      </c>
      <c r="BD350" s="78"/>
      <c r="BE350" s="78">
        <v>830.95528287688489</v>
      </c>
      <c r="BF350" s="78"/>
      <c r="BG350" s="78"/>
      <c r="BH350" s="78"/>
      <c r="BI350" s="78"/>
      <c r="BJ350" s="78"/>
      <c r="BK350" s="78"/>
      <c r="BL350" s="78"/>
      <c r="BM350" s="78">
        <v>821.51453354155831</v>
      </c>
      <c r="BN350" s="78"/>
      <c r="BO350" s="78">
        <v>822.57924286520904</v>
      </c>
      <c r="BP350" s="84">
        <v>822.20426569139283</v>
      </c>
      <c r="BQ350" s="78"/>
      <c r="BR350" s="78">
        <v>764.07244377055008</v>
      </c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84">
        <v>764.07244377055008</v>
      </c>
      <c r="CD350" s="78"/>
      <c r="CE350" s="78"/>
      <c r="CF350" s="78">
        <v>32869.499142857145</v>
      </c>
      <c r="CG350" s="78"/>
      <c r="CH350" s="78"/>
      <c r="CI350" s="78"/>
      <c r="CJ350" s="78"/>
      <c r="CK350" s="78">
        <v>37810.133000000002</v>
      </c>
      <c r="CL350" s="78"/>
      <c r="CM350" s="78"/>
      <c r="CN350" s="78"/>
      <c r="CO350" s="78"/>
      <c r="CP350" s="97">
        <v>35339.81607142857</v>
      </c>
      <c r="CQ350" s="78"/>
      <c r="CR350" s="78">
        <v>29041.4</v>
      </c>
      <c r="CS350" s="78"/>
      <c r="CT350" s="78"/>
      <c r="CU350" s="78"/>
      <c r="CV350" s="78"/>
      <c r="CW350" s="78"/>
      <c r="CX350" s="78"/>
      <c r="CY350" s="78"/>
      <c r="CZ350" s="78">
        <v>26863.341636363635</v>
      </c>
      <c r="DA350" s="78"/>
      <c r="DB350" s="78">
        <v>30086.562399999999</v>
      </c>
      <c r="DC350" s="97">
        <v>28942.870686875201</v>
      </c>
      <c r="DD350" s="78"/>
      <c r="DE350" s="78">
        <v>30086.555</v>
      </c>
      <c r="DF350" s="78"/>
      <c r="DG350" s="78"/>
      <c r="DH350" s="78"/>
      <c r="DI350" s="78"/>
      <c r="DJ350" s="78"/>
      <c r="DK350" s="78"/>
      <c r="DL350" s="78"/>
      <c r="DM350" s="78"/>
      <c r="DN350" s="78"/>
      <c r="DO350" s="78"/>
      <c r="DP350" s="97">
        <v>30086.555</v>
      </c>
    </row>
    <row r="351" spans="1:120" s="22" customFormat="1" hidden="1" outlineLevel="1" x14ac:dyDescent="0.35">
      <c r="B351" s="25" t="s">
        <v>268</v>
      </c>
      <c r="C351" s="75" t="s">
        <v>174</v>
      </c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80"/>
      <c r="Q351" s="77"/>
      <c r="R351" s="77"/>
      <c r="S351" s="77"/>
      <c r="T351" s="77"/>
      <c r="U351" s="77"/>
      <c r="V351" s="77">
        <v>21000</v>
      </c>
      <c r="W351" s="77"/>
      <c r="X351" s="77"/>
      <c r="Y351" s="77"/>
      <c r="Z351" s="77">
        <v>21000</v>
      </c>
      <c r="AA351" s="77">
        <v>21000</v>
      </c>
      <c r="AB351" s="77"/>
      <c r="AC351" s="80">
        <v>63000</v>
      </c>
      <c r="AD351" s="77">
        <v>21000</v>
      </c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80">
        <v>21000</v>
      </c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83"/>
      <c r="BD351" s="77"/>
      <c r="BE351" s="77"/>
      <c r="BF351" s="77"/>
      <c r="BG351" s="77"/>
      <c r="BH351" s="77"/>
      <c r="BI351" s="77">
        <v>670.25615755796605</v>
      </c>
      <c r="BJ351" s="77"/>
      <c r="BK351" s="77"/>
      <c r="BL351" s="77"/>
      <c r="BM351" s="77">
        <v>618.58583161108004</v>
      </c>
      <c r="BN351" s="77">
        <v>616.96599392716234</v>
      </c>
      <c r="BO351" s="77"/>
      <c r="BP351" s="83">
        <v>635.26932769873611</v>
      </c>
      <c r="BQ351" s="77">
        <v>627.523376842733</v>
      </c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83">
        <v>627.523376842733</v>
      </c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96"/>
      <c r="CQ351" s="77"/>
      <c r="CR351" s="77"/>
      <c r="CS351" s="77"/>
      <c r="CT351" s="77"/>
      <c r="CU351" s="77"/>
      <c r="CV351" s="77">
        <v>24800.947016348775</v>
      </c>
      <c r="CW351" s="77"/>
      <c r="CX351" s="77"/>
      <c r="CY351" s="77"/>
      <c r="CZ351" s="77">
        <v>28552.292403339754</v>
      </c>
      <c r="DA351" s="77">
        <v>29006.96391941392</v>
      </c>
      <c r="DB351" s="77"/>
      <c r="DC351" s="96">
        <v>27453.40111303415</v>
      </c>
      <c r="DD351" s="77">
        <v>28728.438138528138</v>
      </c>
      <c r="DE351" s="77"/>
      <c r="DF351" s="77"/>
      <c r="DG351" s="77"/>
      <c r="DH351" s="77"/>
      <c r="DI351" s="77"/>
      <c r="DJ351" s="77"/>
      <c r="DK351" s="77"/>
      <c r="DL351" s="77"/>
      <c r="DM351" s="77"/>
      <c r="DN351" s="77"/>
      <c r="DO351" s="77"/>
      <c r="DP351" s="96">
        <v>28728.438138528138</v>
      </c>
    </row>
    <row r="352" spans="1:120" s="22" customFormat="1" hidden="1" outlineLevel="1" x14ac:dyDescent="0.35">
      <c r="B352" s="25" t="s">
        <v>268</v>
      </c>
      <c r="C352" s="75" t="s">
        <v>58</v>
      </c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80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>
        <v>1050</v>
      </c>
      <c r="AC352" s="80">
        <v>1050</v>
      </c>
      <c r="AD352" s="77">
        <v>2100</v>
      </c>
      <c r="AE352" s="77"/>
      <c r="AF352" s="77">
        <v>2100</v>
      </c>
      <c r="AG352" s="77"/>
      <c r="AH352" s="77"/>
      <c r="AI352" s="77"/>
      <c r="AJ352" s="77"/>
      <c r="AK352" s="77"/>
      <c r="AL352" s="77"/>
      <c r="AM352" s="77"/>
      <c r="AN352" s="77"/>
      <c r="AO352" s="77"/>
      <c r="AP352" s="80">
        <v>4200</v>
      </c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83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>
        <v>1128.655240210403</v>
      </c>
      <c r="BP352" s="83">
        <v>1128.655240210403</v>
      </c>
      <c r="BQ352" s="77">
        <v>1143.589027849004</v>
      </c>
      <c r="BR352" s="77"/>
      <c r="BS352" s="77">
        <v>1144.6379656742622</v>
      </c>
      <c r="BT352" s="77"/>
      <c r="BU352" s="77"/>
      <c r="BV352" s="77"/>
      <c r="BW352" s="77"/>
      <c r="BX352" s="77"/>
      <c r="BY352" s="77"/>
      <c r="BZ352" s="77"/>
      <c r="CA352" s="77"/>
      <c r="CB352" s="77"/>
      <c r="CC352" s="83">
        <v>1144.1134967616331</v>
      </c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96"/>
      <c r="CQ352" s="77"/>
      <c r="CR352" s="77"/>
      <c r="CS352" s="77"/>
      <c r="CT352" s="77"/>
      <c r="CU352" s="77"/>
      <c r="CV352" s="77"/>
      <c r="CW352" s="77"/>
      <c r="CX352" s="77"/>
      <c r="CY352" s="77"/>
      <c r="CZ352" s="77"/>
      <c r="DA352" s="77"/>
      <c r="DB352" s="77">
        <v>29049.589523809525</v>
      </c>
      <c r="DC352" s="96">
        <v>29049.589523809525</v>
      </c>
      <c r="DD352" s="77">
        <v>28728.438138528134</v>
      </c>
      <c r="DE352" s="77"/>
      <c r="DF352" s="77">
        <v>28354.809731386857</v>
      </c>
      <c r="DG352" s="77"/>
      <c r="DH352" s="77"/>
      <c r="DI352" s="77"/>
      <c r="DJ352" s="77"/>
      <c r="DK352" s="77"/>
      <c r="DL352" s="77"/>
      <c r="DM352" s="77"/>
      <c r="DN352" s="77"/>
      <c r="DO352" s="77"/>
      <c r="DP352" s="96">
        <v>28541.623934957493</v>
      </c>
    </row>
    <row r="353" spans="1:120" s="22" customFormat="1" hidden="1" outlineLevel="1" x14ac:dyDescent="0.35">
      <c r="B353" s="25" t="s">
        <v>268</v>
      </c>
      <c r="C353" s="75" t="s">
        <v>131</v>
      </c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80"/>
      <c r="Q353" s="77"/>
      <c r="R353" s="77"/>
      <c r="S353" s="77"/>
      <c r="T353" s="77"/>
      <c r="U353" s="77"/>
      <c r="V353" s="77"/>
      <c r="W353" s="77"/>
      <c r="X353" s="77">
        <v>259350</v>
      </c>
      <c r="Y353" s="77">
        <v>177450</v>
      </c>
      <c r="Z353" s="77">
        <v>173600</v>
      </c>
      <c r="AA353" s="77"/>
      <c r="AB353" s="77"/>
      <c r="AC353" s="80">
        <v>610400</v>
      </c>
      <c r="AD353" s="77"/>
      <c r="AE353" s="77">
        <v>39900</v>
      </c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80">
        <v>39900</v>
      </c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83"/>
      <c r="BD353" s="77"/>
      <c r="BE353" s="77"/>
      <c r="BF353" s="77"/>
      <c r="BG353" s="77"/>
      <c r="BH353" s="77"/>
      <c r="BI353" s="77"/>
      <c r="BJ353" s="77"/>
      <c r="BK353" s="77">
        <v>675.06681174787502</v>
      </c>
      <c r="BL353" s="77">
        <v>673.09976122660089</v>
      </c>
      <c r="BM353" s="77">
        <v>666.18525915471071</v>
      </c>
      <c r="BN353" s="77"/>
      <c r="BO353" s="77"/>
      <c r="BP353" s="83">
        <v>671.96902235538903</v>
      </c>
      <c r="BQ353" s="77"/>
      <c r="BR353" s="77">
        <v>679.3832316734638</v>
      </c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83">
        <v>679.3832316734638</v>
      </c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96"/>
      <c r="CQ353" s="77"/>
      <c r="CR353" s="77"/>
      <c r="CS353" s="77"/>
      <c r="CT353" s="77"/>
      <c r="CU353" s="77"/>
      <c r="CV353" s="77"/>
      <c r="CW353" s="77"/>
      <c r="CX353" s="77">
        <v>28139.385218608983</v>
      </c>
      <c r="CY353" s="77">
        <v>26917.765003700948</v>
      </c>
      <c r="CZ353" s="77">
        <v>28552.292403339768</v>
      </c>
      <c r="DA353" s="77"/>
      <c r="DB353" s="77"/>
      <c r="DC353" s="96">
        <v>27901.679091698494</v>
      </c>
      <c r="DD353" s="77"/>
      <c r="DE353" s="77">
        <v>28691.706502976191</v>
      </c>
      <c r="DF353" s="77"/>
      <c r="DG353" s="77"/>
      <c r="DH353" s="77"/>
      <c r="DI353" s="77"/>
      <c r="DJ353" s="77"/>
      <c r="DK353" s="77"/>
      <c r="DL353" s="77"/>
      <c r="DM353" s="77"/>
      <c r="DN353" s="77"/>
      <c r="DO353" s="77"/>
      <c r="DP353" s="96">
        <v>28691.706502976191</v>
      </c>
    </row>
    <row r="354" spans="1:120" s="22" customFormat="1" hidden="1" outlineLevel="1" x14ac:dyDescent="0.35">
      <c r="B354" s="25" t="s">
        <v>268</v>
      </c>
      <c r="C354" s="75" t="s">
        <v>269</v>
      </c>
      <c r="D354" s="77"/>
      <c r="E354" s="77"/>
      <c r="F354" s="77"/>
      <c r="G354" s="77">
        <v>220000</v>
      </c>
      <c r="H354" s="77"/>
      <c r="I354" s="77"/>
      <c r="J354" s="77"/>
      <c r="K354" s="77"/>
      <c r="L354" s="77">
        <v>220000</v>
      </c>
      <c r="M354" s="77">
        <v>220000</v>
      </c>
      <c r="N354" s="77"/>
      <c r="O354" s="77">
        <v>220000</v>
      </c>
      <c r="P354" s="80">
        <v>880000</v>
      </c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80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80"/>
      <c r="AQ354" s="77"/>
      <c r="AR354" s="77"/>
      <c r="AS354" s="77"/>
      <c r="AT354" s="77">
        <v>657.61447316103374</v>
      </c>
      <c r="AU354" s="77"/>
      <c r="AV354" s="77"/>
      <c r="AW354" s="77"/>
      <c r="AX354" s="77"/>
      <c r="AY354" s="77">
        <v>705.72818777537668</v>
      </c>
      <c r="AZ354" s="77">
        <v>715.09185055408784</v>
      </c>
      <c r="BA354" s="77"/>
      <c r="BB354" s="77">
        <v>740.68505888555899</v>
      </c>
      <c r="BC354" s="83">
        <v>704.77989259401465</v>
      </c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83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83"/>
      <c r="CD354" s="77"/>
      <c r="CE354" s="77"/>
      <c r="CF354" s="77"/>
      <c r="CG354" s="77">
        <v>22576.961609756105</v>
      </c>
      <c r="CH354" s="77"/>
      <c r="CI354" s="77"/>
      <c r="CJ354" s="77"/>
      <c r="CK354" s="77"/>
      <c r="CL354" s="77">
        <v>23484.809703636362</v>
      </c>
      <c r="CM354" s="77">
        <v>23696.874238095235</v>
      </c>
      <c r="CN354" s="77"/>
      <c r="CO354" s="77">
        <v>23216.977801652891</v>
      </c>
      <c r="CP354" s="96">
        <v>23243.905838285144</v>
      </c>
      <c r="CQ354" s="77"/>
      <c r="CR354" s="77"/>
      <c r="CS354" s="77"/>
      <c r="CT354" s="77"/>
      <c r="CU354" s="77"/>
      <c r="CV354" s="77"/>
      <c r="CW354" s="77"/>
      <c r="CX354" s="77"/>
      <c r="CY354" s="77"/>
      <c r="CZ354" s="77"/>
      <c r="DA354" s="77"/>
      <c r="DB354" s="77"/>
      <c r="DC354" s="96"/>
      <c r="DD354" s="77"/>
      <c r="DE354" s="77"/>
      <c r="DF354" s="77"/>
      <c r="DG354" s="77"/>
      <c r="DH354" s="77"/>
      <c r="DI354" s="77"/>
      <c r="DJ354" s="77"/>
      <c r="DK354" s="77"/>
      <c r="DL354" s="77"/>
      <c r="DM354" s="77"/>
      <c r="DN354" s="77"/>
      <c r="DO354" s="77"/>
      <c r="DP354" s="96"/>
    </row>
    <row r="355" spans="1:120" s="22" customFormat="1" hidden="1" outlineLevel="1" x14ac:dyDescent="0.35">
      <c r="B355" s="25" t="s">
        <v>268</v>
      </c>
      <c r="C355" s="75" t="s">
        <v>270</v>
      </c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80"/>
      <c r="Q355" s="77"/>
      <c r="R355" s="77">
        <v>5500</v>
      </c>
      <c r="S355" s="77"/>
      <c r="T355" s="77"/>
      <c r="U355" s="77"/>
      <c r="V355" s="77">
        <v>5500</v>
      </c>
      <c r="W355" s="77"/>
      <c r="X355" s="77"/>
      <c r="Y355" s="77"/>
      <c r="Z355" s="77"/>
      <c r="AA355" s="77"/>
      <c r="AB355" s="77"/>
      <c r="AC355" s="80">
        <v>11000</v>
      </c>
      <c r="AD355" s="77"/>
      <c r="AE355" s="77">
        <v>27300</v>
      </c>
      <c r="AF355" s="77">
        <v>109300</v>
      </c>
      <c r="AG355" s="77">
        <v>249000</v>
      </c>
      <c r="AH355" s="77"/>
      <c r="AI355" s="77"/>
      <c r="AJ355" s="77"/>
      <c r="AK355" s="77"/>
      <c r="AL355" s="77"/>
      <c r="AM355" s="77"/>
      <c r="AN355" s="77"/>
      <c r="AO355" s="77"/>
      <c r="AP355" s="80">
        <v>385600</v>
      </c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83"/>
      <c r="BD355" s="77"/>
      <c r="BE355" s="77">
        <v>743.20143904982535</v>
      </c>
      <c r="BF355" s="77"/>
      <c r="BG355" s="77"/>
      <c r="BH355" s="77"/>
      <c r="BI355" s="77">
        <v>630.78816128387029</v>
      </c>
      <c r="BJ355" s="77"/>
      <c r="BK355" s="77"/>
      <c r="BL355" s="77"/>
      <c r="BM355" s="77"/>
      <c r="BN355" s="77"/>
      <c r="BO355" s="77"/>
      <c r="BP355" s="83">
        <v>686.99480016684788</v>
      </c>
      <c r="BQ355" s="77"/>
      <c r="BR355" s="77">
        <v>640.89588073380924</v>
      </c>
      <c r="BS355" s="77">
        <v>671.64891324945643</v>
      </c>
      <c r="BT355" s="77">
        <v>747.09540138055888</v>
      </c>
      <c r="BU355" s="77"/>
      <c r="BV355" s="77"/>
      <c r="BW355" s="77"/>
      <c r="BX355" s="77"/>
      <c r="BY355" s="77"/>
      <c r="BZ355" s="77"/>
      <c r="CA355" s="77"/>
      <c r="CB355" s="77"/>
      <c r="CC355" s="83">
        <v>718.19097174781564</v>
      </c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96"/>
      <c r="CQ355" s="77"/>
      <c r="CR355" s="77">
        <v>22764.936545454544</v>
      </c>
      <c r="CS355" s="77"/>
      <c r="CT355" s="77"/>
      <c r="CU355" s="77"/>
      <c r="CV355" s="77">
        <v>24800.947016348775</v>
      </c>
      <c r="CW355" s="77"/>
      <c r="CX355" s="77"/>
      <c r="CY355" s="77"/>
      <c r="CZ355" s="77"/>
      <c r="DA355" s="77"/>
      <c r="DB355" s="77"/>
      <c r="DC355" s="96">
        <v>23782.94178090166</v>
      </c>
      <c r="DD355" s="77"/>
      <c r="DE355" s="77">
        <v>28691.706502976191</v>
      </c>
      <c r="DF355" s="77">
        <v>28354.80973138686</v>
      </c>
      <c r="DG355" s="77">
        <v>28354.809729099845</v>
      </c>
      <c r="DH355" s="77"/>
      <c r="DI355" s="77"/>
      <c r="DJ355" s="77"/>
      <c r="DK355" s="77"/>
      <c r="DL355" s="77"/>
      <c r="DM355" s="77"/>
      <c r="DN355" s="77"/>
      <c r="DO355" s="77"/>
      <c r="DP355" s="96">
        <v>28378.661601964977</v>
      </c>
    </row>
    <row r="356" spans="1:120" s="22" customFormat="1" hidden="1" outlineLevel="1" x14ac:dyDescent="0.35">
      <c r="B356" s="25" t="s">
        <v>268</v>
      </c>
      <c r="C356" s="75" t="s">
        <v>271</v>
      </c>
      <c r="D356" s="77"/>
      <c r="E356" s="77"/>
      <c r="F356" s="77"/>
      <c r="G356" s="77">
        <v>5500</v>
      </c>
      <c r="H356" s="77">
        <v>71500</v>
      </c>
      <c r="I356" s="77">
        <v>14300</v>
      </c>
      <c r="J356" s="77">
        <v>0</v>
      </c>
      <c r="K356" s="77"/>
      <c r="L356" s="77"/>
      <c r="M356" s="77">
        <v>11000</v>
      </c>
      <c r="N356" s="77">
        <v>11000</v>
      </c>
      <c r="O356" s="77">
        <v>22000</v>
      </c>
      <c r="P356" s="80">
        <v>135300</v>
      </c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80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80"/>
      <c r="AQ356" s="77"/>
      <c r="AR356" s="77"/>
      <c r="AS356" s="77"/>
      <c r="AT356" s="77">
        <v>786.4481805280036</v>
      </c>
      <c r="AU356" s="77">
        <v>796.75410633235765</v>
      </c>
      <c r="AV356" s="77">
        <v>798.35464630288811</v>
      </c>
      <c r="AW356" s="77"/>
      <c r="AX356" s="77"/>
      <c r="AY356" s="77"/>
      <c r="AZ356" s="77">
        <v>760.18056130456193</v>
      </c>
      <c r="BA356" s="77">
        <v>747.79317268230659</v>
      </c>
      <c r="BB356" s="77">
        <v>746.73415753584231</v>
      </c>
      <c r="BC356" s="83">
        <v>781.41698135582396</v>
      </c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83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83"/>
      <c r="CD356" s="77"/>
      <c r="CE356" s="77"/>
      <c r="CF356" s="77"/>
      <c r="CG356" s="77">
        <v>22576.961609756101</v>
      </c>
      <c r="CH356" s="77">
        <v>17180.140981818182</v>
      </c>
      <c r="CI356" s="77">
        <v>20929.099295320066</v>
      </c>
      <c r="CJ356" s="77"/>
      <c r="CK356" s="77"/>
      <c r="CL356" s="77"/>
      <c r="CM356" s="77">
        <v>23696.874238095239</v>
      </c>
      <c r="CN356" s="77">
        <v>26274.013454545453</v>
      </c>
      <c r="CO356" s="77">
        <v>23216.977801652891</v>
      </c>
      <c r="CP356" s="96">
        <v>20046.509720858441</v>
      </c>
      <c r="CQ356" s="77"/>
      <c r="CR356" s="77"/>
      <c r="CS356" s="77"/>
      <c r="CT356" s="77"/>
      <c r="CU356" s="77"/>
      <c r="CV356" s="77"/>
      <c r="CW356" s="77"/>
      <c r="CX356" s="77"/>
      <c r="CY356" s="77"/>
      <c r="CZ356" s="77"/>
      <c r="DA356" s="77"/>
      <c r="DB356" s="77"/>
      <c r="DC356" s="96"/>
      <c r="DD356" s="77"/>
      <c r="DE356" s="77"/>
      <c r="DF356" s="77"/>
      <c r="DG356" s="77"/>
      <c r="DH356" s="77"/>
      <c r="DI356" s="77"/>
      <c r="DJ356" s="77"/>
      <c r="DK356" s="77"/>
      <c r="DL356" s="77"/>
      <c r="DM356" s="77"/>
      <c r="DN356" s="77"/>
      <c r="DO356" s="77"/>
      <c r="DP356" s="96"/>
    </row>
    <row r="357" spans="1:120" s="22" customFormat="1" hidden="1" outlineLevel="1" x14ac:dyDescent="0.35">
      <c r="B357" s="25" t="s">
        <v>268</v>
      </c>
      <c r="C357" s="75" t="s">
        <v>272</v>
      </c>
      <c r="D357" s="77"/>
      <c r="E357" s="77"/>
      <c r="F357" s="77"/>
      <c r="G357" s="77"/>
      <c r="H357" s="77">
        <v>11000</v>
      </c>
      <c r="I357" s="77">
        <v>171600</v>
      </c>
      <c r="J357" s="77">
        <v>165000</v>
      </c>
      <c r="K357" s="77"/>
      <c r="L357" s="77"/>
      <c r="M357" s="77"/>
      <c r="N357" s="77"/>
      <c r="O357" s="77"/>
      <c r="P357" s="80">
        <v>347600</v>
      </c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80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80"/>
      <c r="AQ357" s="77"/>
      <c r="AR357" s="77"/>
      <c r="AS357" s="77"/>
      <c r="AT357" s="77"/>
      <c r="AU357" s="77">
        <v>645.80878034669286</v>
      </c>
      <c r="AV357" s="77">
        <v>645.48218824539526</v>
      </c>
      <c r="AW357" s="77">
        <v>647.38244805320971</v>
      </c>
      <c r="AX357" s="77"/>
      <c r="AY357" s="77"/>
      <c r="AZ357" s="77"/>
      <c r="BA357" s="77"/>
      <c r="BB357" s="77"/>
      <c r="BC357" s="83">
        <v>646.39454549914569</v>
      </c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83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83"/>
      <c r="CD357" s="77"/>
      <c r="CE357" s="77"/>
      <c r="CF357" s="77"/>
      <c r="CG357" s="77"/>
      <c r="CH357" s="77">
        <v>17180.140981818182</v>
      </c>
      <c r="CI357" s="77">
        <v>20929.099295320069</v>
      </c>
      <c r="CJ357" s="77">
        <v>23715.010248484847</v>
      </c>
      <c r="CK357" s="77"/>
      <c r="CL357" s="77"/>
      <c r="CM357" s="77"/>
      <c r="CN357" s="77"/>
      <c r="CO357" s="77"/>
      <c r="CP357" s="96">
        <v>22132.887459369747</v>
      </c>
      <c r="CQ357" s="77"/>
      <c r="CR357" s="77"/>
      <c r="CS357" s="77"/>
      <c r="CT357" s="77"/>
      <c r="CU357" s="77"/>
      <c r="CV357" s="77"/>
      <c r="CW357" s="77"/>
      <c r="CX357" s="77"/>
      <c r="CY357" s="77"/>
      <c r="CZ357" s="77"/>
      <c r="DA357" s="77"/>
      <c r="DB357" s="77"/>
      <c r="DC357" s="96"/>
      <c r="DD357" s="77"/>
      <c r="DE357" s="77"/>
      <c r="DF357" s="77"/>
      <c r="DG357" s="77"/>
      <c r="DH357" s="77"/>
      <c r="DI357" s="77"/>
      <c r="DJ357" s="77"/>
      <c r="DK357" s="77"/>
      <c r="DL357" s="77"/>
      <c r="DM357" s="77"/>
      <c r="DN357" s="77"/>
      <c r="DO357" s="77"/>
      <c r="DP357" s="96"/>
    </row>
    <row r="358" spans="1:120" s="22" customFormat="1" hidden="1" outlineLevel="1" x14ac:dyDescent="0.35">
      <c r="B358" s="25" t="s">
        <v>268</v>
      </c>
      <c r="C358" s="75" t="s">
        <v>25</v>
      </c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80"/>
      <c r="Q358" s="77"/>
      <c r="R358" s="77"/>
      <c r="S358" s="77"/>
      <c r="T358" s="77"/>
      <c r="U358" s="77"/>
      <c r="V358" s="77"/>
      <c r="W358" s="77"/>
      <c r="X358" s="77"/>
      <c r="Y358" s="77"/>
      <c r="Z358" s="77">
        <v>25</v>
      </c>
      <c r="AA358" s="77"/>
      <c r="AB358" s="77"/>
      <c r="AC358" s="80">
        <v>25</v>
      </c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80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83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>
        <v>630.8039466276075</v>
      </c>
      <c r="BN358" s="77"/>
      <c r="BO358" s="77"/>
      <c r="BP358" s="83">
        <v>630.8039466276075</v>
      </c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83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96"/>
      <c r="CQ358" s="77"/>
      <c r="CR358" s="77"/>
      <c r="CS358" s="77"/>
      <c r="CT358" s="77"/>
      <c r="CU358" s="77"/>
      <c r="CV358" s="77"/>
      <c r="CW358" s="77"/>
      <c r="CX358" s="77"/>
      <c r="CY358" s="77"/>
      <c r="CZ358" s="77">
        <v>28552.292403339758</v>
      </c>
      <c r="DA358" s="77"/>
      <c r="DB358" s="77"/>
      <c r="DC358" s="96">
        <v>28552.292403339758</v>
      </c>
      <c r="DD358" s="77"/>
      <c r="DE358" s="77"/>
      <c r="DF358" s="77"/>
      <c r="DG358" s="77"/>
      <c r="DH358" s="77"/>
      <c r="DI358" s="77"/>
      <c r="DJ358" s="77"/>
      <c r="DK358" s="77"/>
      <c r="DL358" s="77"/>
      <c r="DM358" s="77"/>
      <c r="DN358" s="77"/>
      <c r="DO358" s="77"/>
      <c r="DP358" s="96"/>
    </row>
    <row r="359" spans="1:120" s="22" customFormat="1" hidden="1" outlineLevel="1" x14ac:dyDescent="0.35">
      <c r="B359" s="25" t="s">
        <v>268</v>
      </c>
      <c r="C359" s="75" t="s">
        <v>273</v>
      </c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80"/>
      <c r="Q359" s="77"/>
      <c r="R359" s="77"/>
      <c r="S359" s="77"/>
      <c r="T359" s="77"/>
      <c r="U359" s="77"/>
      <c r="V359" s="77"/>
      <c r="W359" s="77"/>
      <c r="X359" s="77">
        <v>10500</v>
      </c>
      <c r="Y359" s="77">
        <v>25200</v>
      </c>
      <c r="Z359" s="77"/>
      <c r="AA359" s="77">
        <v>6300</v>
      </c>
      <c r="AB359" s="77"/>
      <c r="AC359" s="80">
        <v>42000</v>
      </c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80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83"/>
      <c r="BD359" s="77"/>
      <c r="BE359" s="77"/>
      <c r="BF359" s="77"/>
      <c r="BG359" s="77"/>
      <c r="BH359" s="77"/>
      <c r="BI359" s="77"/>
      <c r="BJ359" s="77"/>
      <c r="BK359" s="77">
        <v>675.09126825661122</v>
      </c>
      <c r="BL359" s="77">
        <v>673.13515905273562</v>
      </c>
      <c r="BM359" s="77"/>
      <c r="BN359" s="77">
        <v>673.93010766105135</v>
      </c>
      <c r="BO359" s="77"/>
      <c r="BP359" s="83">
        <v>673.74342864495179</v>
      </c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83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96"/>
      <c r="CQ359" s="77"/>
      <c r="CR359" s="77"/>
      <c r="CS359" s="77"/>
      <c r="CT359" s="77"/>
      <c r="CU359" s="77"/>
      <c r="CV359" s="77"/>
      <c r="CW359" s="77"/>
      <c r="CX359" s="77">
        <v>28139.385218608997</v>
      </c>
      <c r="CY359" s="77">
        <v>26917.765003700963</v>
      </c>
      <c r="CZ359" s="77"/>
      <c r="DA359" s="77">
        <v>29006.963919413924</v>
      </c>
      <c r="DB359" s="77"/>
      <c r="DC359" s="96">
        <v>27536.549894784916</v>
      </c>
      <c r="DD359" s="77"/>
      <c r="DE359" s="77"/>
      <c r="DF359" s="77"/>
      <c r="DG359" s="77"/>
      <c r="DH359" s="77"/>
      <c r="DI359" s="77"/>
      <c r="DJ359" s="77"/>
      <c r="DK359" s="77"/>
      <c r="DL359" s="77"/>
      <c r="DM359" s="77"/>
      <c r="DN359" s="77"/>
      <c r="DO359" s="77"/>
      <c r="DP359" s="96"/>
    </row>
    <row r="360" spans="1:120" s="22" customFormat="1" hidden="1" outlineLevel="1" x14ac:dyDescent="0.35">
      <c r="B360" s="25" t="s">
        <v>268</v>
      </c>
      <c r="C360" s="75" t="s">
        <v>179</v>
      </c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80"/>
      <c r="Q360" s="77"/>
      <c r="R360" s="77"/>
      <c r="S360" s="77"/>
      <c r="T360" s="77"/>
      <c r="U360" s="77"/>
      <c r="V360" s="77">
        <v>46900</v>
      </c>
      <c r="W360" s="77">
        <v>249550</v>
      </c>
      <c r="X360" s="77">
        <v>51500</v>
      </c>
      <c r="Y360" s="77"/>
      <c r="Z360" s="77"/>
      <c r="AA360" s="77"/>
      <c r="AB360" s="77"/>
      <c r="AC360" s="80">
        <v>347950</v>
      </c>
      <c r="AD360" s="77"/>
      <c r="AE360" s="77"/>
      <c r="AF360" s="77">
        <v>21000</v>
      </c>
      <c r="AG360" s="77"/>
      <c r="AH360" s="77"/>
      <c r="AI360" s="77"/>
      <c r="AJ360" s="77"/>
      <c r="AK360" s="77"/>
      <c r="AL360" s="77"/>
      <c r="AM360" s="77"/>
      <c r="AN360" s="77"/>
      <c r="AO360" s="77"/>
      <c r="AP360" s="80">
        <v>21000</v>
      </c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83"/>
      <c r="BD360" s="77"/>
      <c r="BE360" s="77"/>
      <c r="BF360" s="77"/>
      <c r="BG360" s="77"/>
      <c r="BH360" s="77"/>
      <c r="BI360" s="77">
        <v>669.32556987010548</v>
      </c>
      <c r="BJ360" s="77">
        <v>663.39983064294006</v>
      </c>
      <c r="BK360" s="77">
        <v>644.48445774787251</v>
      </c>
      <c r="BL360" s="77"/>
      <c r="BM360" s="77"/>
      <c r="BN360" s="77"/>
      <c r="BO360" s="77"/>
      <c r="BP360" s="83">
        <v>661.39889793898271</v>
      </c>
      <c r="BQ360" s="77"/>
      <c r="BR360" s="77"/>
      <c r="BS360" s="77">
        <v>604.83690371401519</v>
      </c>
      <c r="BT360" s="77"/>
      <c r="BU360" s="77"/>
      <c r="BV360" s="77"/>
      <c r="BW360" s="77"/>
      <c r="BX360" s="77"/>
      <c r="BY360" s="77"/>
      <c r="BZ360" s="77"/>
      <c r="CA360" s="77"/>
      <c r="CB360" s="77"/>
      <c r="CC360" s="83">
        <v>604.83690371401519</v>
      </c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96"/>
      <c r="CQ360" s="77"/>
      <c r="CR360" s="77"/>
      <c r="CS360" s="77"/>
      <c r="CT360" s="77"/>
      <c r="CU360" s="77"/>
      <c r="CV360" s="77">
        <v>24800.947016348771</v>
      </c>
      <c r="CW360" s="77">
        <v>25145.211448607486</v>
      </c>
      <c r="CX360" s="77">
        <v>28139.385218608993</v>
      </c>
      <c r="CY360" s="77"/>
      <c r="CZ360" s="77"/>
      <c r="DA360" s="77"/>
      <c r="DB360" s="77"/>
      <c r="DC360" s="96">
        <v>25541.975199957233</v>
      </c>
      <c r="DD360" s="77"/>
      <c r="DE360" s="77"/>
      <c r="DF360" s="77">
        <v>28354.80973138686</v>
      </c>
      <c r="DG360" s="77"/>
      <c r="DH360" s="77"/>
      <c r="DI360" s="77"/>
      <c r="DJ360" s="77"/>
      <c r="DK360" s="77"/>
      <c r="DL360" s="77"/>
      <c r="DM360" s="77"/>
      <c r="DN360" s="77"/>
      <c r="DO360" s="77"/>
      <c r="DP360" s="96">
        <v>28354.80973138686</v>
      </c>
    </row>
    <row r="361" spans="1:120" s="22" customFormat="1" hidden="1" outlineLevel="1" x14ac:dyDescent="0.35">
      <c r="B361" s="25" t="s">
        <v>268</v>
      </c>
      <c r="C361" s="75" t="s">
        <v>274</v>
      </c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80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>
        <v>21000</v>
      </c>
      <c r="AC361" s="80">
        <v>21000</v>
      </c>
      <c r="AD361" s="77"/>
      <c r="AE361" s="77"/>
      <c r="AF361" s="77">
        <v>210100</v>
      </c>
      <c r="AG361" s="77"/>
      <c r="AH361" s="77"/>
      <c r="AI361" s="77"/>
      <c r="AJ361" s="77"/>
      <c r="AK361" s="77"/>
      <c r="AL361" s="77"/>
      <c r="AM361" s="77"/>
      <c r="AN361" s="77"/>
      <c r="AO361" s="77"/>
      <c r="AP361" s="80">
        <v>210100</v>
      </c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83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>
        <v>617.9534425751101</v>
      </c>
      <c r="BP361" s="83">
        <v>617.9534425751101</v>
      </c>
      <c r="BQ361" s="77"/>
      <c r="BR361" s="77"/>
      <c r="BS361" s="77">
        <v>604.83958656883624</v>
      </c>
      <c r="BT361" s="77"/>
      <c r="BU361" s="77"/>
      <c r="BV361" s="77"/>
      <c r="BW361" s="77"/>
      <c r="BX361" s="77"/>
      <c r="BY361" s="77"/>
      <c r="BZ361" s="77"/>
      <c r="CA361" s="77"/>
      <c r="CB361" s="77"/>
      <c r="CC361" s="83">
        <v>604.83958656883624</v>
      </c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96"/>
      <c r="CQ361" s="77"/>
      <c r="CR361" s="77"/>
      <c r="CS361" s="77"/>
      <c r="CT361" s="77"/>
      <c r="CU361" s="77"/>
      <c r="CV361" s="77"/>
      <c r="CW361" s="77"/>
      <c r="CX361" s="77"/>
      <c r="CY361" s="77"/>
      <c r="CZ361" s="77"/>
      <c r="DA361" s="77"/>
      <c r="DB361" s="77">
        <v>29049.589523809525</v>
      </c>
      <c r="DC361" s="96">
        <v>29049.589523809525</v>
      </c>
      <c r="DD361" s="77"/>
      <c r="DE361" s="77"/>
      <c r="DF361" s="77">
        <v>28354.809731386867</v>
      </c>
      <c r="DG361" s="77"/>
      <c r="DH361" s="77"/>
      <c r="DI361" s="77"/>
      <c r="DJ361" s="77"/>
      <c r="DK361" s="77"/>
      <c r="DL361" s="77"/>
      <c r="DM361" s="77"/>
      <c r="DN361" s="77"/>
      <c r="DO361" s="77"/>
      <c r="DP361" s="96">
        <v>28354.809731386867</v>
      </c>
    </row>
    <row r="362" spans="1:120" s="22" customFormat="1" collapsed="1" x14ac:dyDescent="0.35">
      <c r="A362" s="22" t="s">
        <v>374</v>
      </c>
      <c r="B362" s="106" t="s">
        <v>275</v>
      </c>
      <c r="C362" s="76"/>
      <c r="D362" s="78"/>
      <c r="E362" s="78"/>
      <c r="F362" s="78"/>
      <c r="G362" s="78">
        <v>225500</v>
      </c>
      <c r="H362" s="78">
        <v>82500</v>
      </c>
      <c r="I362" s="78">
        <v>185900</v>
      </c>
      <c r="J362" s="78">
        <v>165000</v>
      </c>
      <c r="K362" s="78"/>
      <c r="L362" s="78">
        <v>220000</v>
      </c>
      <c r="M362" s="78">
        <v>231000</v>
      </c>
      <c r="N362" s="78">
        <v>11000</v>
      </c>
      <c r="O362" s="78">
        <v>242000</v>
      </c>
      <c r="P362" s="81">
        <v>1362900</v>
      </c>
      <c r="Q362" s="78"/>
      <c r="R362" s="78">
        <v>5500</v>
      </c>
      <c r="S362" s="78"/>
      <c r="T362" s="78"/>
      <c r="U362" s="78"/>
      <c r="V362" s="78">
        <v>73400</v>
      </c>
      <c r="W362" s="78">
        <v>249550</v>
      </c>
      <c r="X362" s="78">
        <v>321350</v>
      </c>
      <c r="Y362" s="78">
        <v>202650</v>
      </c>
      <c r="Z362" s="78">
        <v>194625</v>
      </c>
      <c r="AA362" s="78">
        <v>27300</v>
      </c>
      <c r="AB362" s="78">
        <v>22050</v>
      </c>
      <c r="AC362" s="81">
        <v>1096425</v>
      </c>
      <c r="AD362" s="78">
        <v>23100</v>
      </c>
      <c r="AE362" s="78">
        <v>67200</v>
      </c>
      <c r="AF362" s="78">
        <v>342500</v>
      </c>
      <c r="AG362" s="78">
        <v>249000</v>
      </c>
      <c r="AH362" s="78"/>
      <c r="AI362" s="78"/>
      <c r="AJ362" s="78"/>
      <c r="AK362" s="78"/>
      <c r="AL362" s="78"/>
      <c r="AM362" s="78"/>
      <c r="AN362" s="78"/>
      <c r="AO362" s="78"/>
      <c r="AP362" s="81">
        <v>681800</v>
      </c>
      <c r="AQ362" s="78"/>
      <c r="AR362" s="78"/>
      <c r="AS362" s="78"/>
      <c r="AT362" s="78">
        <v>660.7567587065696</v>
      </c>
      <c r="AU362" s="78">
        <v>776.62806286760235</v>
      </c>
      <c r="AV362" s="78">
        <v>657.24160809597163</v>
      </c>
      <c r="AW362" s="78">
        <v>647.38244805320971</v>
      </c>
      <c r="AX362" s="78"/>
      <c r="AY362" s="78">
        <v>705.72818777537668</v>
      </c>
      <c r="AZ362" s="78">
        <v>717.2389320183961</v>
      </c>
      <c r="BA362" s="78">
        <v>747.79317268230659</v>
      </c>
      <c r="BB362" s="78">
        <v>741.23497694467574</v>
      </c>
      <c r="BC362" s="84">
        <v>697.49707761074035</v>
      </c>
      <c r="BD362" s="78"/>
      <c r="BE362" s="78">
        <v>743.20143904982535</v>
      </c>
      <c r="BF362" s="78"/>
      <c r="BG362" s="78"/>
      <c r="BH362" s="78"/>
      <c r="BI362" s="78">
        <v>666.70413382406696</v>
      </c>
      <c r="BJ362" s="78">
        <v>663.39983064294006</v>
      </c>
      <c r="BK362" s="78">
        <v>670.16644007319508</v>
      </c>
      <c r="BL362" s="78">
        <v>673.1041630288147</v>
      </c>
      <c r="BM362" s="78">
        <v>661.04474528840672</v>
      </c>
      <c r="BN362" s="78">
        <v>630.11155863498288</v>
      </c>
      <c r="BO362" s="78">
        <v>642.27257579583829</v>
      </c>
      <c r="BP362" s="84">
        <v>666.12641323255684</v>
      </c>
      <c r="BQ362" s="78">
        <v>674.43843602512118</v>
      </c>
      <c r="BR362" s="78">
        <v>663.74774535422921</v>
      </c>
      <c r="BS362" s="78">
        <v>629.46960018157199</v>
      </c>
      <c r="BT362" s="78">
        <v>747.09540138055888</v>
      </c>
      <c r="BU362" s="78"/>
      <c r="BV362" s="78"/>
      <c r="BW362" s="78"/>
      <c r="BX362" s="78"/>
      <c r="BY362" s="78"/>
      <c r="BZ362" s="78"/>
      <c r="CA362" s="78"/>
      <c r="CB362" s="78"/>
      <c r="CC362" s="84">
        <v>677.32981719849192</v>
      </c>
      <c r="CD362" s="78"/>
      <c r="CE362" s="78"/>
      <c r="CF362" s="78"/>
      <c r="CG362" s="78">
        <v>22576.961609756105</v>
      </c>
      <c r="CH362" s="78">
        <v>17180.140981818182</v>
      </c>
      <c r="CI362" s="78">
        <v>20929.099295320069</v>
      </c>
      <c r="CJ362" s="78">
        <v>23715.010248484847</v>
      </c>
      <c r="CK362" s="78"/>
      <c r="CL362" s="78">
        <v>23484.809703636362</v>
      </c>
      <c r="CM362" s="78">
        <v>23696.874238095235</v>
      </c>
      <c r="CN362" s="78">
        <v>26274.013454545453</v>
      </c>
      <c r="CO362" s="78">
        <v>23216.977801652891</v>
      </c>
      <c r="CP362" s="97">
        <v>22643.129784870489</v>
      </c>
      <c r="CQ362" s="78"/>
      <c r="CR362" s="78">
        <v>22764.936545454544</v>
      </c>
      <c r="CS362" s="78"/>
      <c r="CT362" s="78"/>
      <c r="CU362" s="78"/>
      <c r="CV362" s="78">
        <v>24800.947016348775</v>
      </c>
      <c r="CW362" s="78">
        <v>25145.211448607486</v>
      </c>
      <c r="CX362" s="78">
        <v>28139.385218608986</v>
      </c>
      <c r="CY362" s="78">
        <v>26917.765003700948</v>
      </c>
      <c r="CZ362" s="78">
        <v>28552.292403339765</v>
      </c>
      <c r="DA362" s="78">
        <v>29006.96391941392</v>
      </c>
      <c r="DB362" s="78">
        <v>29049.589523809525</v>
      </c>
      <c r="DC362" s="97">
        <v>27094.862092710391</v>
      </c>
      <c r="DD362" s="78">
        <v>28728.438138528138</v>
      </c>
      <c r="DE362" s="78">
        <v>28691.706502976191</v>
      </c>
      <c r="DF362" s="78">
        <v>28354.809731386867</v>
      </c>
      <c r="DG362" s="78">
        <v>28354.809729099845</v>
      </c>
      <c r="DH362" s="78"/>
      <c r="DI362" s="78"/>
      <c r="DJ362" s="78"/>
      <c r="DK362" s="78"/>
      <c r="DL362" s="78"/>
      <c r="DM362" s="78"/>
      <c r="DN362" s="78"/>
      <c r="DO362" s="78"/>
      <c r="DP362" s="97">
        <v>28400.67402984139</v>
      </c>
    </row>
    <row r="363" spans="1:120" s="22" customFormat="1" hidden="1" outlineLevel="1" x14ac:dyDescent="0.35">
      <c r="B363" s="25" t="s">
        <v>276</v>
      </c>
      <c r="C363" s="75" t="s">
        <v>277</v>
      </c>
      <c r="D363" s="77"/>
      <c r="E363" s="77"/>
      <c r="F363" s="77"/>
      <c r="G363" s="77"/>
      <c r="H363" s="77">
        <v>4885</v>
      </c>
      <c r="I363" s="77"/>
      <c r="J363" s="77"/>
      <c r="K363" s="77"/>
      <c r="L363" s="77"/>
      <c r="M363" s="77"/>
      <c r="N363" s="77"/>
      <c r="O363" s="77"/>
      <c r="P363" s="80">
        <v>4885</v>
      </c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80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80"/>
      <c r="AQ363" s="77"/>
      <c r="AR363" s="77"/>
      <c r="AS363" s="77"/>
      <c r="AT363" s="77"/>
      <c r="AU363" s="77">
        <v>1399.1068162843644</v>
      </c>
      <c r="AV363" s="77"/>
      <c r="AW363" s="77"/>
      <c r="AX363" s="77"/>
      <c r="AY363" s="77"/>
      <c r="AZ363" s="77"/>
      <c r="BA363" s="77"/>
      <c r="BB363" s="77"/>
      <c r="BC363" s="83">
        <v>1399.1068162843644</v>
      </c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83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83"/>
      <c r="CD363" s="77"/>
      <c r="CE363" s="77"/>
      <c r="CF363" s="77"/>
      <c r="CG363" s="77"/>
      <c r="CH363" s="77">
        <v>25704.236438075743</v>
      </c>
      <c r="CI363" s="77"/>
      <c r="CJ363" s="77"/>
      <c r="CK363" s="77"/>
      <c r="CL363" s="77"/>
      <c r="CM363" s="77"/>
      <c r="CN363" s="77"/>
      <c r="CO363" s="77"/>
      <c r="CP363" s="96">
        <v>25704.236438075743</v>
      </c>
      <c r="CQ363" s="77"/>
      <c r="CR363" s="77"/>
      <c r="CS363" s="77"/>
      <c r="CT363" s="77"/>
      <c r="CU363" s="77"/>
      <c r="CV363" s="77"/>
      <c r="CW363" s="77"/>
      <c r="CX363" s="77"/>
      <c r="CY363" s="77"/>
      <c r="CZ363" s="77"/>
      <c r="DA363" s="77"/>
      <c r="DB363" s="77"/>
      <c r="DC363" s="96"/>
      <c r="DD363" s="77"/>
      <c r="DE363" s="77"/>
      <c r="DF363" s="77"/>
      <c r="DG363" s="77"/>
      <c r="DH363" s="77"/>
      <c r="DI363" s="77"/>
      <c r="DJ363" s="77"/>
      <c r="DK363" s="77"/>
      <c r="DL363" s="77"/>
      <c r="DM363" s="77"/>
      <c r="DN363" s="77"/>
      <c r="DO363" s="77"/>
      <c r="DP363" s="96"/>
    </row>
    <row r="364" spans="1:120" hidden="1" collapsed="1" x14ac:dyDescent="0.35">
      <c r="B364" s="106" t="s">
        <v>278</v>
      </c>
      <c r="C364" s="76"/>
      <c r="D364" s="78"/>
      <c r="E364" s="78"/>
      <c r="F364" s="78"/>
      <c r="G364" s="78"/>
      <c r="H364" s="78">
        <v>4885</v>
      </c>
      <c r="I364" s="78"/>
      <c r="J364" s="78"/>
      <c r="K364" s="78"/>
      <c r="L364" s="78"/>
      <c r="M364" s="78"/>
      <c r="N364" s="78"/>
      <c r="O364" s="78"/>
      <c r="P364" s="81">
        <v>4885</v>
      </c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81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81"/>
      <c r="AQ364" s="78"/>
      <c r="AR364" s="78"/>
      <c r="AS364" s="78"/>
      <c r="AT364" s="78"/>
      <c r="AU364" s="78">
        <v>1399.1068162843644</v>
      </c>
      <c r="AV364" s="78"/>
      <c r="AW364" s="78"/>
      <c r="AX364" s="78"/>
      <c r="AY364" s="78"/>
      <c r="AZ364" s="78"/>
      <c r="BA364" s="78"/>
      <c r="BB364" s="78"/>
      <c r="BC364" s="84">
        <v>1399.1068162843644</v>
      </c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84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84"/>
      <c r="CD364" s="78"/>
      <c r="CE364" s="78"/>
      <c r="CF364" s="78"/>
      <c r="CG364" s="78"/>
      <c r="CH364" s="78">
        <v>25704.236438075743</v>
      </c>
      <c r="CI364" s="78"/>
      <c r="CJ364" s="78"/>
      <c r="CK364" s="78"/>
      <c r="CL364" s="78"/>
      <c r="CM364" s="78"/>
      <c r="CN364" s="78"/>
      <c r="CO364" s="78"/>
      <c r="CP364" s="97">
        <v>25704.236438075743</v>
      </c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97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97"/>
    </row>
    <row r="365" spans="1:120" s="22" customFormat="1" hidden="1" outlineLevel="1" x14ac:dyDescent="0.35">
      <c r="B365" s="25" t="s">
        <v>279</v>
      </c>
      <c r="C365" s="75" t="s">
        <v>5</v>
      </c>
      <c r="D365" s="77"/>
      <c r="E365" s="77"/>
      <c r="F365" s="77"/>
      <c r="G365" s="77"/>
      <c r="H365" s="77"/>
      <c r="I365" s="77"/>
      <c r="J365" s="77">
        <v>300</v>
      </c>
      <c r="K365" s="77"/>
      <c r="L365" s="77"/>
      <c r="M365" s="77"/>
      <c r="N365" s="77"/>
      <c r="O365" s="77"/>
      <c r="P365" s="80">
        <v>300</v>
      </c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80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80"/>
      <c r="AQ365" s="77"/>
      <c r="AR365" s="77"/>
      <c r="AS365" s="77"/>
      <c r="AT365" s="77"/>
      <c r="AU365" s="77"/>
      <c r="AV365" s="77"/>
      <c r="AW365" s="77">
        <v>968.41785757559421</v>
      </c>
      <c r="AX365" s="77"/>
      <c r="AY365" s="77"/>
      <c r="AZ365" s="77"/>
      <c r="BA365" s="77"/>
      <c r="BB365" s="77"/>
      <c r="BC365" s="83">
        <v>968.41785757559421</v>
      </c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83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83"/>
      <c r="CD365" s="77"/>
      <c r="CE365" s="77"/>
      <c r="CF365" s="77"/>
      <c r="CG365" s="77"/>
      <c r="CH365" s="77"/>
      <c r="CI365" s="77"/>
      <c r="CJ365" s="77">
        <v>6277.5133333333333</v>
      </c>
      <c r="CK365" s="77"/>
      <c r="CL365" s="77"/>
      <c r="CM365" s="77"/>
      <c r="CN365" s="77"/>
      <c r="CO365" s="77"/>
      <c r="CP365" s="96">
        <v>6277.5133333333333</v>
      </c>
      <c r="CQ365" s="77"/>
      <c r="CR365" s="77"/>
      <c r="CS365" s="77"/>
      <c r="CT365" s="77"/>
      <c r="CU365" s="77"/>
      <c r="CV365" s="77"/>
      <c r="CW365" s="77"/>
      <c r="CX365" s="77"/>
      <c r="CY365" s="77"/>
      <c r="CZ365" s="77"/>
      <c r="DA365" s="77"/>
      <c r="DB365" s="77"/>
      <c r="DC365" s="96"/>
      <c r="DD365" s="77"/>
      <c r="DE365" s="77"/>
      <c r="DF365" s="77"/>
      <c r="DG365" s="77"/>
      <c r="DH365" s="77"/>
      <c r="DI365" s="77"/>
      <c r="DJ365" s="77"/>
      <c r="DK365" s="77"/>
      <c r="DL365" s="77"/>
      <c r="DM365" s="77"/>
      <c r="DN365" s="77"/>
      <c r="DO365" s="77"/>
      <c r="DP365" s="96"/>
    </row>
    <row r="366" spans="1:120" s="22" customFormat="1" hidden="1" outlineLevel="1" x14ac:dyDescent="0.35">
      <c r="B366" s="25" t="s">
        <v>279</v>
      </c>
      <c r="C366" s="75" t="s">
        <v>45</v>
      </c>
      <c r="D366" s="77"/>
      <c r="E366" s="77"/>
      <c r="F366" s="77"/>
      <c r="G366" s="77"/>
      <c r="H366" s="77"/>
      <c r="I366" s="77"/>
      <c r="J366" s="77"/>
      <c r="K366" s="77"/>
      <c r="L366" s="77">
        <v>25</v>
      </c>
      <c r="M366" s="77"/>
      <c r="N366" s="77"/>
      <c r="O366" s="77"/>
      <c r="P366" s="80">
        <v>25</v>
      </c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80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80"/>
      <c r="AQ366" s="77"/>
      <c r="AR366" s="77"/>
      <c r="AS366" s="77"/>
      <c r="AT366" s="77"/>
      <c r="AU366" s="77"/>
      <c r="AV366" s="77"/>
      <c r="AW366" s="77"/>
      <c r="AX366" s="77"/>
      <c r="AY366" s="77">
        <v>1009.9739442664724</v>
      </c>
      <c r="AZ366" s="77"/>
      <c r="BA366" s="77"/>
      <c r="BB366" s="77"/>
      <c r="BC366" s="83">
        <v>1009.9739442664724</v>
      </c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83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83"/>
      <c r="CD366" s="77"/>
      <c r="CE366" s="77"/>
      <c r="CF366" s="77"/>
      <c r="CG366" s="77"/>
      <c r="CH366" s="77"/>
      <c r="CI366" s="77"/>
      <c r="CJ366" s="77"/>
      <c r="CK366" s="77"/>
      <c r="CL366" s="77">
        <v>14978.039999999852</v>
      </c>
      <c r="CM366" s="77"/>
      <c r="CN366" s="77"/>
      <c r="CO366" s="77"/>
      <c r="CP366" s="96">
        <v>14978.039999999852</v>
      </c>
      <c r="CQ366" s="77"/>
      <c r="CR366" s="77"/>
      <c r="CS366" s="77"/>
      <c r="CT366" s="77"/>
      <c r="CU366" s="77"/>
      <c r="CV366" s="77"/>
      <c r="CW366" s="77"/>
      <c r="CX366" s="77"/>
      <c r="CY366" s="77"/>
      <c r="CZ366" s="77"/>
      <c r="DA366" s="77"/>
      <c r="DB366" s="77"/>
      <c r="DC366" s="96"/>
      <c r="DD366" s="77"/>
      <c r="DE366" s="77"/>
      <c r="DF366" s="77"/>
      <c r="DG366" s="77"/>
      <c r="DH366" s="77"/>
      <c r="DI366" s="77"/>
      <c r="DJ366" s="77"/>
      <c r="DK366" s="77"/>
      <c r="DL366" s="77"/>
      <c r="DM366" s="77"/>
      <c r="DN366" s="77"/>
      <c r="DO366" s="77"/>
      <c r="DP366" s="96"/>
    </row>
    <row r="367" spans="1:120" s="22" customFormat="1" hidden="1" collapsed="1" x14ac:dyDescent="0.35">
      <c r="B367" s="106" t="s">
        <v>280</v>
      </c>
      <c r="C367" s="76"/>
      <c r="D367" s="78"/>
      <c r="E367" s="78"/>
      <c r="F367" s="78"/>
      <c r="G367" s="78"/>
      <c r="H367" s="78"/>
      <c r="I367" s="78"/>
      <c r="J367" s="78">
        <v>300</v>
      </c>
      <c r="K367" s="78"/>
      <c r="L367" s="78">
        <v>25</v>
      </c>
      <c r="M367" s="78"/>
      <c r="N367" s="78"/>
      <c r="O367" s="78"/>
      <c r="P367" s="81">
        <v>325</v>
      </c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81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81"/>
      <c r="AQ367" s="78"/>
      <c r="AR367" s="78"/>
      <c r="AS367" s="78"/>
      <c r="AT367" s="78"/>
      <c r="AU367" s="78"/>
      <c r="AV367" s="78"/>
      <c r="AW367" s="78">
        <v>968.41785757559421</v>
      </c>
      <c r="AX367" s="78"/>
      <c r="AY367" s="78">
        <v>1009.9739442664724</v>
      </c>
      <c r="AZ367" s="78"/>
      <c r="BA367" s="78"/>
      <c r="BB367" s="78"/>
      <c r="BC367" s="84">
        <v>971.61447962873854</v>
      </c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84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84"/>
      <c r="CD367" s="78"/>
      <c r="CE367" s="78"/>
      <c r="CF367" s="78"/>
      <c r="CG367" s="78"/>
      <c r="CH367" s="78"/>
      <c r="CI367" s="78"/>
      <c r="CJ367" s="78">
        <v>6277.5133333333333</v>
      </c>
      <c r="CK367" s="78"/>
      <c r="CL367" s="78">
        <v>14978.039999999852</v>
      </c>
      <c r="CM367" s="78"/>
      <c r="CN367" s="78"/>
      <c r="CO367" s="78"/>
      <c r="CP367" s="97">
        <v>6946.784615384604</v>
      </c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97"/>
      <c r="DD367" s="78"/>
      <c r="DE367" s="78"/>
      <c r="DF367" s="78"/>
      <c r="DG367" s="78"/>
      <c r="DH367" s="78"/>
      <c r="DI367" s="78"/>
      <c r="DJ367" s="78"/>
      <c r="DK367" s="78"/>
      <c r="DL367" s="78"/>
      <c r="DM367" s="78"/>
      <c r="DN367" s="78"/>
      <c r="DO367" s="78"/>
      <c r="DP367" s="97"/>
    </row>
    <row r="368" spans="1:120" s="22" customFormat="1" hidden="1" outlineLevel="1" x14ac:dyDescent="0.35">
      <c r="B368" s="25" t="s">
        <v>281</v>
      </c>
      <c r="C368" s="75" t="s">
        <v>282</v>
      </c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80"/>
      <c r="Q368" s="77"/>
      <c r="R368" s="77"/>
      <c r="S368" s="77"/>
      <c r="T368" s="77">
        <v>500</v>
      </c>
      <c r="U368" s="77"/>
      <c r="V368" s="77"/>
      <c r="W368" s="77"/>
      <c r="X368" s="77"/>
      <c r="Y368" s="77"/>
      <c r="Z368" s="77"/>
      <c r="AA368" s="77"/>
      <c r="AB368" s="77"/>
      <c r="AC368" s="80">
        <v>500</v>
      </c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80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83"/>
      <c r="BD368" s="77"/>
      <c r="BE368" s="77"/>
      <c r="BF368" s="77"/>
      <c r="BG368" s="77">
        <v>1348.0754344291408</v>
      </c>
      <c r="BH368" s="77"/>
      <c r="BI368" s="77"/>
      <c r="BJ368" s="77"/>
      <c r="BK368" s="77"/>
      <c r="BL368" s="77"/>
      <c r="BM368" s="77"/>
      <c r="BN368" s="77"/>
      <c r="BO368" s="77"/>
      <c r="BP368" s="83">
        <v>1348.0754344291408</v>
      </c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83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96"/>
      <c r="CQ368" s="77"/>
      <c r="CR368" s="77"/>
      <c r="CS368" s="77"/>
      <c r="CT368" s="77">
        <v>28253.824000000001</v>
      </c>
      <c r="CU368" s="77"/>
      <c r="CV368" s="77"/>
      <c r="CW368" s="77"/>
      <c r="CX368" s="77"/>
      <c r="CY368" s="77"/>
      <c r="CZ368" s="77"/>
      <c r="DA368" s="77"/>
      <c r="DB368" s="77"/>
      <c r="DC368" s="96">
        <v>28253.824000000001</v>
      </c>
      <c r="DD368" s="77"/>
      <c r="DE368" s="77"/>
      <c r="DF368" s="77"/>
      <c r="DG368" s="77"/>
      <c r="DH368" s="77"/>
      <c r="DI368" s="77"/>
      <c r="DJ368" s="77"/>
      <c r="DK368" s="77"/>
      <c r="DL368" s="77"/>
      <c r="DM368" s="77"/>
      <c r="DN368" s="77"/>
      <c r="DO368" s="77"/>
      <c r="DP368" s="96"/>
    </row>
    <row r="369" spans="1:120" s="22" customFormat="1" hidden="1" outlineLevel="1" x14ac:dyDescent="0.35">
      <c r="B369" s="25" t="s">
        <v>281</v>
      </c>
      <c r="C369" s="75" t="s">
        <v>107</v>
      </c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80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80"/>
      <c r="AD369" s="77"/>
      <c r="AE369" s="77">
        <v>150</v>
      </c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80">
        <v>150</v>
      </c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83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83"/>
      <c r="BQ369" s="77"/>
      <c r="BR369" s="77">
        <v>1528.6902782188522</v>
      </c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83">
        <v>1528.6902782188522</v>
      </c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96"/>
      <c r="CQ369" s="77"/>
      <c r="CR369" s="77"/>
      <c r="CS369" s="77"/>
      <c r="CT369" s="77"/>
      <c r="CU369" s="77"/>
      <c r="CV369" s="77"/>
      <c r="CW369" s="77"/>
      <c r="CX369" s="77"/>
      <c r="CY369" s="77"/>
      <c r="CZ369" s="77"/>
      <c r="DA369" s="77"/>
      <c r="DB369" s="77"/>
      <c r="DC369" s="96"/>
      <c r="DD369" s="77"/>
      <c r="DE369" s="77">
        <v>30096.2</v>
      </c>
      <c r="DF369" s="77"/>
      <c r="DG369" s="77"/>
      <c r="DH369" s="77"/>
      <c r="DI369" s="77"/>
      <c r="DJ369" s="77"/>
      <c r="DK369" s="77"/>
      <c r="DL369" s="77"/>
      <c r="DM369" s="77"/>
      <c r="DN369" s="77"/>
      <c r="DO369" s="77"/>
      <c r="DP369" s="96">
        <v>30096.2</v>
      </c>
    </row>
    <row r="370" spans="1:120" s="22" customFormat="1" hidden="1" outlineLevel="1" x14ac:dyDescent="0.35">
      <c r="B370" s="25" t="s">
        <v>281</v>
      </c>
      <c r="C370" s="75" t="s">
        <v>22</v>
      </c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80"/>
      <c r="Q370" s="77"/>
      <c r="R370" s="77"/>
      <c r="S370" s="77">
        <v>99000</v>
      </c>
      <c r="T370" s="77"/>
      <c r="U370" s="77"/>
      <c r="V370" s="77"/>
      <c r="W370" s="77"/>
      <c r="X370" s="77">
        <v>99000</v>
      </c>
      <c r="Y370" s="77"/>
      <c r="Z370" s="77"/>
      <c r="AA370" s="77"/>
      <c r="AB370" s="77"/>
      <c r="AC370" s="80">
        <v>198000</v>
      </c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80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83"/>
      <c r="BD370" s="77"/>
      <c r="BE370" s="77"/>
      <c r="BF370" s="77">
        <v>1384.1162844985286</v>
      </c>
      <c r="BG370" s="77"/>
      <c r="BH370" s="77"/>
      <c r="BI370" s="77"/>
      <c r="BJ370" s="77"/>
      <c r="BK370" s="77">
        <v>1337.6129314535733</v>
      </c>
      <c r="BL370" s="77"/>
      <c r="BM370" s="77"/>
      <c r="BN370" s="77"/>
      <c r="BO370" s="77"/>
      <c r="BP370" s="83">
        <v>1360.864607976051</v>
      </c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83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96"/>
      <c r="CQ370" s="77"/>
      <c r="CR370" s="77"/>
      <c r="CS370" s="77">
        <v>28399.782353535353</v>
      </c>
      <c r="CT370" s="77"/>
      <c r="CU370" s="77"/>
      <c r="CV370" s="77"/>
      <c r="CW370" s="77"/>
      <c r="CX370" s="77">
        <v>28403.301868686867</v>
      </c>
      <c r="CY370" s="77"/>
      <c r="CZ370" s="77"/>
      <c r="DA370" s="77"/>
      <c r="DB370" s="77"/>
      <c r="DC370" s="96">
        <v>28401.54211111111</v>
      </c>
      <c r="DD370" s="77"/>
      <c r="DE370" s="77"/>
      <c r="DF370" s="77"/>
      <c r="DG370" s="77"/>
      <c r="DH370" s="77"/>
      <c r="DI370" s="77"/>
      <c r="DJ370" s="77"/>
      <c r="DK370" s="77"/>
      <c r="DL370" s="77"/>
      <c r="DM370" s="77"/>
      <c r="DN370" s="77"/>
      <c r="DO370" s="77"/>
      <c r="DP370" s="96"/>
    </row>
    <row r="371" spans="1:120" s="22" customFormat="1" hidden="1" outlineLevel="1" x14ac:dyDescent="0.35">
      <c r="B371" s="25" t="s">
        <v>281</v>
      </c>
      <c r="C371" s="75" t="s">
        <v>283</v>
      </c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>
        <v>25</v>
      </c>
      <c r="P371" s="80">
        <v>25</v>
      </c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80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80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>
        <v>1417.4647376195121</v>
      </c>
      <c r="BC371" s="83">
        <v>1417.4647376195121</v>
      </c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83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83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>
        <v>27168.84</v>
      </c>
      <c r="CP371" s="96">
        <v>27168.84</v>
      </c>
      <c r="CQ371" s="77"/>
      <c r="CR371" s="77"/>
      <c r="CS371" s="77"/>
      <c r="CT371" s="77"/>
      <c r="CU371" s="77"/>
      <c r="CV371" s="77"/>
      <c r="CW371" s="77"/>
      <c r="CX371" s="77"/>
      <c r="CY371" s="77"/>
      <c r="CZ371" s="77"/>
      <c r="DA371" s="77"/>
      <c r="DB371" s="77"/>
      <c r="DC371" s="96"/>
      <c r="DD371" s="77"/>
      <c r="DE371" s="77"/>
      <c r="DF371" s="77"/>
      <c r="DG371" s="77"/>
      <c r="DH371" s="77"/>
      <c r="DI371" s="77"/>
      <c r="DJ371" s="77"/>
      <c r="DK371" s="77"/>
      <c r="DL371" s="77"/>
      <c r="DM371" s="77"/>
      <c r="DN371" s="77"/>
      <c r="DO371" s="77"/>
      <c r="DP371" s="96"/>
    </row>
    <row r="372" spans="1:120" s="22" customFormat="1" hidden="1" outlineLevel="1" x14ac:dyDescent="0.35">
      <c r="B372" s="25" t="s">
        <v>281</v>
      </c>
      <c r="C372" s="75" t="s">
        <v>123</v>
      </c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80"/>
      <c r="Q372" s="77"/>
      <c r="R372" s="77"/>
      <c r="S372" s="77"/>
      <c r="T372" s="77"/>
      <c r="U372" s="77"/>
      <c r="V372" s="77">
        <v>4125</v>
      </c>
      <c r="W372" s="77"/>
      <c r="X372" s="77"/>
      <c r="Y372" s="77"/>
      <c r="Z372" s="77"/>
      <c r="AA372" s="77"/>
      <c r="AB372" s="77"/>
      <c r="AC372" s="80">
        <v>4125</v>
      </c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80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83"/>
      <c r="BD372" s="77"/>
      <c r="BE372" s="77"/>
      <c r="BF372" s="77"/>
      <c r="BG372" s="77"/>
      <c r="BH372" s="77"/>
      <c r="BI372" s="77">
        <v>1401.5155969755583</v>
      </c>
      <c r="BJ372" s="77"/>
      <c r="BK372" s="77"/>
      <c r="BL372" s="77"/>
      <c r="BM372" s="77"/>
      <c r="BN372" s="77"/>
      <c r="BO372" s="77"/>
      <c r="BP372" s="83">
        <v>1401.5155969755583</v>
      </c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83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96"/>
      <c r="CQ372" s="77"/>
      <c r="CR372" s="77"/>
      <c r="CS372" s="77"/>
      <c r="CT372" s="77"/>
      <c r="CU372" s="77"/>
      <c r="CV372" s="77">
        <v>28492.567999999999</v>
      </c>
      <c r="CW372" s="77"/>
      <c r="CX372" s="77"/>
      <c r="CY372" s="77"/>
      <c r="CZ372" s="77"/>
      <c r="DA372" s="77"/>
      <c r="DB372" s="77"/>
      <c r="DC372" s="96">
        <v>28492.567999999999</v>
      </c>
      <c r="DD372" s="77"/>
      <c r="DE372" s="77"/>
      <c r="DF372" s="77"/>
      <c r="DG372" s="77"/>
      <c r="DH372" s="77"/>
      <c r="DI372" s="77"/>
      <c r="DJ372" s="77"/>
      <c r="DK372" s="77"/>
      <c r="DL372" s="77"/>
      <c r="DM372" s="77"/>
      <c r="DN372" s="77"/>
      <c r="DO372" s="77"/>
      <c r="DP372" s="96"/>
    </row>
    <row r="373" spans="1:120" s="22" customFormat="1" hidden="1" collapsed="1" x14ac:dyDescent="0.35">
      <c r="B373" s="106" t="s">
        <v>284</v>
      </c>
      <c r="C373" s="76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>
        <v>25</v>
      </c>
      <c r="P373" s="81">
        <v>25</v>
      </c>
      <c r="Q373" s="78"/>
      <c r="R373" s="78"/>
      <c r="S373" s="78">
        <v>99000</v>
      </c>
      <c r="T373" s="78">
        <v>500</v>
      </c>
      <c r="U373" s="78"/>
      <c r="V373" s="78">
        <v>4125</v>
      </c>
      <c r="W373" s="78"/>
      <c r="X373" s="78">
        <v>99000</v>
      </c>
      <c r="Y373" s="78"/>
      <c r="Z373" s="78"/>
      <c r="AA373" s="78"/>
      <c r="AB373" s="78"/>
      <c r="AC373" s="81">
        <v>202625</v>
      </c>
      <c r="AD373" s="78"/>
      <c r="AE373" s="78">
        <v>150</v>
      </c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81">
        <v>150</v>
      </c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>
        <v>1417.4647376195121</v>
      </c>
      <c r="BC373" s="84">
        <v>1417.4647376195121</v>
      </c>
      <c r="BD373" s="78"/>
      <c r="BE373" s="78"/>
      <c r="BF373" s="78">
        <v>1384.1162844985286</v>
      </c>
      <c r="BG373" s="78">
        <v>1348.0754344291408</v>
      </c>
      <c r="BH373" s="78"/>
      <c r="BI373" s="78">
        <v>1401.5155969755583</v>
      </c>
      <c r="BJ373" s="78"/>
      <c r="BK373" s="78">
        <v>1337.6129314535733</v>
      </c>
      <c r="BL373" s="78"/>
      <c r="BM373" s="78"/>
      <c r="BN373" s="78"/>
      <c r="BO373" s="78"/>
      <c r="BP373" s="84">
        <v>1361.6606141097934</v>
      </c>
      <c r="BQ373" s="78"/>
      <c r="BR373" s="78">
        <v>1528.6902782188522</v>
      </c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84">
        <v>1528.6902782188522</v>
      </c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>
        <v>27168.84</v>
      </c>
      <c r="CP373" s="97">
        <v>27168.84</v>
      </c>
      <c r="CQ373" s="78"/>
      <c r="CR373" s="78"/>
      <c r="CS373" s="78">
        <v>28399.782353535353</v>
      </c>
      <c r="CT373" s="78">
        <v>28253.824000000001</v>
      </c>
      <c r="CU373" s="78"/>
      <c r="CV373" s="78">
        <v>28492.567999999999</v>
      </c>
      <c r="CW373" s="78"/>
      <c r="CX373" s="78">
        <v>28403.301868686867</v>
      </c>
      <c r="CY373" s="78"/>
      <c r="CZ373" s="78"/>
      <c r="DA373" s="78"/>
      <c r="DB373" s="78"/>
      <c r="DC373" s="97">
        <v>28403.030687230104</v>
      </c>
      <c r="DD373" s="78"/>
      <c r="DE373" s="78">
        <v>30096.2</v>
      </c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97">
        <v>30096.2</v>
      </c>
    </row>
    <row r="374" spans="1:120" s="22" customFormat="1" hidden="1" outlineLevel="1" x14ac:dyDescent="0.35">
      <c r="B374" s="25" t="s">
        <v>285</v>
      </c>
      <c r="C374" s="75" t="s">
        <v>286</v>
      </c>
      <c r="D374" s="77"/>
      <c r="E374" s="77"/>
      <c r="F374" s="77"/>
      <c r="G374" s="77"/>
      <c r="H374" s="77"/>
      <c r="I374" s="77">
        <v>3443</v>
      </c>
      <c r="J374" s="77"/>
      <c r="K374" s="77"/>
      <c r="L374" s="77"/>
      <c r="M374" s="77"/>
      <c r="N374" s="77"/>
      <c r="O374" s="77"/>
      <c r="P374" s="80">
        <v>3443</v>
      </c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80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80"/>
      <c r="AQ374" s="77"/>
      <c r="AR374" s="77"/>
      <c r="AS374" s="77"/>
      <c r="AT374" s="77"/>
      <c r="AU374" s="77"/>
      <c r="AV374" s="77">
        <v>544.41397110196476</v>
      </c>
      <c r="AW374" s="77"/>
      <c r="AX374" s="77"/>
      <c r="AY374" s="77"/>
      <c r="AZ374" s="77"/>
      <c r="BA374" s="77"/>
      <c r="BB374" s="77"/>
      <c r="BC374" s="83">
        <v>544.41397110196476</v>
      </c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83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83"/>
      <c r="CD374" s="77"/>
      <c r="CE374" s="77"/>
      <c r="CF374" s="77"/>
      <c r="CG374" s="77"/>
      <c r="CH374" s="77"/>
      <c r="CI374" s="77">
        <v>4459.9448155678192</v>
      </c>
      <c r="CJ374" s="77"/>
      <c r="CK374" s="77"/>
      <c r="CL374" s="77"/>
      <c r="CM374" s="77"/>
      <c r="CN374" s="77"/>
      <c r="CO374" s="77"/>
      <c r="CP374" s="96">
        <v>4459.9448155678192</v>
      </c>
      <c r="CQ374" s="77"/>
      <c r="CR374" s="77"/>
      <c r="CS374" s="77"/>
      <c r="CT374" s="77"/>
      <c r="CU374" s="77"/>
      <c r="CV374" s="77"/>
      <c r="CW374" s="77"/>
      <c r="CX374" s="77"/>
      <c r="CY374" s="77"/>
      <c r="CZ374" s="77"/>
      <c r="DA374" s="77"/>
      <c r="DB374" s="77"/>
      <c r="DC374" s="96"/>
      <c r="DD374" s="77"/>
      <c r="DE374" s="77"/>
      <c r="DF374" s="77"/>
      <c r="DG374" s="77"/>
      <c r="DH374" s="77"/>
      <c r="DI374" s="77"/>
      <c r="DJ374" s="77"/>
      <c r="DK374" s="77"/>
      <c r="DL374" s="77"/>
      <c r="DM374" s="77"/>
      <c r="DN374" s="77"/>
      <c r="DO374" s="77"/>
      <c r="DP374" s="96"/>
    </row>
    <row r="375" spans="1:120" s="22" customFormat="1" hidden="1" collapsed="1" x14ac:dyDescent="0.35">
      <c r="B375" s="106" t="s">
        <v>287</v>
      </c>
      <c r="C375" s="76"/>
      <c r="D375" s="78"/>
      <c r="E375" s="78"/>
      <c r="F375" s="78"/>
      <c r="G375" s="78"/>
      <c r="H375" s="78"/>
      <c r="I375" s="78">
        <v>3443</v>
      </c>
      <c r="J375" s="78"/>
      <c r="K375" s="78"/>
      <c r="L375" s="78"/>
      <c r="M375" s="78"/>
      <c r="N375" s="78"/>
      <c r="O375" s="78"/>
      <c r="P375" s="81">
        <v>3443</v>
      </c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81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81"/>
      <c r="AQ375" s="78"/>
      <c r="AR375" s="78"/>
      <c r="AS375" s="78"/>
      <c r="AT375" s="78"/>
      <c r="AU375" s="78"/>
      <c r="AV375" s="78">
        <v>544.41397110196476</v>
      </c>
      <c r="AW375" s="78"/>
      <c r="AX375" s="78"/>
      <c r="AY375" s="78"/>
      <c r="AZ375" s="78"/>
      <c r="BA375" s="78"/>
      <c r="BB375" s="78"/>
      <c r="BC375" s="84">
        <v>544.41397110196476</v>
      </c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84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84"/>
      <c r="CD375" s="78"/>
      <c r="CE375" s="78"/>
      <c r="CF375" s="78"/>
      <c r="CG375" s="78"/>
      <c r="CH375" s="78"/>
      <c r="CI375" s="78">
        <v>4459.9448155678192</v>
      </c>
      <c r="CJ375" s="78"/>
      <c r="CK375" s="78"/>
      <c r="CL375" s="78"/>
      <c r="CM375" s="78"/>
      <c r="CN375" s="78"/>
      <c r="CO375" s="78"/>
      <c r="CP375" s="97">
        <v>4459.9448155678192</v>
      </c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97"/>
      <c r="DD375" s="78"/>
      <c r="DE375" s="78"/>
      <c r="DF375" s="78"/>
      <c r="DG375" s="78"/>
      <c r="DH375" s="78"/>
      <c r="DI375" s="78"/>
      <c r="DJ375" s="78"/>
      <c r="DK375" s="78"/>
      <c r="DL375" s="78"/>
      <c r="DM375" s="78"/>
      <c r="DN375" s="78"/>
      <c r="DO375" s="78"/>
      <c r="DP375" s="97"/>
    </row>
    <row r="376" spans="1:120" s="22" customFormat="1" hidden="1" outlineLevel="1" x14ac:dyDescent="0.35">
      <c r="B376" s="25" t="s">
        <v>288</v>
      </c>
      <c r="C376" s="75" t="s">
        <v>286</v>
      </c>
      <c r="D376" s="77"/>
      <c r="E376" s="77"/>
      <c r="F376" s="77"/>
      <c r="G376" s="77"/>
      <c r="H376" s="77"/>
      <c r="I376" s="77">
        <v>350</v>
      </c>
      <c r="J376" s="77"/>
      <c r="K376" s="77"/>
      <c r="L376" s="77"/>
      <c r="M376" s="77"/>
      <c r="N376" s="77"/>
      <c r="O376" s="77"/>
      <c r="P376" s="80">
        <v>350</v>
      </c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80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80"/>
      <c r="AQ376" s="77"/>
      <c r="AR376" s="77"/>
      <c r="AS376" s="77"/>
      <c r="AT376" s="77"/>
      <c r="AU376" s="77"/>
      <c r="AV376" s="77">
        <v>544.41403006452936</v>
      </c>
      <c r="AW376" s="77"/>
      <c r="AX376" s="77"/>
      <c r="AY376" s="77"/>
      <c r="AZ376" s="77"/>
      <c r="BA376" s="77"/>
      <c r="BB376" s="77"/>
      <c r="BC376" s="83">
        <v>544.41403006452936</v>
      </c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83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83"/>
      <c r="CD376" s="77"/>
      <c r="CE376" s="77"/>
      <c r="CF376" s="77"/>
      <c r="CG376" s="77"/>
      <c r="CH376" s="77"/>
      <c r="CI376" s="77">
        <v>6333.6714285714288</v>
      </c>
      <c r="CJ376" s="77"/>
      <c r="CK376" s="77"/>
      <c r="CL376" s="77"/>
      <c r="CM376" s="77"/>
      <c r="CN376" s="77"/>
      <c r="CO376" s="77"/>
      <c r="CP376" s="96">
        <v>6333.6714285714288</v>
      </c>
      <c r="CQ376" s="77"/>
      <c r="CR376" s="77"/>
      <c r="CS376" s="77"/>
      <c r="CT376" s="77"/>
      <c r="CU376" s="77"/>
      <c r="CV376" s="77"/>
      <c r="CW376" s="77"/>
      <c r="CX376" s="77"/>
      <c r="CY376" s="77"/>
      <c r="CZ376" s="77"/>
      <c r="DA376" s="77"/>
      <c r="DB376" s="77"/>
      <c r="DC376" s="96"/>
      <c r="DD376" s="77"/>
      <c r="DE376" s="77"/>
      <c r="DF376" s="77"/>
      <c r="DG376" s="77"/>
      <c r="DH376" s="77"/>
      <c r="DI376" s="77"/>
      <c r="DJ376" s="77"/>
      <c r="DK376" s="77"/>
      <c r="DL376" s="77"/>
      <c r="DM376" s="77"/>
      <c r="DN376" s="77"/>
      <c r="DO376" s="77"/>
      <c r="DP376" s="96"/>
    </row>
    <row r="377" spans="1:120" s="22" customFormat="1" hidden="1" collapsed="1" x14ac:dyDescent="0.35">
      <c r="B377" s="106" t="s">
        <v>289</v>
      </c>
      <c r="C377" s="76"/>
      <c r="D377" s="78"/>
      <c r="E377" s="78"/>
      <c r="F377" s="78"/>
      <c r="G377" s="78"/>
      <c r="H377" s="78"/>
      <c r="I377" s="78">
        <v>350</v>
      </c>
      <c r="J377" s="78"/>
      <c r="K377" s="78"/>
      <c r="L377" s="78"/>
      <c r="M377" s="78"/>
      <c r="N377" s="78"/>
      <c r="O377" s="78"/>
      <c r="P377" s="81">
        <v>350</v>
      </c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81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81"/>
      <c r="AQ377" s="78"/>
      <c r="AR377" s="78"/>
      <c r="AS377" s="78"/>
      <c r="AT377" s="78"/>
      <c r="AU377" s="78"/>
      <c r="AV377" s="78">
        <v>544.41403006452936</v>
      </c>
      <c r="AW377" s="78"/>
      <c r="AX377" s="78"/>
      <c r="AY377" s="78"/>
      <c r="AZ377" s="78"/>
      <c r="BA377" s="78"/>
      <c r="BB377" s="78"/>
      <c r="BC377" s="84">
        <v>544.41403006452936</v>
      </c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84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84"/>
      <c r="CD377" s="78"/>
      <c r="CE377" s="78"/>
      <c r="CF377" s="78"/>
      <c r="CG377" s="78"/>
      <c r="CH377" s="78"/>
      <c r="CI377" s="78">
        <v>6333.6714285714288</v>
      </c>
      <c r="CJ377" s="78"/>
      <c r="CK377" s="78"/>
      <c r="CL377" s="78"/>
      <c r="CM377" s="78"/>
      <c r="CN377" s="78"/>
      <c r="CO377" s="78"/>
      <c r="CP377" s="97">
        <v>6333.6714285714288</v>
      </c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97"/>
      <c r="DD377" s="78"/>
      <c r="DE377" s="78"/>
      <c r="DF377" s="78"/>
      <c r="DG377" s="78"/>
      <c r="DH377" s="78"/>
      <c r="DI377" s="78"/>
      <c r="DJ377" s="78"/>
      <c r="DK377" s="78"/>
      <c r="DL377" s="78"/>
      <c r="DM377" s="78"/>
      <c r="DN377" s="78"/>
      <c r="DO377" s="78"/>
      <c r="DP377" s="97"/>
    </row>
    <row r="378" spans="1:120" s="22" customFormat="1" hidden="1" outlineLevel="1" x14ac:dyDescent="0.35">
      <c r="B378" s="25" t="s">
        <v>290</v>
      </c>
      <c r="C378" s="75" t="s">
        <v>286</v>
      </c>
      <c r="D378" s="77"/>
      <c r="E378" s="77"/>
      <c r="F378" s="77"/>
      <c r="G378" s="77"/>
      <c r="H378" s="77"/>
      <c r="I378" s="77">
        <v>4990</v>
      </c>
      <c r="J378" s="77"/>
      <c r="K378" s="77"/>
      <c r="L378" s="77"/>
      <c r="M378" s="77"/>
      <c r="N378" s="77"/>
      <c r="O378" s="77"/>
      <c r="P378" s="80">
        <v>4990</v>
      </c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80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80"/>
      <c r="AQ378" s="77"/>
      <c r="AR378" s="77"/>
      <c r="AS378" s="77"/>
      <c r="AT378" s="77"/>
      <c r="AU378" s="77"/>
      <c r="AV378" s="77">
        <v>544.41397113652442</v>
      </c>
      <c r="AW378" s="77"/>
      <c r="AX378" s="77"/>
      <c r="AY378" s="77"/>
      <c r="AZ378" s="77"/>
      <c r="BA378" s="77"/>
      <c r="BB378" s="77"/>
      <c r="BC378" s="83">
        <v>544.41397113652442</v>
      </c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83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83"/>
      <c r="CD378" s="77"/>
      <c r="CE378" s="77"/>
      <c r="CF378" s="77"/>
      <c r="CG378" s="77"/>
      <c r="CH378" s="77"/>
      <c r="CI378" s="77">
        <v>3995.5336673346692</v>
      </c>
      <c r="CJ378" s="77"/>
      <c r="CK378" s="77"/>
      <c r="CL378" s="77"/>
      <c r="CM378" s="77"/>
      <c r="CN378" s="77"/>
      <c r="CO378" s="77"/>
      <c r="CP378" s="96">
        <v>3995.5336673346692</v>
      </c>
      <c r="CQ378" s="77"/>
      <c r="CR378" s="77"/>
      <c r="CS378" s="77"/>
      <c r="CT378" s="77"/>
      <c r="CU378" s="77"/>
      <c r="CV378" s="77"/>
      <c r="CW378" s="77"/>
      <c r="CX378" s="77"/>
      <c r="CY378" s="77"/>
      <c r="CZ378" s="77"/>
      <c r="DA378" s="77"/>
      <c r="DB378" s="77"/>
      <c r="DC378" s="96"/>
      <c r="DD378" s="77"/>
      <c r="DE378" s="77"/>
      <c r="DF378" s="77"/>
      <c r="DG378" s="77"/>
      <c r="DH378" s="77"/>
      <c r="DI378" s="77"/>
      <c r="DJ378" s="77"/>
      <c r="DK378" s="77"/>
      <c r="DL378" s="77"/>
      <c r="DM378" s="77"/>
      <c r="DN378" s="77"/>
      <c r="DO378" s="77"/>
      <c r="DP378" s="96"/>
    </row>
    <row r="379" spans="1:120" s="22" customFormat="1" hidden="1" collapsed="1" x14ac:dyDescent="0.35">
      <c r="B379" s="106" t="s">
        <v>291</v>
      </c>
      <c r="C379" s="76"/>
      <c r="D379" s="78"/>
      <c r="E379" s="78"/>
      <c r="F379" s="78"/>
      <c r="G379" s="78"/>
      <c r="H379" s="78"/>
      <c r="I379" s="78">
        <v>4990</v>
      </c>
      <c r="J379" s="78"/>
      <c r="K379" s="78"/>
      <c r="L379" s="78"/>
      <c r="M379" s="78"/>
      <c r="N379" s="78"/>
      <c r="O379" s="78"/>
      <c r="P379" s="81">
        <v>4990</v>
      </c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81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81"/>
      <c r="AQ379" s="78"/>
      <c r="AR379" s="78"/>
      <c r="AS379" s="78"/>
      <c r="AT379" s="78"/>
      <c r="AU379" s="78"/>
      <c r="AV379" s="78">
        <v>544.41397113652442</v>
      </c>
      <c r="AW379" s="78"/>
      <c r="AX379" s="78"/>
      <c r="AY379" s="78"/>
      <c r="AZ379" s="78"/>
      <c r="BA379" s="78"/>
      <c r="BB379" s="78"/>
      <c r="BC379" s="84">
        <v>544.41397113652442</v>
      </c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84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84"/>
      <c r="CD379" s="78"/>
      <c r="CE379" s="78"/>
      <c r="CF379" s="78"/>
      <c r="CG379" s="78"/>
      <c r="CH379" s="78"/>
      <c r="CI379" s="78">
        <v>3995.5336673346692</v>
      </c>
      <c r="CJ379" s="78"/>
      <c r="CK379" s="78"/>
      <c r="CL379" s="78"/>
      <c r="CM379" s="78"/>
      <c r="CN379" s="78"/>
      <c r="CO379" s="78"/>
      <c r="CP379" s="97">
        <v>3995.5336673346692</v>
      </c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97"/>
      <c r="DD379" s="78"/>
      <c r="DE379" s="78"/>
      <c r="DF379" s="78"/>
      <c r="DG379" s="78"/>
      <c r="DH379" s="78"/>
      <c r="DI379" s="78"/>
      <c r="DJ379" s="78"/>
      <c r="DK379" s="78"/>
      <c r="DL379" s="78"/>
      <c r="DM379" s="78"/>
      <c r="DN379" s="78"/>
      <c r="DO379" s="78"/>
      <c r="DP379" s="97"/>
    </row>
    <row r="380" spans="1:120" s="22" customFormat="1" hidden="1" outlineLevel="1" x14ac:dyDescent="0.35">
      <c r="B380" s="25" t="s">
        <v>292</v>
      </c>
      <c r="C380" s="75" t="s">
        <v>131</v>
      </c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80"/>
      <c r="Q380" s="77"/>
      <c r="R380" s="77"/>
      <c r="S380" s="77"/>
      <c r="T380" s="77"/>
      <c r="U380" s="77"/>
      <c r="V380" s="77"/>
      <c r="W380" s="77">
        <v>286650</v>
      </c>
      <c r="X380" s="77"/>
      <c r="Y380" s="77"/>
      <c r="Z380" s="77"/>
      <c r="AA380" s="77"/>
      <c r="AB380" s="77"/>
      <c r="AC380" s="80">
        <v>286650</v>
      </c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80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83"/>
      <c r="BD380" s="77"/>
      <c r="BE380" s="77"/>
      <c r="BF380" s="77"/>
      <c r="BG380" s="77"/>
      <c r="BH380" s="77"/>
      <c r="BI380" s="77"/>
      <c r="BJ380" s="77">
        <v>667.58277049248466</v>
      </c>
      <c r="BK380" s="77"/>
      <c r="BL380" s="77"/>
      <c r="BM380" s="77"/>
      <c r="BN380" s="77"/>
      <c r="BO380" s="77"/>
      <c r="BP380" s="83">
        <v>667.58277049248466</v>
      </c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83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96"/>
      <c r="CQ380" s="77"/>
      <c r="CR380" s="77"/>
      <c r="CS380" s="77"/>
      <c r="CT380" s="77"/>
      <c r="CU380" s="77"/>
      <c r="CV380" s="77"/>
      <c r="CW380" s="77">
        <v>26575.241080911237</v>
      </c>
      <c r="CX380" s="77"/>
      <c r="CY380" s="77"/>
      <c r="CZ380" s="77"/>
      <c r="DA380" s="77"/>
      <c r="DB380" s="77"/>
      <c r="DC380" s="96">
        <v>26575.241080911237</v>
      </c>
      <c r="DD380" s="77"/>
      <c r="DE380" s="77"/>
      <c r="DF380" s="77"/>
      <c r="DG380" s="77"/>
      <c r="DH380" s="77"/>
      <c r="DI380" s="77"/>
      <c r="DJ380" s="77"/>
      <c r="DK380" s="77"/>
      <c r="DL380" s="77"/>
      <c r="DM380" s="77"/>
      <c r="DN380" s="77"/>
      <c r="DO380" s="77"/>
      <c r="DP380" s="96"/>
    </row>
    <row r="381" spans="1:120" s="22" customFormat="1" hidden="1" outlineLevel="1" x14ac:dyDescent="0.35">
      <c r="B381" s="25" t="s">
        <v>292</v>
      </c>
      <c r="C381" s="75" t="s">
        <v>271</v>
      </c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80"/>
      <c r="Q381" s="77">
        <v>11000</v>
      </c>
      <c r="R381" s="77">
        <v>11000</v>
      </c>
      <c r="S381" s="77">
        <v>33000</v>
      </c>
      <c r="T381" s="77"/>
      <c r="U381" s="77"/>
      <c r="V381" s="77">
        <v>10500</v>
      </c>
      <c r="W381" s="77">
        <v>31600</v>
      </c>
      <c r="X381" s="77"/>
      <c r="Y381" s="77"/>
      <c r="Z381" s="77"/>
      <c r="AA381" s="77"/>
      <c r="AB381" s="77"/>
      <c r="AC381" s="80">
        <v>97100</v>
      </c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80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83"/>
      <c r="BD381" s="77">
        <v>747.32182490803473</v>
      </c>
      <c r="BE381" s="77">
        <v>745.53059681951095</v>
      </c>
      <c r="BF381" s="77">
        <v>742.66455170305744</v>
      </c>
      <c r="BG381" s="77"/>
      <c r="BH381" s="77"/>
      <c r="BI381" s="77">
        <v>630.50669032765575</v>
      </c>
      <c r="BJ381" s="77">
        <v>628.75661391972415</v>
      </c>
      <c r="BK381" s="77"/>
      <c r="BL381" s="77"/>
      <c r="BM381" s="77"/>
      <c r="BN381" s="77"/>
      <c r="BO381" s="77"/>
      <c r="BP381" s="83">
        <v>694.31860034508315</v>
      </c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83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96"/>
      <c r="CQ381" s="77">
        <v>24557.580818181817</v>
      </c>
      <c r="CR381" s="77">
        <v>20338.836272727272</v>
      </c>
      <c r="CS381" s="77">
        <v>20301.988575757576</v>
      </c>
      <c r="CT381" s="77"/>
      <c r="CU381" s="77"/>
      <c r="CV381" s="77">
        <v>24748.221183673471</v>
      </c>
      <c r="CW381" s="77">
        <v>26575.241080911237</v>
      </c>
      <c r="CX381" s="77"/>
      <c r="CY381" s="77"/>
      <c r="CZ381" s="77"/>
      <c r="DA381" s="77"/>
      <c r="DB381" s="77"/>
      <c r="DC381" s="96">
        <v>23310.609182135595</v>
      </c>
      <c r="DD381" s="77"/>
      <c r="DE381" s="77"/>
      <c r="DF381" s="77"/>
      <c r="DG381" s="77"/>
      <c r="DH381" s="77"/>
      <c r="DI381" s="77"/>
      <c r="DJ381" s="77"/>
      <c r="DK381" s="77"/>
      <c r="DL381" s="77"/>
      <c r="DM381" s="77"/>
      <c r="DN381" s="77"/>
      <c r="DO381" s="77"/>
      <c r="DP381" s="96"/>
    </row>
    <row r="382" spans="1:120" s="22" customFormat="1" hidden="1" outlineLevel="1" x14ac:dyDescent="0.35">
      <c r="B382" s="25" t="s">
        <v>292</v>
      </c>
      <c r="C382" s="75" t="s">
        <v>293</v>
      </c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80"/>
      <c r="Q382" s="77"/>
      <c r="R382" s="77"/>
      <c r="S382" s="77"/>
      <c r="T382" s="77"/>
      <c r="U382" s="77"/>
      <c r="V382" s="77">
        <v>63000</v>
      </c>
      <c r="W382" s="77"/>
      <c r="X382" s="77"/>
      <c r="Y382" s="77"/>
      <c r="Z382" s="77"/>
      <c r="AA382" s="77"/>
      <c r="AB382" s="77"/>
      <c r="AC382" s="80">
        <v>63000</v>
      </c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80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83"/>
      <c r="BD382" s="77"/>
      <c r="BE382" s="77"/>
      <c r="BF382" s="77"/>
      <c r="BG382" s="77"/>
      <c r="BH382" s="77"/>
      <c r="BI382" s="77">
        <v>599.48748001387708</v>
      </c>
      <c r="BJ382" s="77"/>
      <c r="BK382" s="77"/>
      <c r="BL382" s="77"/>
      <c r="BM382" s="77"/>
      <c r="BN382" s="77"/>
      <c r="BO382" s="77"/>
      <c r="BP382" s="83">
        <v>599.48748001387708</v>
      </c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83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96"/>
      <c r="CQ382" s="77"/>
      <c r="CR382" s="77"/>
      <c r="CS382" s="77"/>
      <c r="CT382" s="77"/>
      <c r="CU382" s="77"/>
      <c r="CV382" s="77">
        <v>24748.221183673471</v>
      </c>
      <c r="CW382" s="77"/>
      <c r="CX382" s="77"/>
      <c r="CY382" s="77"/>
      <c r="CZ382" s="77"/>
      <c r="DA382" s="77"/>
      <c r="DB382" s="77"/>
      <c r="DC382" s="96">
        <v>24748.221183673471</v>
      </c>
      <c r="DD382" s="77"/>
      <c r="DE382" s="77"/>
      <c r="DF382" s="77"/>
      <c r="DG382" s="77"/>
      <c r="DH382" s="77"/>
      <c r="DI382" s="77"/>
      <c r="DJ382" s="77"/>
      <c r="DK382" s="77"/>
      <c r="DL382" s="77"/>
      <c r="DM382" s="77"/>
      <c r="DN382" s="77"/>
      <c r="DO382" s="77"/>
      <c r="DP382" s="96"/>
    </row>
    <row r="383" spans="1:120" s="22" customFormat="1" collapsed="1" x14ac:dyDescent="0.35">
      <c r="A383" s="22" t="s">
        <v>374</v>
      </c>
      <c r="B383" s="106" t="s">
        <v>294</v>
      </c>
      <c r="C383" s="76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81"/>
      <c r="Q383" s="78">
        <v>11000</v>
      </c>
      <c r="R383" s="78">
        <v>11000</v>
      </c>
      <c r="S383" s="78">
        <v>33000</v>
      </c>
      <c r="T383" s="78"/>
      <c r="U383" s="78"/>
      <c r="V383" s="78">
        <v>73500</v>
      </c>
      <c r="W383" s="78">
        <v>318250</v>
      </c>
      <c r="X383" s="78"/>
      <c r="Y383" s="78"/>
      <c r="Z383" s="78"/>
      <c r="AA383" s="78"/>
      <c r="AB383" s="78"/>
      <c r="AC383" s="81">
        <v>446750</v>
      </c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81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84"/>
      <c r="BD383" s="78">
        <v>747.32182490803473</v>
      </c>
      <c r="BE383" s="78">
        <v>745.53059681951095</v>
      </c>
      <c r="BF383" s="78">
        <v>742.66455170305744</v>
      </c>
      <c r="BG383" s="78"/>
      <c r="BH383" s="78"/>
      <c r="BI383" s="78">
        <v>603.91879577298823</v>
      </c>
      <c r="BJ383" s="78">
        <v>663.7276045924084</v>
      </c>
      <c r="BK383" s="78"/>
      <c r="BL383" s="78"/>
      <c r="BM383" s="78"/>
      <c r="BN383" s="78"/>
      <c r="BO383" s="78"/>
      <c r="BP383" s="84">
        <v>663.79104308014018</v>
      </c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84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97"/>
      <c r="CQ383" s="78">
        <v>24557.580818181817</v>
      </c>
      <c r="CR383" s="78">
        <v>20338.836272727272</v>
      </c>
      <c r="CS383" s="78">
        <v>20301.988575757576</v>
      </c>
      <c r="CT383" s="78"/>
      <c r="CU383" s="78"/>
      <c r="CV383" s="78">
        <v>24748.221183673471</v>
      </c>
      <c r="CW383" s="78">
        <v>26575.241080911237</v>
      </c>
      <c r="CX383" s="78"/>
      <c r="CY383" s="78"/>
      <c r="CZ383" s="78"/>
      <c r="DA383" s="78"/>
      <c r="DB383" s="78"/>
      <c r="DC383" s="97">
        <v>25608.037922775606</v>
      </c>
      <c r="DD383" s="78"/>
      <c r="DE383" s="78"/>
      <c r="DF383" s="78"/>
      <c r="DG383" s="78"/>
      <c r="DH383" s="78"/>
      <c r="DI383" s="78"/>
      <c r="DJ383" s="78"/>
      <c r="DK383" s="78"/>
      <c r="DL383" s="78"/>
      <c r="DM383" s="78"/>
      <c r="DN383" s="78"/>
      <c r="DO383" s="78"/>
      <c r="DP383" s="97"/>
    </row>
    <row r="384" spans="1:120" s="22" customFormat="1" hidden="1" outlineLevel="1" x14ac:dyDescent="0.35">
      <c r="B384" s="25" t="s">
        <v>295</v>
      </c>
      <c r="C384" s="75" t="s">
        <v>296</v>
      </c>
      <c r="D384" s="77"/>
      <c r="E384" s="77"/>
      <c r="F384" s="77"/>
      <c r="G384" s="77"/>
      <c r="H384" s="77"/>
      <c r="I384" s="77"/>
      <c r="J384" s="77"/>
      <c r="K384" s="77"/>
      <c r="L384" s="77">
        <v>5000</v>
      </c>
      <c r="M384" s="77">
        <v>15750</v>
      </c>
      <c r="N384" s="77">
        <v>0</v>
      </c>
      <c r="O384" s="77"/>
      <c r="P384" s="80">
        <v>20750</v>
      </c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80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80"/>
      <c r="AQ384" s="77"/>
      <c r="AR384" s="77"/>
      <c r="AS384" s="77"/>
      <c r="AT384" s="77"/>
      <c r="AU384" s="77"/>
      <c r="AV384" s="77"/>
      <c r="AW384" s="77"/>
      <c r="AX384" s="77"/>
      <c r="AY384" s="77">
        <v>904.51867866877535</v>
      </c>
      <c r="AZ384" s="77">
        <v>894.31163236115913</v>
      </c>
      <c r="BA384" s="77"/>
      <c r="BB384" s="77"/>
      <c r="BC384" s="83">
        <v>896.77116159190996</v>
      </c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83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83"/>
      <c r="CD384" s="77"/>
      <c r="CE384" s="77"/>
      <c r="CF384" s="77"/>
      <c r="CG384" s="77"/>
      <c r="CH384" s="77"/>
      <c r="CI384" s="77"/>
      <c r="CJ384" s="77"/>
      <c r="CK384" s="77"/>
      <c r="CL384" s="77">
        <v>14166.575800000001</v>
      </c>
      <c r="CM384" s="77">
        <v>16455.527492063491</v>
      </c>
      <c r="CN384" s="77"/>
      <c r="CO384" s="77"/>
      <c r="CP384" s="96">
        <v>15903.972867469876</v>
      </c>
      <c r="CQ384" s="77"/>
      <c r="CR384" s="77"/>
      <c r="CS384" s="77"/>
      <c r="CT384" s="77"/>
      <c r="CU384" s="77"/>
      <c r="CV384" s="77"/>
      <c r="CW384" s="77"/>
      <c r="CX384" s="77"/>
      <c r="CY384" s="77"/>
      <c r="CZ384" s="77"/>
      <c r="DA384" s="77"/>
      <c r="DB384" s="77"/>
      <c r="DC384" s="96"/>
      <c r="DD384" s="77"/>
      <c r="DE384" s="77"/>
      <c r="DF384" s="77"/>
      <c r="DG384" s="77"/>
      <c r="DH384" s="77"/>
      <c r="DI384" s="77"/>
      <c r="DJ384" s="77"/>
      <c r="DK384" s="77"/>
      <c r="DL384" s="77"/>
      <c r="DM384" s="77"/>
      <c r="DN384" s="77"/>
      <c r="DO384" s="77"/>
      <c r="DP384" s="96"/>
    </row>
    <row r="385" spans="2:120" s="22" customFormat="1" hidden="1" collapsed="1" x14ac:dyDescent="0.35">
      <c r="B385" s="106" t="s">
        <v>297</v>
      </c>
      <c r="C385" s="76"/>
      <c r="D385" s="78"/>
      <c r="E385" s="78"/>
      <c r="F385" s="78"/>
      <c r="G385" s="78"/>
      <c r="H385" s="78"/>
      <c r="I385" s="78"/>
      <c r="J385" s="78"/>
      <c r="K385" s="78"/>
      <c r="L385" s="78">
        <v>5000</v>
      </c>
      <c r="M385" s="78">
        <v>15750</v>
      </c>
      <c r="N385" s="78">
        <v>0</v>
      </c>
      <c r="O385" s="78"/>
      <c r="P385" s="81">
        <v>20750</v>
      </c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81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81"/>
      <c r="AQ385" s="78"/>
      <c r="AR385" s="78"/>
      <c r="AS385" s="78"/>
      <c r="AT385" s="78"/>
      <c r="AU385" s="78"/>
      <c r="AV385" s="78"/>
      <c r="AW385" s="78"/>
      <c r="AX385" s="78"/>
      <c r="AY385" s="78">
        <v>904.51867866877535</v>
      </c>
      <c r="AZ385" s="78">
        <v>894.31163236115913</v>
      </c>
      <c r="BA385" s="78"/>
      <c r="BB385" s="78"/>
      <c r="BC385" s="84">
        <v>896.77116159190996</v>
      </c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84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84"/>
      <c r="CD385" s="78"/>
      <c r="CE385" s="78"/>
      <c r="CF385" s="78"/>
      <c r="CG385" s="78"/>
      <c r="CH385" s="78"/>
      <c r="CI385" s="78"/>
      <c r="CJ385" s="78"/>
      <c r="CK385" s="78"/>
      <c r="CL385" s="78">
        <v>14166.575800000001</v>
      </c>
      <c r="CM385" s="78">
        <v>16455.527492063491</v>
      </c>
      <c r="CN385" s="78"/>
      <c r="CO385" s="78"/>
      <c r="CP385" s="97">
        <v>15903.972867469876</v>
      </c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97"/>
      <c r="DD385" s="78"/>
      <c r="DE385" s="78"/>
      <c r="DF385" s="78"/>
      <c r="DG385" s="78"/>
      <c r="DH385" s="78"/>
      <c r="DI385" s="78"/>
      <c r="DJ385" s="78"/>
      <c r="DK385" s="78"/>
      <c r="DL385" s="78"/>
      <c r="DM385" s="78"/>
      <c r="DN385" s="78"/>
      <c r="DO385" s="78"/>
      <c r="DP385" s="97"/>
    </row>
    <row r="386" spans="2:120" s="22" customFormat="1" hidden="1" outlineLevel="1" x14ac:dyDescent="0.35">
      <c r="B386" s="25" t="s">
        <v>298</v>
      </c>
      <c r="C386" s="75" t="s">
        <v>299</v>
      </c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80"/>
      <c r="Q386" s="77"/>
      <c r="R386" s="77"/>
      <c r="S386" s="77">
        <v>50</v>
      </c>
      <c r="T386" s="77"/>
      <c r="U386" s="77"/>
      <c r="V386" s="77"/>
      <c r="W386" s="77"/>
      <c r="X386" s="77"/>
      <c r="Y386" s="77"/>
      <c r="Z386" s="77"/>
      <c r="AA386" s="77"/>
      <c r="AB386" s="77"/>
      <c r="AC386" s="80">
        <v>50</v>
      </c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80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83"/>
      <c r="BD386" s="77"/>
      <c r="BE386" s="77"/>
      <c r="BF386" s="77">
        <v>1051.2485037237202</v>
      </c>
      <c r="BG386" s="77"/>
      <c r="BH386" s="77"/>
      <c r="BI386" s="77"/>
      <c r="BJ386" s="77"/>
      <c r="BK386" s="77"/>
      <c r="BL386" s="77"/>
      <c r="BM386" s="77"/>
      <c r="BN386" s="77"/>
      <c r="BO386" s="77"/>
      <c r="BP386" s="83">
        <v>1051.2485037237202</v>
      </c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83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96"/>
      <c r="CQ386" s="77"/>
      <c r="CR386" s="77"/>
      <c r="CS386" s="77">
        <v>17134.759999999998</v>
      </c>
      <c r="CT386" s="77"/>
      <c r="CU386" s="77"/>
      <c r="CV386" s="77"/>
      <c r="CW386" s="77"/>
      <c r="CX386" s="77"/>
      <c r="CY386" s="77"/>
      <c r="CZ386" s="77"/>
      <c r="DA386" s="77"/>
      <c r="DB386" s="77"/>
      <c r="DC386" s="96">
        <v>17134.759999999998</v>
      </c>
      <c r="DD386" s="77"/>
      <c r="DE386" s="77"/>
      <c r="DF386" s="77"/>
      <c r="DG386" s="77"/>
      <c r="DH386" s="77"/>
      <c r="DI386" s="77"/>
      <c r="DJ386" s="77"/>
      <c r="DK386" s="77"/>
      <c r="DL386" s="77"/>
      <c r="DM386" s="77"/>
      <c r="DN386" s="77"/>
      <c r="DO386" s="77"/>
      <c r="DP386" s="96"/>
    </row>
    <row r="387" spans="2:120" s="22" customFormat="1" hidden="1" collapsed="1" x14ac:dyDescent="0.35">
      <c r="B387" s="106" t="s">
        <v>300</v>
      </c>
      <c r="C387" s="76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81"/>
      <c r="Q387" s="78"/>
      <c r="R387" s="78"/>
      <c r="S387" s="78">
        <v>50</v>
      </c>
      <c r="T387" s="78"/>
      <c r="U387" s="78"/>
      <c r="V387" s="78"/>
      <c r="W387" s="78"/>
      <c r="X387" s="78"/>
      <c r="Y387" s="78"/>
      <c r="Z387" s="78"/>
      <c r="AA387" s="78"/>
      <c r="AB387" s="78"/>
      <c r="AC387" s="81">
        <v>50</v>
      </c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81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84"/>
      <c r="BD387" s="78"/>
      <c r="BE387" s="78"/>
      <c r="BF387" s="78">
        <v>1051.2485037237202</v>
      </c>
      <c r="BG387" s="78"/>
      <c r="BH387" s="78"/>
      <c r="BI387" s="78"/>
      <c r="BJ387" s="78"/>
      <c r="BK387" s="78"/>
      <c r="BL387" s="78"/>
      <c r="BM387" s="78"/>
      <c r="BN387" s="78"/>
      <c r="BO387" s="78"/>
      <c r="BP387" s="84">
        <v>1051.2485037237202</v>
      </c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84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97"/>
      <c r="CQ387" s="78"/>
      <c r="CR387" s="78"/>
      <c r="CS387" s="78">
        <v>17134.759999999998</v>
      </c>
      <c r="CT387" s="78"/>
      <c r="CU387" s="78"/>
      <c r="CV387" s="78"/>
      <c r="CW387" s="78"/>
      <c r="CX387" s="78"/>
      <c r="CY387" s="78"/>
      <c r="CZ387" s="78"/>
      <c r="DA387" s="78"/>
      <c r="DB387" s="78"/>
      <c r="DC387" s="97">
        <v>17134.759999999998</v>
      </c>
      <c r="DD387" s="78"/>
      <c r="DE387" s="78"/>
      <c r="DF387" s="78"/>
      <c r="DG387" s="78"/>
      <c r="DH387" s="78"/>
      <c r="DI387" s="78"/>
      <c r="DJ387" s="78"/>
      <c r="DK387" s="78"/>
      <c r="DL387" s="78"/>
      <c r="DM387" s="78"/>
      <c r="DN387" s="78"/>
      <c r="DO387" s="78"/>
      <c r="DP387" s="97"/>
    </row>
    <row r="388" spans="2:120" s="22" customFormat="1" hidden="1" outlineLevel="1" x14ac:dyDescent="0.35">
      <c r="B388" s="25" t="s">
        <v>301</v>
      </c>
      <c r="C388" s="75" t="s">
        <v>299</v>
      </c>
      <c r="D388" s="77"/>
      <c r="E388" s="77"/>
      <c r="F388" s="77"/>
      <c r="G388" s="77"/>
      <c r="H388" s="77"/>
      <c r="I388" s="77"/>
      <c r="J388" s="77"/>
      <c r="K388" s="77">
        <v>19150</v>
      </c>
      <c r="L388" s="77"/>
      <c r="M388" s="77"/>
      <c r="N388" s="77"/>
      <c r="O388" s="77">
        <v>14000</v>
      </c>
      <c r="P388" s="80">
        <v>33150</v>
      </c>
      <c r="Q388" s="77"/>
      <c r="R388" s="77"/>
      <c r="S388" s="77">
        <v>19000</v>
      </c>
      <c r="T388" s="77"/>
      <c r="U388" s="77"/>
      <c r="V388" s="77">
        <v>20000</v>
      </c>
      <c r="W388" s="77">
        <v>12000</v>
      </c>
      <c r="X388" s="77"/>
      <c r="Y388" s="77">
        <v>16000</v>
      </c>
      <c r="Z388" s="77"/>
      <c r="AA388" s="77"/>
      <c r="AB388" s="77"/>
      <c r="AC388" s="80">
        <v>67000</v>
      </c>
      <c r="AD388" s="77">
        <v>18000</v>
      </c>
      <c r="AE388" s="77"/>
      <c r="AF388" s="77"/>
      <c r="AG388" s="77">
        <v>20000</v>
      </c>
      <c r="AH388" s="77"/>
      <c r="AI388" s="77"/>
      <c r="AJ388" s="77"/>
      <c r="AK388" s="77"/>
      <c r="AL388" s="77"/>
      <c r="AM388" s="77"/>
      <c r="AN388" s="77"/>
      <c r="AO388" s="77"/>
      <c r="AP388" s="80">
        <v>38000</v>
      </c>
      <c r="AQ388" s="77"/>
      <c r="AR388" s="77"/>
      <c r="AS388" s="77"/>
      <c r="AT388" s="77"/>
      <c r="AU388" s="77"/>
      <c r="AV388" s="77"/>
      <c r="AW388" s="77"/>
      <c r="AX388" s="77">
        <v>1075.8696254019294</v>
      </c>
      <c r="AY388" s="77"/>
      <c r="AZ388" s="77"/>
      <c r="BA388" s="77"/>
      <c r="BB388" s="77">
        <v>1078.1625230840261</v>
      </c>
      <c r="BC388" s="83">
        <v>1076.8379683144287</v>
      </c>
      <c r="BD388" s="77"/>
      <c r="BE388" s="77"/>
      <c r="BF388" s="77">
        <v>1051.203190096807</v>
      </c>
      <c r="BG388" s="77"/>
      <c r="BH388" s="77"/>
      <c r="BI388" s="77">
        <v>1055.7065506125082</v>
      </c>
      <c r="BJ388" s="77">
        <v>1052.0476087374905</v>
      </c>
      <c r="BK388" s="77"/>
      <c r="BL388" s="77">
        <v>1053.0884777777781</v>
      </c>
      <c r="BM388" s="77"/>
      <c r="BN388" s="77"/>
      <c r="BO388" s="77"/>
      <c r="BP388" s="83">
        <v>1053.148933931102</v>
      </c>
      <c r="BQ388" s="77">
        <v>1053.3537004998079</v>
      </c>
      <c r="BR388" s="77"/>
      <c r="BS388" s="77"/>
      <c r="BT388" s="77">
        <v>1060.0000000000002</v>
      </c>
      <c r="BU388" s="77"/>
      <c r="BV388" s="77"/>
      <c r="BW388" s="77"/>
      <c r="BX388" s="77"/>
      <c r="BY388" s="77"/>
      <c r="BZ388" s="77"/>
      <c r="CA388" s="77"/>
      <c r="CB388" s="77"/>
      <c r="CC388" s="83">
        <v>1056.8517528683301</v>
      </c>
      <c r="CD388" s="77"/>
      <c r="CE388" s="77"/>
      <c r="CF388" s="77"/>
      <c r="CG388" s="77"/>
      <c r="CH388" s="77"/>
      <c r="CI388" s="77"/>
      <c r="CJ388" s="77"/>
      <c r="CK388" s="77">
        <v>8153.806527415144</v>
      </c>
      <c r="CL388" s="77"/>
      <c r="CM388" s="77"/>
      <c r="CN388" s="77"/>
      <c r="CO388" s="77">
        <v>34143.367214285718</v>
      </c>
      <c r="CP388" s="96">
        <v>19129.78992458522</v>
      </c>
      <c r="CQ388" s="77"/>
      <c r="CR388" s="77"/>
      <c r="CS388" s="77">
        <v>28938.410368421053</v>
      </c>
      <c r="CT388" s="77"/>
      <c r="CU388" s="77"/>
      <c r="CV388" s="77">
        <v>27961.060600000001</v>
      </c>
      <c r="CW388" s="77">
        <v>27961.060249999999</v>
      </c>
      <c r="CX388" s="77"/>
      <c r="CY388" s="77">
        <v>28226.247812500002</v>
      </c>
      <c r="CZ388" s="77"/>
      <c r="DA388" s="77"/>
      <c r="DB388" s="77"/>
      <c r="DC388" s="96">
        <v>28301.54771641791</v>
      </c>
      <c r="DD388" s="77">
        <v>26791.342055555557</v>
      </c>
      <c r="DE388" s="77"/>
      <c r="DF388" s="77"/>
      <c r="DG388" s="77">
        <v>25917.690099667776</v>
      </c>
      <c r="DH388" s="77"/>
      <c r="DI388" s="77"/>
      <c r="DJ388" s="77"/>
      <c r="DK388" s="77"/>
      <c r="DL388" s="77"/>
      <c r="DM388" s="77"/>
      <c r="DN388" s="77"/>
      <c r="DO388" s="77"/>
      <c r="DP388" s="96">
        <v>26331.52523666725</v>
      </c>
    </row>
    <row r="389" spans="2:120" s="22" customFormat="1" hidden="1" collapsed="1" x14ac:dyDescent="0.35">
      <c r="B389" s="106" t="s">
        <v>302</v>
      </c>
      <c r="C389" s="76"/>
      <c r="D389" s="78"/>
      <c r="E389" s="78"/>
      <c r="F389" s="78"/>
      <c r="G389" s="78"/>
      <c r="H389" s="78"/>
      <c r="I389" s="78"/>
      <c r="J389" s="78"/>
      <c r="K389" s="78">
        <v>19150</v>
      </c>
      <c r="L389" s="78"/>
      <c r="M389" s="78"/>
      <c r="N389" s="78"/>
      <c r="O389" s="78">
        <v>14000</v>
      </c>
      <c r="P389" s="81">
        <v>33150</v>
      </c>
      <c r="Q389" s="78"/>
      <c r="R389" s="78"/>
      <c r="S389" s="78">
        <v>19000</v>
      </c>
      <c r="T389" s="78"/>
      <c r="U389" s="78"/>
      <c r="V389" s="78">
        <v>20000</v>
      </c>
      <c r="W389" s="78">
        <v>12000</v>
      </c>
      <c r="X389" s="78"/>
      <c r="Y389" s="78">
        <v>16000</v>
      </c>
      <c r="Z389" s="78"/>
      <c r="AA389" s="78"/>
      <c r="AB389" s="78"/>
      <c r="AC389" s="81">
        <v>67000</v>
      </c>
      <c r="AD389" s="78">
        <v>18000</v>
      </c>
      <c r="AE389" s="78"/>
      <c r="AF389" s="78"/>
      <c r="AG389" s="78">
        <v>20000</v>
      </c>
      <c r="AH389" s="78"/>
      <c r="AI389" s="78"/>
      <c r="AJ389" s="78"/>
      <c r="AK389" s="78"/>
      <c r="AL389" s="78"/>
      <c r="AM389" s="78"/>
      <c r="AN389" s="78"/>
      <c r="AO389" s="78"/>
      <c r="AP389" s="81">
        <v>38000</v>
      </c>
      <c r="AQ389" s="78"/>
      <c r="AR389" s="78"/>
      <c r="AS389" s="78"/>
      <c r="AT389" s="78"/>
      <c r="AU389" s="78"/>
      <c r="AV389" s="78"/>
      <c r="AW389" s="78"/>
      <c r="AX389" s="78">
        <v>1075.8696254019294</v>
      </c>
      <c r="AY389" s="78"/>
      <c r="AZ389" s="78"/>
      <c r="BA389" s="78"/>
      <c r="BB389" s="78">
        <v>1078.1625230840261</v>
      </c>
      <c r="BC389" s="84">
        <v>1076.8379683144287</v>
      </c>
      <c r="BD389" s="78"/>
      <c r="BE389" s="78"/>
      <c r="BF389" s="78">
        <v>1051.203190096807</v>
      </c>
      <c r="BG389" s="78"/>
      <c r="BH389" s="78"/>
      <c r="BI389" s="78">
        <v>1055.7065506125082</v>
      </c>
      <c r="BJ389" s="78">
        <v>1052.0476087374905</v>
      </c>
      <c r="BK389" s="78"/>
      <c r="BL389" s="78">
        <v>1053.0884777777781</v>
      </c>
      <c r="BM389" s="78"/>
      <c r="BN389" s="78"/>
      <c r="BO389" s="78"/>
      <c r="BP389" s="84">
        <v>1053.148933931102</v>
      </c>
      <c r="BQ389" s="78">
        <v>1053.3537004998079</v>
      </c>
      <c r="BR389" s="78"/>
      <c r="BS389" s="78"/>
      <c r="BT389" s="78">
        <v>1060.0000000000002</v>
      </c>
      <c r="BU389" s="78"/>
      <c r="BV389" s="78"/>
      <c r="BW389" s="78"/>
      <c r="BX389" s="78"/>
      <c r="BY389" s="78"/>
      <c r="BZ389" s="78"/>
      <c r="CA389" s="78"/>
      <c r="CB389" s="78"/>
      <c r="CC389" s="84">
        <v>1056.8517528683301</v>
      </c>
      <c r="CD389" s="78"/>
      <c r="CE389" s="78"/>
      <c r="CF389" s="78"/>
      <c r="CG389" s="78"/>
      <c r="CH389" s="78"/>
      <c r="CI389" s="78"/>
      <c r="CJ389" s="78"/>
      <c r="CK389" s="78">
        <v>8153.806527415144</v>
      </c>
      <c r="CL389" s="78"/>
      <c r="CM389" s="78"/>
      <c r="CN389" s="78"/>
      <c r="CO389" s="78">
        <v>34143.367214285718</v>
      </c>
      <c r="CP389" s="97">
        <v>19129.78992458522</v>
      </c>
      <c r="CQ389" s="78"/>
      <c r="CR389" s="78"/>
      <c r="CS389" s="78">
        <v>28938.410368421053</v>
      </c>
      <c r="CT389" s="78"/>
      <c r="CU389" s="78"/>
      <c r="CV389" s="78">
        <v>27961.060600000001</v>
      </c>
      <c r="CW389" s="78">
        <v>27961.060249999999</v>
      </c>
      <c r="CX389" s="78"/>
      <c r="CY389" s="78">
        <v>28226.247812500002</v>
      </c>
      <c r="CZ389" s="78"/>
      <c r="DA389" s="78"/>
      <c r="DB389" s="78"/>
      <c r="DC389" s="97">
        <v>28301.54771641791</v>
      </c>
      <c r="DD389" s="78">
        <v>26791.342055555557</v>
      </c>
      <c r="DE389" s="78"/>
      <c r="DF389" s="78"/>
      <c r="DG389" s="78">
        <v>25917.690099667776</v>
      </c>
      <c r="DH389" s="78"/>
      <c r="DI389" s="78"/>
      <c r="DJ389" s="78"/>
      <c r="DK389" s="78"/>
      <c r="DL389" s="78"/>
      <c r="DM389" s="78"/>
      <c r="DN389" s="78"/>
      <c r="DO389" s="78"/>
      <c r="DP389" s="97">
        <v>26331.52523666725</v>
      </c>
    </row>
    <row r="390" spans="2:120" s="22" customFormat="1" hidden="1" outlineLevel="1" x14ac:dyDescent="0.35">
      <c r="B390" s="25" t="s">
        <v>303</v>
      </c>
      <c r="C390" s="75" t="s">
        <v>204</v>
      </c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80"/>
      <c r="Q390" s="77"/>
      <c r="R390" s="77"/>
      <c r="S390" s="77"/>
      <c r="T390" s="77"/>
      <c r="U390" s="77"/>
      <c r="V390" s="77"/>
      <c r="W390" s="77"/>
      <c r="X390" s="77"/>
      <c r="Y390" s="77"/>
      <c r="Z390" s="77">
        <v>4125</v>
      </c>
      <c r="AA390" s="77"/>
      <c r="AB390" s="77">
        <v>2750</v>
      </c>
      <c r="AC390" s="80">
        <v>6875</v>
      </c>
      <c r="AD390" s="77"/>
      <c r="AE390" s="77"/>
      <c r="AF390" s="77"/>
      <c r="AG390" s="77">
        <v>400</v>
      </c>
      <c r="AH390" s="77"/>
      <c r="AI390" s="77"/>
      <c r="AJ390" s="77"/>
      <c r="AK390" s="77"/>
      <c r="AL390" s="77"/>
      <c r="AM390" s="77"/>
      <c r="AN390" s="77"/>
      <c r="AO390" s="77"/>
      <c r="AP390" s="80">
        <v>400</v>
      </c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83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>
        <v>1093.8997132804279</v>
      </c>
      <c r="BN390" s="77"/>
      <c r="BO390" s="77">
        <v>770.62284231586239</v>
      </c>
      <c r="BP390" s="83">
        <v>964.58896489460176</v>
      </c>
      <c r="BQ390" s="77"/>
      <c r="BR390" s="77"/>
      <c r="BS390" s="77"/>
      <c r="BT390" s="77">
        <v>1235.1999999999998</v>
      </c>
      <c r="BU390" s="77"/>
      <c r="BV390" s="77"/>
      <c r="BW390" s="77"/>
      <c r="BX390" s="77"/>
      <c r="BY390" s="77"/>
      <c r="BZ390" s="77"/>
      <c r="CA390" s="77"/>
      <c r="CB390" s="77"/>
      <c r="CC390" s="83">
        <v>1235.1999999999998</v>
      </c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96"/>
      <c r="CQ390" s="77"/>
      <c r="CR390" s="77"/>
      <c r="CS390" s="77"/>
      <c r="CT390" s="77"/>
      <c r="CU390" s="77"/>
      <c r="CV390" s="77"/>
      <c r="CW390" s="77"/>
      <c r="CX390" s="77"/>
      <c r="CY390" s="77"/>
      <c r="CZ390" s="77">
        <v>28355.696969696968</v>
      </c>
      <c r="DA390" s="77"/>
      <c r="DB390" s="77">
        <v>35441.836363636365</v>
      </c>
      <c r="DC390" s="96">
        <v>31190.152727272729</v>
      </c>
      <c r="DD390" s="77"/>
      <c r="DE390" s="77"/>
      <c r="DF390" s="77"/>
      <c r="DG390" s="77">
        <v>32267.352752293573</v>
      </c>
      <c r="DH390" s="77"/>
      <c r="DI390" s="77"/>
      <c r="DJ390" s="77"/>
      <c r="DK390" s="77"/>
      <c r="DL390" s="77"/>
      <c r="DM390" s="77"/>
      <c r="DN390" s="77"/>
      <c r="DO390" s="77"/>
      <c r="DP390" s="96">
        <v>32267.352752293573</v>
      </c>
    </row>
    <row r="391" spans="2:120" s="22" customFormat="1" hidden="1" outlineLevel="1" x14ac:dyDescent="0.35">
      <c r="B391" s="25" t="s">
        <v>303</v>
      </c>
      <c r="C391" s="75" t="s">
        <v>5</v>
      </c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80"/>
      <c r="Q391" s="77"/>
      <c r="R391" s="77"/>
      <c r="S391" s="77"/>
      <c r="T391" s="77"/>
      <c r="U391" s="77"/>
      <c r="V391" s="77"/>
      <c r="W391" s="77"/>
      <c r="X391" s="77"/>
      <c r="Y391" s="77">
        <v>25</v>
      </c>
      <c r="Z391" s="77"/>
      <c r="AA391" s="77"/>
      <c r="AB391" s="77"/>
      <c r="AC391" s="80">
        <v>25</v>
      </c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80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83"/>
      <c r="BD391" s="77"/>
      <c r="BE391" s="77"/>
      <c r="BF391" s="77"/>
      <c r="BG391" s="77"/>
      <c r="BH391" s="77"/>
      <c r="BI391" s="77"/>
      <c r="BJ391" s="77"/>
      <c r="BK391" s="77"/>
      <c r="BL391" s="77">
        <v>1092.25883841827</v>
      </c>
      <c r="BM391" s="77"/>
      <c r="BN391" s="77"/>
      <c r="BO391" s="77"/>
      <c r="BP391" s="83">
        <v>1092.25883841827</v>
      </c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83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96"/>
      <c r="CQ391" s="77"/>
      <c r="CR391" s="77"/>
      <c r="CS391" s="77"/>
      <c r="CT391" s="77"/>
      <c r="CU391" s="77"/>
      <c r="CV391" s="77"/>
      <c r="CW391" s="77"/>
      <c r="CX391" s="77"/>
      <c r="CY391" s="77">
        <v>28355.699314641744</v>
      </c>
      <c r="CZ391" s="77"/>
      <c r="DA391" s="77"/>
      <c r="DB391" s="77"/>
      <c r="DC391" s="96">
        <v>28355.699314641744</v>
      </c>
      <c r="DD391" s="77"/>
      <c r="DE391" s="77"/>
      <c r="DF391" s="77"/>
      <c r="DG391" s="77"/>
      <c r="DH391" s="77"/>
      <c r="DI391" s="77"/>
      <c r="DJ391" s="77"/>
      <c r="DK391" s="77"/>
      <c r="DL391" s="77"/>
      <c r="DM391" s="77"/>
      <c r="DN391" s="77"/>
      <c r="DO391" s="77"/>
      <c r="DP391" s="96"/>
    </row>
    <row r="392" spans="2:120" s="22" customFormat="1" hidden="1" outlineLevel="1" x14ac:dyDescent="0.35">
      <c r="B392" s="25" t="s">
        <v>303</v>
      </c>
      <c r="C392" s="75" t="s">
        <v>192</v>
      </c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80"/>
      <c r="Q392" s="77"/>
      <c r="R392" s="77">
        <v>5</v>
      </c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80">
        <v>5</v>
      </c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80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83"/>
      <c r="BD392" s="77"/>
      <c r="BE392" s="77">
        <v>830.95528287688489</v>
      </c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83">
        <v>830.95528287688489</v>
      </c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83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96"/>
      <c r="CQ392" s="77"/>
      <c r="CR392" s="77">
        <v>34031.236363636373</v>
      </c>
      <c r="CS392" s="77"/>
      <c r="CT392" s="77"/>
      <c r="CU392" s="77"/>
      <c r="CV392" s="77"/>
      <c r="CW392" s="77"/>
      <c r="CX392" s="77"/>
      <c r="CY392" s="77"/>
      <c r="CZ392" s="77"/>
      <c r="DA392" s="77"/>
      <c r="DB392" s="77"/>
      <c r="DC392" s="96">
        <v>34031.236363636373</v>
      </c>
      <c r="DD392" s="77"/>
      <c r="DE392" s="77"/>
      <c r="DF392" s="77"/>
      <c r="DG392" s="77"/>
      <c r="DH392" s="77"/>
      <c r="DI392" s="77"/>
      <c r="DJ392" s="77"/>
      <c r="DK392" s="77"/>
      <c r="DL392" s="77"/>
      <c r="DM392" s="77"/>
      <c r="DN392" s="77"/>
      <c r="DO392" s="77"/>
      <c r="DP392" s="96"/>
    </row>
    <row r="393" spans="2:120" s="22" customFormat="1" hidden="1" outlineLevel="1" x14ac:dyDescent="0.35">
      <c r="B393" s="25" t="s">
        <v>303</v>
      </c>
      <c r="C393" s="75" t="s">
        <v>304</v>
      </c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80"/>
      <c r="Q393" s="77"/>
      <c r="R393" s="77">
        <v>50</v>
      </c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80">
        <v>50</v>
      </c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80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83"/>
      <c r="BD393" s="77"/>
      <c r="BE393" s="77">
        <v>1066.5508902220743</v>
      </c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83">
        <v>1066.5508902220743</v>
      </c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83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96"/>
      <c r="CQ393" s="77"/>
      <c r="CR393" s="77">
        <v>34031.236363636359</v>
      </c>
      <c r="CS393" s="77"/>
      <c r="CT393" s="77"/>
      <c r="CU393" s="77"/>
      <c r="CV393" s="77"/>
      <c r="CW393" s="77"/>
      <c r="CX393" s="77"/>
      <c r="CY393" s="77"/>
      <c r="CZ393" s="77"/>
      <c r="DA393" s="77"/>
      <c r="DB393" s="77"/>
      <c r="DC393" s="96">
        <v>34031.236363636359</v>
      </c>
      <c r="DD393" s="77"/>
      <c r="DE393" s="77"/>
      <c r="DF393" s="77"/>
      <c r="DG393" s="77"/>
      <c r="DH393" s="77"/>
      <c r="DI393" s="77"/>
      <c r="DJ393" s="77"/>
      <c r="DK393" s="77"/>
      <c r="DL393" s="77"/>
      <c r="DM393" s="77"/>
      <c r="DN393" s="77"/>
      <c r="DO393" s="77"/>
      <c r="DP393" s="96"/>
    </row>
    <row r="394" spans="2:120" s="22" customFormat="1" hidden="1" outlineLevel="1" x14ac:dyDescent="0.35">
      <c r="B394" s="25" t="s">
        <v>303</v>
      </c>
      <c r="C394" s="75" t="s">
        <v>299</v>
      </c>
      <c r="D394" s="77"/>
      <c r="E394" s="77"/>
      <c r="F394" s="77"/>
      <c r="G394" s="77"/>
      <c r="H394" s="77"/>
      <c r="I394" s="77"/>
      <c r="J394" s="77"/>
      <c r="K394" s="77">
        <v>5850</v>
      </c>
      <c r="L394" s="77"/>
      <c r="M394" s="77"/>
      <c r="N394" s="77"/>
      <c r="O394" s="77">
        <v>10000</v>
      </c>
      <c r="P394" s="80">
        <v>15850</v>
      </c>
      <c r="Q394" s="77"/>
      <c r="R394" s="77"/>
      <c r="S394" s="77">
        <v>5000</v>
      </c>
      <c r="T394" s="77"/>
      <c r="U394" s="77"/>
      <c r="V394" s="77">
        <v>4000</v>
      </c>
      <c r="W394" s="77">
        <v>12000</v>
      </c>
      <c r="X394" s="77"/>
      <c r="Y394" s="77">
        <v>8000</v>
      </c>
      <c r="Z394" s="77"/>
      <c r="AA394" s="77"/>
      <c r="AB394" s="77"/>
      <c r="AC394" s="80">
        <v>29000</v>
      </c>
      <c r="AD394" s="77">
        <v>6000</v>
      </c>
      <c r="AE394" s="77"/>
      <c r="AF394" s="77"/>
      <c r="AG394" s="77">
        <v>4000</v>
      </c>
      <c r="AH394" s="77"/>
      <c r="AI394" s="77"/>
      <c r="AJ394" s="77"/>
      <c r="AK394" s="77"/>
      <c r="AL394" s="77"/>
      <c r="AM394" s="77"/>
      <c r="AN394" s="77"/>
      <c r="AO394" s="77"/>
      <c r="AP394" s="80">
        <v>10000</v>
      </c>
      <c r="AQ394" s="77"/>
      <c r="AR394" s="77"/>
      <c r="AS394" s="77"/>
      <c r="AT394" s="77"/>
      <c r="AU394" s="77"/>
      <c r="AV394" s="77"/>
      <c r="AW394" s="77"/>
      <c r="AX394" s="77">
        <v>1075.8696254019296</v>
      </c>
      <c r="AY394" s="77"/>
      <c r="AZ394" s="77"/>
      <c r="BA394" s="77"/>
      <c r="BB394" s="77">
        <v>1078.1625230840259</v>
      </c>
      <c r="BC394" s="83">
        <v>1077.3162485452081</v>
      </c>
      <c r="BD394" s="77"/>
      <c r="BE394" s="77"/>
      <c r="BF394" s="77">
        <v>1051.203190096807</v>
      </c>
      <c r="BG394" s="77"/>
      <c r="BH394" s="77"/>
      <c r="BI394" s="77">
        <v>1055.7065506125082</v>
      </c>
      <c r="BJ394" s="77">
        <v>1052.0476087374905</v>
      </c>
      <c r="BK394" s="77"/>
      <c r="BL394" s="77">
        <v>1053.0884777777781</v>
      </c>
      <c r="BM394" s="77"/>
      <c r="BN394" s="77"/>
      <c r="BO394" s="77"/>
      <c r="BP394" s="83">
        <v>1052.6938372415923</v>
      </c>
      <c r="BQ394" s="77">
        <v>1053.3537004998079</v>
      </c>
      <c r="BR394" s="77"/>
      <c r="BS394" s="77"/>
      <c r="BT394" s="77">
        <v>1060.0000000000002</v>
      </c>
      <c r="BU394" s="77"/>
      <c r="BV394" s="77"/>
      <c r="BW394" s="77"/>
      <c r="BX394" s="77"/>
      <c r="BY394" s="77"/>
      <c r="BZ394" s="77"/>
      <c r="CA394" s="77"/>
      <c r="CB394" s="77"/>
      <c r="CC394" s="83">
        <v>1056.012220299885</v>
      </c>
      <c r="CD394" s="77"/>
      <c r="CE394" s="77"/>
      <c r="CF394" s="77"/>
      <c r="CG394" s="77"/>
      <c r="CH394" s="77"/>
      <c r="CI394" s="77"/>
      <c r="CJ394" s="77"/>
      <c r="CK394" s="77">
        <v>6772.776068376068</v>
      </c>
      <c r="CL394" s="77"/>
      <c r="CM394" s="77"/>
      <c r="CN394" s="77"/>
      <c r="CO394" s="77">
        <v>34031.233500000002</v>
      </c>
      <c r="CP394" s="96">
        <v>23970.541009463723</v>
      </c>
      <c r="CQ394" s="77"/>
      <c r="CR394" s="77"/>
      <c r="CS394" s="77">
        <v>27651.8164</v>
      </c>
      <c r="CT394" s="77"/>
      <c r="CU394" s="77"/>
      <c r="CV394" s="77">
        <v>27664.290499999999</v>
      </c>
      <c r="CW394" s="77">
        <v>27586.278166666667</v>
      </c>
      <c r="CX394" s="77"/>
      <c r="CY394" s="77">
        <v>28355.699314641741</v>
      </c>
      <c r="CZ394" s="77"/>
      <c r="DA394" s="77"/>
      <c r="DB394" s="77"/>
      <c r="DC394" s="96">
        <v>27820.592293694273</v>
      </c>
      <c r="DD394" s="77">
        <v>32267.353500000001</v>
      </c>
      <c r="DE394" s="77"/>
      <c r="DF394" s="77"/>
      <c r="DG394" s="77">
        <v>32267.352752293584</v>
      </c>
      <c r="DH394" s="77"/>
      <c r="DI394" s="77"/>
      <c r="DJ394" s="77"/>
      <c r="DK394" s="77"/>
      <c r="DL394" s="77"/>
      <c r="DM394" s="77"/>
      <c r="DN394" s="77"/>
      <c r="DO394" s="77"/>
      <c r="DP394" s="96">
        <v>32267.353200917434</v>
      </c>
    </row>
    <row r="395" spans="2:120" s="22" customFormat="1" hidden="1" collapsed="1" x14ac:dyDescent="0.35">
      <c r="B395" s="106" t="s">
        <v>305</v>
      </c>
      <c r="C395" s="76"/>
      <c r="D395" s="78"/>
      <c r="E395" s="78"/>
      <c r="F395" s="78"/>
      <c r="G395" s="78"/>
      <c r="H395" s="78"/>
      <c r="I395" s="78"/>
      <c r="J395" s="78"/>
      <c r="K395" s="78">
        <v>5850</v>
      </c>
      <c r="L395" s="78"/>
      <c r="M395" s="78"/>
      <c r="N395" s="78"/>
      <c r="O395" s="78">
        <v>10000</v>
      </c>
      <c r="P395" s="81">
        <v>15850</v>
      </c>
      <c r="Q395" s="78"/>
      <c r="R395" s="78">
        <v>55</v>
      </c>
      <c r="S395" s="78">
        <v>5000</v>
      </c>
      <c r="T395" s="78"/>
      <c r="U395" s="78"/>
      <c r="V395" s="78">
        <v>4000</v>
      </c>
      <c r="W395" s="78">
        <v>12000</v>
      </c>
      <c r="X395" s="78"/>
      <c r="Y395" s="78">
        <v>8025</v>
      </c>
      <c r="Z395" s="78">
        <v>4125</v>
      </c>
      <c r="AA395" s="78"/>
      <c r="AB395" s="78">
        <v>2750</v>
      </c>
      <c r="AC395" s="81">
        <v>35955</v>
      </c>
      <c r="AD395" s="78">
        <v>6000</v>
      </c>
      <c r="AE395" s="78"/>
      <c r="AF395" s="78"/>
      <c r="AG395" s="78">
        <v>4400</v>
      </c>
      <c r="AH395" s="78"/>
      <c r="AI395" s="78"/>
      <c r="AJ395" s="78"/>
      <c r="AK395" s="78"/>
      <c r="AL395" s="78"/>
      <c r="AM395" s="78"/>
      <c r="AN395" s="78"/>
      <c r="AO395" s="78"/>
      <c r="AP395" s="81">
        <v>10400</v>
      </c>
      <c r="AQ395" s="78"/>
      <c r="AR395" s="78"/>
      <c r="AS395" s="78"/>
      <c r="AT395" s="78"/>
      <c r="AU395" s="78"/>
      <c r="AV395" s="78"/>
      <c r="AW395" s="78"/>
      <c r="AX395" s="78">
        <v>1075.8696254019296</v>
      </c>
      <c r="AY395" s="78"/>
      <c r="AZ395" s="78"/>
      <c r="BA395" s="78"/>
      <c r="BB395" s="78">
        <v>1078.1625230840259</v>
      </c>
      <c r="BC395" s="84">
        <v>1077.3162485452081</v>
      </c>
      <c r="BD395" s="78"/>
      <c r="BE395" s="78">
        <v>1045.1331077361476</v>
      </c>
      <c r="BF395" s="78">
        <v>1051.203190096807</v>
      </c>
      <c r="BG395" s="78"/>
      <c r="BH395" s="78"/>
      <c r="BI395" s="78">
        <v>1055.7065506125082</v>
      </c>
      <c r="BJ395" s="78">
        <v>1052.0476087374905</v>
      </c>
      <c r="BK395" s="78"/>
      <c r="BL395" s="78">
        <v>1053.2105038233869</v>
      </c>
      <c r="BM395" s="78">
        <v>1093.8997132804279</v>
      </c>
      <c r="BN395" s="78"/>
      <c r="BO395" s="78">
        <v>770.62284231586239</v>
      </c>
      <c r="BP395" s="84">
        <v>1035.8631401903074</v>
      </c>
      <c r="BQ395" s="78">
        <v>1053.3537004998079</v>
      </c>
      <c r="BR395" s="78"/>
      <c r="BS395" s="78"/>
      <c r="BT395" s="78">
        <v>1075.9272727272728</v>
      </c>
      <c r="BU395" s="78"/>
      <c r="BV395" s="78"/>
      <c r="BW395" s="78"/>
      <c r="BX395" s="78"/>
      <c r="BY395" s="78"/>
      <c r="BZ395" s="78"/>
      <c r="CA395" s="78"/>
      <c r="CB395" s="78"/>
      <c r="CC395" s="84">
        <v>1062.9040579806583</v>
      </c>
      <c r="CD395" s="78"/>
      <c r="CE395" s="78"/>
      <c r="CF395" s="78"/>
      <c r="CG395" s="78"/>
      <c r="CH395" s="78"/>
      <c r="CI395" s="78"/>
      <c r="CJ395" s="78"/>
      <c r="CK395" s="78">
        <v>6772.776068376068</v>
      </c>
      <c r="CL395" s="78"/>
      <c r="CM395" s="78"/>
      <c r="CN395" s="78"/>
      <c r="CO395" s="78">
        <v>34031.233500000002</v>
      </c>
      <c r="CP395" s="97">
        <v>23970.541009463723</v>
      </c>
      <c r="CQ395" s="78"/>
      <c r="CR395" s="78">
        <v>34031.236363636366</v>
      </c>
      <c r="CS395" s="78">
        <v>27651.8164</v>
      </c>
      <c r="CT395" s="78"/>
      <c r="CU395" s="78"/>
      <c r="CV395" s="78">
        <v>27664.290499999999</v>
      </c>
      <c r="CW395" s="78">
        <v>27586.278166666667</v>
      </c>
      <c r="CX395" s="78"/>
      <c r="CY395" s="78">
        <v>28355.699314641741</v>
      </c>
      <c r="CZ395" s="78">
        <v>28355.696969696968</v>
      </c>
      <c r="DA395" s="78"/>
      <c r="DB395" s="78">
        <v>35441.836363636365</v>
      </c>
      <c r="DC395" s="97">
        <v>28474.762536503964</v>
      </c>
      <c r="DD395" s="78">
        <v>32267.353500000001</v>
      </c>
      <c r="DE395" s="78"/>
      <c r="DF395" s="78"/>
      <c r="DG395" s="78">
        <v>32267.35275229358</v>
      </c>
      <c r="DH395" s="78"/>
      <c r="DI395" s="78"/>
      <c r="DJ395" s="78"/>
      <c r="DK395" s="78"/>
      <c r="DL395" s="78"/>
      <c r="DM395" s="78"/>
      <c r="DN395" s="78"/>
      <c r="DO395" s="78"/>
      <c r="DP395" s="97">
        <v>32267.353183662668</v>
      </c>
    </row>
    <row r="396" spans="2:120" s="22" customFormat="1" hidden="1" outlineLevel="1" x14ac:dyDescent="0.35">
      <c r="B396" s="25" t="s">
        <v>306</v>
      </c>
      <c r="C396" s="75" t="s">
        <v>52</v>
      </c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>
        <v>2000</v>
      </c>
      <c r="P396" s="80">
        <v>2000</v>
      </c>
      <c r="Q396" s="77"/>
      <c r="R396" s="77"/>
      <c r="S396" s="77"/>
      <c r="T396" s="77"/>
      <c r="U396" s="77">
        <v>0</v>
      </c>
      <c r="V396" s="77"/>
      <c r="W396" s="77"/>
      <c r="X396" s="77"/>
      <c r="Y396" s="77"/>
      <c r="Z396" s="77"/>
      <c r="AA396" s="77">
        <v>1500</v>
      </c>
      <c r="AB396" s="77"/>
      <c r="AC396" s="80">
        <v>1500</v>
      </c>
      <c r="AD396" s="77"/>
      <c r="AE396" s="77"/>
      <c r="AF396" s="77">
        <v>15125</v>
      </c>
      <c r="AG396" s="77"/>
      <c r="AH396" s="77"/>
      <c r="AI396" s="77"/>
      <c r="AJ396" s="77"/>
      <c r="AK396" s="77"/>
      <c r="AL396" s="77"/>
      <c r="AM396" s="77"/>
      <c r="AN396" s="77"/>
      <c r="AO396" s="77"/>
      <c r="AP396" s="80">
        <v>15125</v>
      </c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>
        <v>1399.4669472939931</v>
      </c>
      <c r="BC396" s="83">
        <v>1399.4669472939931</v>
      </c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>
        <v>1396.3132914825458</v>
      </c>
      <c r="BO396" s="77"/>
      <c r="BP396" s="83">
        <v>1396.3132914825458</v>
      </c>
      <c r="BQ396" s="77"/>
      <c r="BR396" s="77"/>
      <c r="BS396" s="77">
        <v>1353.8944981444708</v>
      </c>
      <c r="BT396" s="77"/>
      <c r="BU396" s="77"/>
      <c r="BV396" s="77"/>
      <c r="BW396" s="77"/>
      <c r="BX396" s="77"/>
      <c r="BY396" s="77"/>
      <c r="BZ396" s="77"/>
      <c r="CA396" s="77"/>
      <c r="CB396" s="77"/>
      <c r="CC396" s="83">
        <v>1353.8944981444708</v>
      </c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>
        <v>27168.662250000001</v>
      </c>
      <c r="CP396" s="96">
        <v>27168.662250000001</v>
      </c>
      <c r="CQ396" s="77"/>
      <c r="CR396" s="77"/>
      <c r="CS396" s="77"/>
      <c r="CT396" s="77"/>
      <c r="CU396" s="77"/>
      <c r="CV396" s="77"/>
      <c r="CW396" s="77"/>
      <c r="CX396" s="77"/>
      <c r="CY396" s="77"/>
      <c r="CZ396" s="77"/>
      <c r="DA396" s="77">
        <v>28020.21848</v>
      </c>
      <c r="DB396" s="77"/>
      <c r="DC396" s="96">
        <v>28020.21848</v>
      </c>
      <c r="DD396" s="77"/>
      <c r="DE396" s="77"/>
      <c r="DF396" s="77">
        <v>28021.294483116882</v>
      </c>
      <c r="DG396" s="77"/>
      <c r="DH396" s="77"/>
      <c r="DI396" s="77"/>
      <c r="DJ396" s="77"/>
      <c r="DK396" s="77"/>
      <c r="DL396" s="77"/>
      <c r="DM396" s="77"/>
      <c r="DN396" s="77"/>
      <c r="DO396" s="77"/>
      <c r="DP396" s="96">
        <v>28021.294483116882</v>
      </c>
    </row>
    <row r="397" spans="2:120" s="22" customFormat="1" hidden="1" outlineLevel="1" x14ac:dyDescent="0.35">
      <c r="B397" s="25" t="s">
        <v>306</v>
      </c>
      <c r="C397" s="75" t="s">
        <v>54</v>
      </c>
      <c r="D397" s="77"/>
      <c r="E397" s="77"/>
      <c r="F397" s="77"/>
      <c r="G397" s="77"/>
      <c r="H397" s="77"/>
      <c r="I397" s="77"/>
      <c r="J397" s="77"/>
      <c r="K397" s="77">
        <v>11000</v>
      </c>
      <c r="L397" s="77">
        <v>11000</v>
      </c>
      <c r="M397" s="77">
        <v>22000</v>
      </c>
      <c r="N397" s="77">
        <v>11000</v>
      </c>
      <c r="O397" s="77">
        <v>22000</v>
      </c>
      <c r="P397" s="80">
        <v>77000</v>
      </c>
      <c r="Q397" s="77">
        <v>11000</v>
      </c>
      <c r="R397" s="77">
        <v>24000</v>
      </c>
      <c r="S397" s="77">
        <v>44000</v>
      </c>
      <c r="T397" s="77">
        <v>22000</v>
      </c>
      <c r="U397" s="77">
        <v>11000</v>
      </c>
      <c r="V397" s="77">
        <v>33000</v>
      </c>
      <c r="W397" s="77"/>
      <c r="X397" s="77">
        <v>22000</v>
      </c>
      <c r="Y397" s="77">
        <v>22000</v>
      </c>
      <c r="Z397" s="77">
        <v>11000</v>
      </c>
      <c r="AA397" s="77">
        <v>11000</v>
      </c>
      <c r="AB397" s="77">
        <v>22000</v>
      </c>
      <c r="AC397" s="80">
        <v>233000</v>
      </c>
      <c r="AD397" s="77">
        <v>11000</v>
      </c>
      <c r="AE397" s="77">
        <v>22000</v>
      </c>
      <c r="AF397" s="77">
        <v>33000</v>
      </c>
      <c r="AG397" s="77">
        <v>55000</v>
      </c>
      <c r="AH397" s="77"/>
      <c r="AI397" s="77"/>
      <c r="AJ397" s="77"/>
      <c r="AK397" s="77"/>
      <c r="AL397" s="77"/>
      <c r="AM397" s="77"/>
      <c r="AN397" s="77"/>
      <c r="AO397" s="77"/>
      <c r="AP397" s="80">
        <v>121000</v>
      </c>
      <c r="AQ397" s="77"/>
      <c r="AR397" s="77"/>
      <c r="AS397" s="77"/>
      <c r="AT397" s="77"/>
      <c r="AU397" s="77"/>
      <c r="AV397" s="77"/>
      <c r="AW397" s="77"/>
      <c r="AX397" s="77">
        <v>1409.0437671253171</v>
      </c>
      <c r="AY397" s="77">
        <v>1433.240016178228</v>
      </c>
      <c r="AZ397" s="77">
        <v>1416.2987709030813</v>
      </c>
      <c r="BA397" s="77">
        <v>1393.2675396221334</v>
      </c>
      <c r="BB397" s="77">
        <v>1391.2212636206275</v>
      </c>
      <c r="BC397" s="83">
        <v>1407.2273417104427</v>
      </c>
      <c r="BD397" s="77">
        <v>1389.7974613289557</v>
      </c>
      <c r="BE397" s="77">
        <v>1407.0842790048584</v>
      </c>
      <c r="BF397" s="77">
        <v>1401.416922324617</v>
      </c>
      <c r="BG397" s="77">
        <v>1348.8895790310251</v>
      </c>
      <c r="BH397" s="77">
        <v>1343.2524599058199</v>
      </c>
      <c r="BI397" s="77">
        <v>1336.1997818860627</v>
      </c>
      <c r="BJ397" s="77"/>
      <c r="BK397" s="77">
        <v>1371.5527028385241</v>
      </c>
      <c r="BL397" s="77">
        <v>1367.4959675597784</v>
      </c>
      <c r="BM397" s="77">
        <v>1389.2712517675734</v>
      </c>
      <c r="BN397" s="77">
        <v>1388.3654519417257</v>
      </c>
      <c r="BO397" s="77">
        <v>1391.0771484342388</v>
      </c>
      <c r="BP397" s="83">
        <v>1376.3212519657648</v>
      </c>
      <c r="BQ397" s="77">
        <v>1385.9917821187314</v>
      </c>
      <c r="BR397" s="77">
        <v>1361.2591153846447</v>
      </c>
      <c r="BS397" s="77">
        <v>1345.3276870559205</v>
      </c>
      <c r="BT397" s="77">
        <v>1321.455238095238</v>
      </c>
      <c r="BU397" s="77"/>
      <c r="BV397" s="77"/>
      <c r="BW397" s="77"/>
      <c r="BX397" s="77"/>
      <c r="BY397" s="77"/>
      <c r="BZ397" s="77"/>
      <c r="CA397" s="77"/>
      <c r="CB397" s="77"/>
      <c r="CC397" s="83">
        <v>1341.0699331392702</v>
      </c>
      <c r="CD397" s="77"/>
      <c r="CE397" s="77"/>
      <c r="CF397" s="77"/>
      <c r="CG397" s="77"/>
      <c r="CH397" s="77"/>
      <c r="CI397" s="77"/>
      <c r="CJ397" s="77"/>
      <c r="CK397" s="77">
        <v>27389.540454545455</v>
      </c>
      <c r="CL397" s="77">
        <v>28748.856545454546</v>
      </c>
      <c r="CM397" s="77">
        <v>27943.575227272726</v>
      </c>
      <c r="CN397" s="77">
        <v>27243.497687074829</v>
      </c>
      <c r="CO397" s="77">
        <v>27168.662250000001</v>
      </c>
      <c r="CP397" s="96">
        <v>27658.052805945754</v>
      </c>
      <c r="CQ397" s="77">
        <v>27446.745545454545</v>
      </c>
      <c r="CR397" s="77">
        <v>28201.394541666661</v>
      </c>
      <c r="CS397" s="77">
        <v>28243.987431818183</v>
      </c>
      <c r="CT397" s="77">
        <v>28253.805454545454</v>
      </c>
      <c r="CU397" s="77">
        <v>28216.093000000001</v>
      </c>
      <c r="CV397" s="77">
        <v>28180.267424242425</v>
      </c>
      <c r="CW397" s="77"/>
      <c r="CX397" s="77">
        <v>28036.464499999998</v>
      </c>
      <c r="CY397" s="77">
        <v>28086.475136363635</v>
      </c>
      <c r="CZ397" s="77">
        <v>28020.218363636362</v>
      </c>
      <c r="DA397" s="77">
        <v>28020.218479999996</v>
      </c>
      <c r="DB397" s="77">
        <v>28020.218454545455</v>
      </c>
      <c r="DC397" s="96">
        <v>28115.823898197425</v>
      </c>
      <c r="DD397" s="77">
        <v>28020.218545454547</v>
      </c>
      <c r="DE397" s="77">
        <v>28020.218454545455</v>
      </c>
      <c r="DF397" s="77">
        <v>28021.294483116882</v>
      </c>
      <c r="DG397" s="77">
        <v>28021.294491686775</v>
      </c>
      <c r="DH397" s="77"/>
      <c r="DI397" s="77"/>
      <c r="DJ397" s="77"/>
      <c r="DK397" s="77"/>
      <c r="DL397" s="77"/>
      <c r="DM397" s="77"/>
      <c r="DN397" s="77"/>
      <c r="DO397" s="77"/>
      <c r="DP397" s="96">
        <v>28021.001032939083</v>
      </c>
    </row>
    <row r="398" spans="2:120" s="22" customFormat="1" hidden="1" outlineLevel="1" x14ac:dyDescent="0.35">
      <c r="B398" s="25" t="s">
        <v>306</v>
      </c>
      <c r="C398" s="75" t="s">
        <v>46</v>
      </c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>
        <v>25</v>
      </c>
      <c r="O398" s="77"/>
      <c r="P398" s="80">
        <v>25</v>
      </c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80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80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>
        <v>1366.8147510642539</v>
      </c>
      <c r="BB398" s="77"/>
      <c r="BC398" s="83">
        <v>1366.8147510642539</v>
      </c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83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83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>
        <v>27243.497687074832</v>
      </c>
      <c r="CO398" s="77"/>
      <c r="CP398" s="96">
        <v>27243.497687074832</v>
      </c>
      <c r="CQ398" s="77"/>
      <c r="CR398" s="77"/>
      <c r="CS398" s="77"/>
      <c r="CT398" s="77"/>
      <c r="CU398" s="77"/>
      <c r="CV398" s="77"/>
      <c r="CW398" s="77"/>
      <c r="CX398" s="77"/>
      <c r="CY398" s="77"/>
      <c r="CZ398" s="77"/>
      <c r="DA398" s="77"/>
      <c r="DB398" s="77"/>
      <c r="DC398" s="96"/>
      <c r="DD398" s="77"/>
      <c r="DE398" s="77"/>
      <c r="DF398" s="77"/>
      <c r="DG398" s="77"/>
      <c r="DH398" s="77"/>
      <c r="DI398" s="77"/>
      <c r="DJ398" s="77"/>
      <c r="DK398" s="77"/>
      <c r="DL398" s="77"/>
      <c r="DM398" s="77"/>
      <c r="DN398" s="77"/>
      <c r="DO398" s="77"/>
      <c r="DP398" s="96"/>
    </row>
    <row r="399" spans="2:120" s="22" customFormat="1" hidden="1" collapsed="1" x14ac:dyDescent="0.35">
      <c r="B399" s="106" t="s">
        <v>307</v>
      </c>
      <c r="C399" s="76"/>
      <c r="D399" s="78"/>
      <c r="E399" s="78"/>
      <c r="F399" s="78"/>
      <c r="G399" s="78"/>
      <c r="H399" s="78"/>
      <c r="I399" s="78"/>
      <c r="J399" s="78"/>
      <c r="K399" s="78">
        <v>11000</v>
      </c>
      <c r="L399" s="78">
        <v>11000</v>
      </c>
      <c r="M399" s="78">
        <v>22000</v>
      </c>
      <c r="N399" s="78">
        <v>11025</v>
      </c>
      <c r="O399" s="78">
        <v>24000</v>
      </c>
      <c r="P399" s="81">
        <v>79025</v>
      </c>
      <c r="Q399" s="78">
        <v>11000</v>
      </c>
      <c r="R399" s="78">
        <v>24000</v>
      </c>
      <c r="S399" s="78">
        <v>44000</v>
      </c>
      <c r="T399" s="78">
        <v>22000</v>
      </c>
      <c r="U399" s="78">
        <v>11000</v>
      </c>
      <c r="V399" s="78">
        <v>33000</v>
      </c>
      <c r="W399" s="78"/>
      <c r="X399" s="78">
        <v>22000</v>
      </c>
      <c r="Y399" s="78">
        <v>22000</v>
      </c>
      <c r="Z399" s="78">
        <v>11000</v>
      </c>
      <c r="AA399" s="78">
        <v>12500</v>
      </c>
      <c r="AB399" s="78">
        <v>22000</v>
      </c>
      <c r="AC399" s="81">
        <v>234500</v>
      </c>
      <c r="AD399" s="78">
        <v>11000</v>
      </c>
      <c r="AE399" s="78">
        <v>22000</v>
      </c>
      <c r="AF399" s="78">
        <v>48125</v>
      </c>
      <c r="AG399" s="78">
        <v>55000</v>
      </c>
      <c r="AH399" s="78"/>
      <c r="AI399" s="78"/>
      <c r="AJ399" s="78"/>
      <c r="AK399" s="78"/>
      <c r="AL399" s="78"/>
      <c r="AM399" s="78"/>
      <c r="AN399" s="78"/>
      <c r="AO399" s="78"/>
      <c r="AP399" s="81">
        <v>136125</v>
      </c>
      <c r="AQ399" s="78"/>
      <c r="AR399" s="78"/>
      <c r="AS399" s="78"/>
      <c r="AT399" s="78"/>
      <c r="AU399" s="78"/>
      <c r="AV399" s="78"/>
      <c r="AW399" s="78"/>
      <c r="AX399" s="78">
        <v>1409.0437671253171</v>
      </c>
      <c r="AY399" s="78">
        <v>1433.240016178228</v>
      </c>
      <c r="AZ399" s="78">
        <v>1416.2987709030813</v>
      </c>
      <c r="BA399" s="78">
        <v>1393.2075559746102</v>
      </c>
      <c r="BB399" s="78">
        <v>1391.9084039267414</v>
      </c>
      <c r="BC399" s="84">
        <v>1407.0181534333271</v>
      </c>
      <c r="BD399" s="78">
        <v>1389.7974613289557</v>
      </c>
      <c r="BE399" s="78">
        <v>1407.0842790048584</v>
      </c>
      <c r="BF399" s="78">
        <v>1401.416922324617</v>
      </c>
      <c r="BG399" s="78">
        <v>1348.8895790310251</v>
      </c>
      <c r="BH399" s="78">
        <v>1343.2524599058199</v>
      </c>
      <c r="BI399" s="78">
        <v>1336.1997818860627</v>
      </c>
      <c r="BJ399" s="78"/>
      <c r="BK399" s="78">
        <v>1371.5527028385241</v>
      </c>
      <c r="BL399" s="78">
        <v>1367.4959675597784</v>
      </c>
      <c r="BM399" s="78">
        <v>1389.2712517675734</v>
      </c>
      <c r="BN399" s="78">
        <v>1389.3191926866239</v>
      </c>
      <c r="BO399" s="78">
        <v>1391.0771484342388</v>
      </c>
      <c r="BP399" s="84">
        <v>1376.4491328155523</v>
      </c>
      <c r="BQ399" s="78">
        <v>1385.9917821187314</v>
      </c>
      <c r="BR399" s="78">
        <v>1361.2591153846447</v>
      </c>
      <c r="BS399" s="78">
        <v>1348.0201133980365</v>
      </c>
      <c r="BT399" s="78">
        <v>1321.455238095238</v>
      </c>
      <c r="BU399" s="78"/>
      <c r="BV399" s="78"/>
      <c r="BW399" s="78"/>
      <c r="BX399" s="78"/>
      <c r="BY399" s="78"/>
      <c r="BZ399" s="78"/>
      <c r="CA399" s="78"/>
      <c r="CB399" s="78"/>
      <c r="CC399" s="84">
        <v>1342.4948848065148</v>
      </c>
      <c r="CD399" s="78"/>
      <c r="CE399" s="78"/>
      <c r="CF399" s="78"/>
      <c r="CG399" s="78"/>
      <c r="CH399" s="78"/>
      <c r="CI399" s="78"/>
      <c r="CJ399" s="78"/>
      <c r="CK399" s="78">
        <v>27389.540454545455</v>
      </c>
      <c r="CL399" s="78">
        <v>28748.856545454546</v>
      </c>
      <c r="CM399" s="78">
        <v>27943.575227272726</v>
      </c>
      <c r="CN399" s="78">
        <v>27243.497687074829</v>
      </c>
      <c r="CO399" s="78">
        <v>27168.662250000001</v>
      </c>
      <c r="CP399" s="97">
        <v>27645.535944321418</v>
      </c>
      <c r="CQ399" s="78">
        <v>27446.745545454545</v>
      </c>
      <c r="CR399" s="78">
        <v>28201.394541666661</v>
      </c>
      <c r="CS399" s="78">
        <v>28243.987431818183</v>
      </c>
      <c r="CT399" s="78">
        <v>28253.805454545454</v>
      </c>
      <c r="CU399" s="78">
        <v>28216.093000000001</v>
      </c>
      <c r="CV399" s="78">
        <v>28180.267424242425</v>
      </c>
      <c r="CW399" s="78"/>
      <c r="CX399" s="78">
        <v>28036.464499999998</v>
      </c>
      <c r="CY399" s="78">
        <v>28086.475136363635</v>
      </c>
      <c r="CZ399" s="78">
        <v>28020.218363636362</v>
      </c>
      <c r="DA399" s="78">
        <v>28020.21848</v>
      </c>
      <c r="DB399" s="78">
        <v>28020.218454545455</v>
      </c>
      <c r="DC399" s="97">
        <v>28115.212349680172</v>
      </c>
      <c r="DD399" s="78">
        <v>28020.218545454547</v>
      </c>
      <c r="DE399" s="78">
        <v>28020.218454545455</v>
      </c>
      <c r="DF399" s="78">
        <v>28021.294483116882</v>
      </c>
      <c r="DG399" s="78">
        <v>28021.294491686775</v>
      </c>
      <c r="DH399" s="78"/>
      <c r="DI399" s="78"/>
      <c r="DJ399" s="78"/>
      <c r="DK399" s="78"/>
      <c r="DL399" s="78"/>
      <c r="DM399" s="78"/>
      <c r="DN399" s="78"/>
      <c r="DO399" s="78"/>
      <c r="DP399" s="97">
        <v>28021.033638514393</v>
      </c>
    </row>
    <row r="400" spans="2:120" s="22" customFormat="1" hidden="1" outlineLevel="1" x14ac:dyDescent="0.35">
      <c r="B400" s="25" t="s">
        <v>308</v>
      </c>
      <c r="C400" s="75" t="s">
        <v>5</v>
      </c>
      <c r="D400" s="77"/>
      <c r="E400" s="77"/>
      <c r="F400" s="77"/>
      <c r="G400" s="77"/>
      <c r="H400" s="77"/>
      <c r="I400" s="77"/>
      <c r="J400" s="77"/>
      <c r="K400" s="77"/>
      <c r="L400" s="77"/>
      <c r="M400" s="77">
        <v>16500</v>
      </c>
      <c r="N400" s="77">
        <v>22000</v>
      </c>
      <c r="O400" s="77"/>
      <c r="P400" s="80">
        <v>38500</v>
      </c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80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80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>
        <v>901.85566515178209</v>
      </c>
      <c r="BA400" s="77">
        <v>877.26546331345423</v>
      </c>
      <c r="BB400" s="77"/>
      <c r="BC400" s="83">
        <v>887.80412124416614</v>
      </c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83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83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>
        <v>39295.747776096825</v>
      </c>
      <c r="CN400" s="77">
        <v>39135.052499999998</v>
      </c>
      <c r="CO400" s="77"/>
      <c r="CP400" s="96">
        <v>39203.921904041497</v>
      </c>
      <c r="CQ400" s="77"/>
      <c r="CR400" s="77"/>
      <c r="CS400" s="77"/>
      <c r="CT400" s="77"/>
      <c r="CU400" s="77"/>
      <c r="CV400" s="77"/>
      <c r="CW400" s="77"/>
      <c r="CX400" s="77"/>
      <c r="CY400" s="77"/>
      <c r="CZ400" s="77"/>
      <c r="DA400" s="77"/>
      <c r="DB400" s="77"/>
      <c r="DC400" s="96"/>
      <c r="DD400" s="77"/>
      <c r="DE400" s="77"/>
      <c r="DF400" s="77"/>
      <c r="DG400" s="77"/>
      <c r="DH400" s="77"/>
      <c r="DI400" s="77"/>
      <c r="DJ400" s="77"/>
      <c r="DK400" s="77"/>
      <c r="DL400" s="77"/>
      <c r="DM400" s="77"/>
      <c r="DN400" s="77"/>
      <c r="DO400" s="77"/>
      <c r="DP400" s="96"/>
    </row>
    <row r="401" spans="1:120" s="22" customFormat="1" hidden="1" outlineLevel="1" x14ac:dyDescent="0.35">
      <c r="B401" s="25" t="s">
        <v>308</v>
      </c>
      <c r="C401" s="75" t="s">
        <v>196</v>
      </c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80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80"/>
      <c r="AD401" s="77"/>
      <c r="AE401" s="77"/>
      <c r="AF401" s="77"/>
      <c r="AG401" s="77">
        <v>25</v>
      </c>
      <c r="AH401" s="77"/>
      <c r="AI401" s="77"/>
      <c r="AJ401" s="77"/>
      <c r="AK401" s="77"/>
      <c r="AL401" s="77"/>
      <c r="AM401" s="77"/>
      <c r="AN401" s="77"/>
      <c r="AO401" s="77"/>
      <c r="AP401" s="80">
        <v>25</v>
      </c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83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83"/>
      <c r="BQ401" s="77"/>
      <c r="BR401" s="77"/>
      <c r="BS401" s="77"/>
      <c r="BT401" s="77">
        <v>1194.9866666666667</v>
      </c>
      <c r="BU401" s="77"/>
      <c r="BV401" s="77"/>
      <c r="BW401" s="77"/>
      <c r="BX401" s="77"/>
      <c r="BY401" s="77"/>
      <c r="BZ401" s="77"/>
      <c r="CA401" s="77"/>
      <c r="CB401" s="77"/>
      <c r="CC401" s="83">
        <v>1194.9866666666667</v>
      </c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96"/>
      <c r="CQ401" s="77"/>
      <c r="CR401" s="77"/>
      <c r="CS401" s="77"/>
      <c r="CT401" s="77"/>
      <c r="CU401" s="77"/>
      <c r="CV401" s="77"/>
      <c r="CW401" s="77"/>
      <c r="CX401" s="77"/>
      <c r="CY401" s="77"/>
      <c r="CZ401" s="77"/>
      <c r="DA401" s="77"/>
      <c r="DB401" s="77"/>
      <c r="DC401" s="96"/>
      <c r="DD401" s="77"/>
      <c r="DE401" s="77"/>
      <c r="DF401" s="77"/>
      <c r="DG401" s="77">
        <v>36121.872646733107</v>
      </c>
      <c r="DH401" s="77"/>
      <c r="DI401" s="77"/>
      <c r="DJ401" s="77"/>
      <c r="DK401" s="77"/>
      <c r="DL401" s="77"/>
      <c r="DM401" s="77"/>
      <c r="DN401" s="77"/>
      <c r="DO401" s="77"/>
      <c r="DP401" s="96">
        <v>36121.872646733107</v>
      </c>
    </row>
    <row r="402" spans="1:120" s="22" customFormat="1" hidden="1" outlineLevel="1" x14ac:dyDescent="0.35">
      <c r="B402" s="25" t="s">
        <v>308</v>
      </c>
      <c r="C402" s="75" t="s">
        <v>309</v>
      </c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80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80"/>
      <c r="AD402" s="77"/>
      <c r="AE402" s="77"/>
      <c r="AF402" s="77">
        <v>25</v>
      </c>
      <c r="AG402" s="77"/>
      <c r="AH402" s="77"/>
      <c r="AI402" s="77"/>
      <c r="AJ402" s="77"/>
      <c r="AK402" s="77"/>
      <c r="AL402" s="77"/>
      <c r="AM402" s="77"/>
      <c r="AN402" s="77"/>
      <c r="AO402" s="77"/>
      <c r="AP402" s="80">
        <v>25</v>
      </c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83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83"/>
      <c r="BQ402" s="77"/>
      <c r="BR402" s="77"/>
      <c r="BS402" s="77">
        <v>1196.1222551863364</v>
      </c>
      <c r="BT402" s="77"/>
      <c r="BU402" s="77"/>
      <c r="BV402" s="77"/>
      <c r="BW402" s="77"/>
      <c r="BX402" s="77"/>
      <c r="BY402" s="77"/>
      <c r="BZ402" s="77"/>
      <c r="CA402" s="77"/>
      <c r="CB402" s="77"/>
      <c r="CC402" s="83">
        <v>1196.1222551863364</v>
      </c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96"/>
      <c r="CQ402" s="77"/>
      <c r="CR402" s="77"/>
      <c r="CS402" s="77"/>
      <c r="CT402" s="77"/>
      <c r="CU402" s="77"/>
      <c r="CV402" s="77"/>
      <c r="CW402" s="77"/>
      <c r="CX402" s="77"/>
      <c r="CY402" s="77"/>
      <c r="CZ402" s="77"/>
      <c r="DA402" s="77"/>
      <c r="DB402" s="77"/>
      <c r="DC402" s="96"/>
      <c r="DD402" s="77"/>
      <c r="DE402" s="77"/>
      <c r="DF402" s="77">
        <v>36121.919999999998</v>
      </c>
      <c r="DG402" s="77"/>
      <c r="DH402" s="77"/>
      <c r="DI402" s="77"/>
      <c r="DJ402" s="77"/>
      <c r="DK402" s="77"/>
      <c r="DL402" s="77"/>
      <c r="DM402" s="77"/>
      <c r="DN402" s="77"/>
      <c r="DO402" s="77"/>
      <c r="DP402" s="96">
        <v>36121.919999999998</v>
      </c>
    </row>
    <row r="403" spans="1:120" s="22" customFormat="1" hidden="1" outlineLevel="1" x14ac:dyDescent="0.35">
      <c r="B403" s="25" t="s">
        <v>308</v>
      </c>
      <c r="C403" s="75" t="s">
        <v>192</v>
      </c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80"/>
      <c r="Q403" s="77"/>
      <c r="R403" s="77">
        <v>5</v>
      </c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80">
        <v>5</v>
      </c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80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83"/>
      <c r="BD403" s="77"/>
      <c r="BE403" s="77">
        <v>830.95528287688489</v>
      </c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83">
        <v>830.95528287688489</v>
      </c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83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96"/>
      <c r="CQ403" s="77"/>
      <c r="CR403" s="77">
        <v>39135</v>
      </c>
      <c r="CS403" s="77"/>
      <c r="CT403" s="77"/>
      <c r="CU403" s="77"/>
      <c r="CV403" s="77"/>
      <c r="CW403" s="77"/>
      <c r="CX403" s="77"/>
      <c r="CY403" s="77"/>
      <c r="CZ403" s="77"/>
      <c r="DA403" s="77"/>
      <c r="DB403" s="77"/>
      <c r="DC403" s="96">
        <v>39135</v>
      </c>
      <c r="DD403" s="77"/>
      <c r="DE403" s="77"/>
      <c r="DF403" s="77"/>
      <c r="DG403" s="77"/>
      <c r="DH403" s="77"/>
      <c r="DI403" s="77"/>
      <c r="DJ403" s="77"/>
      <c r="DK403" s="77"/>
      <c r="DL403" s="77"/>
      <c r="DM403" s="77"/>
      <c r="DN403" s="77"/>
      <c r="DO403" s="77"/>
      <c r="DP403" s="96"/>
    </row>
    <row r="404" spans="1:120" s="22" customFormat="1" hidden="1" outlineLevel="1" x14ac:dyDescent="0.35">
      <c r="B404" s="25" t="s">
        <v>308</v>
      </c>
      <c r="C404" s="75" t="s">
        <v>310</v>
      </c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80"/>
      <c r="Q404" s="77"/>
      <c r="R404" s="77"/>
      <c r="S404" s="77"/>
      <c r="T404" s="77"/>
      <c r="U404" s="77"/>
      <c r="V404" s="77"/>
      <c r="W404" s="77">
        <v>100</v>
      </c>
      <c r="X404" s="77"/>
      <c r="Y404" s="77"/>
      <c r="Z404" s="77"/>
      <c r="AA404" s="77"/>
      <c r="AB404" s="77"/>
      <c r="AC404" s="80">
        <v>100</v>
      </c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80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83"/>
      <c r="BD404" s="77"/>
      <c r="BE404" s="77"/>
      <c r="BF404" s="77"/>
      <c r="BG404" s="77"/>
      <c r="BH404" s="77"/>
      <c r="BI404" s="77"/>
      <c r="BJ404" s="77">
        <v>808.0634720945128</v>
      </c>
      <c r="BK404" s="77"/>
      <c r="BL404" s="77"/>
      <c r="BM404" s="77"/>
      <c r="BN404" s="77"/>
      <c r="BO404" s="77"/>
      <c r="BP404" s="83">
        <v>808.0634720945128</v>
      </c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83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96"/>
      <c r="CQ404" s="77"/>
      <c r="CR404" s="77"/>
      <c r="CS404" s="77"/>
      <c r="CT404" s="77"/>
      <c r="CU404" s="77"/>
      <c r="CV404" s="77"/>
      <c r="CW404" s="77">
        <v>36122.68</v>
      </c>
      <c r="CX404" s="77"/>
      <c r="CY404" s="77"/>
      <c r="CZ404" s="77"/>
      <c r="DA404" s="77"/>
      <c r="DB404" s="77"/>
      <c r="DC404" s="96">
        <v>36122.68</v>
      </c>
      <c r="DD404" s="77"/>
      <c r="DE404" s="77"/>
      <c r="DF404" s="77"/>
      <c r="DG404" s="77"/>
      <c r="DH404" s="77"/>
      <c r="DI404" s="77"/>
      <c r="DJ404" s="77"/>
      <c r="DK404" s="77"/>
      <c r="DL404" s="77"/>
      <c r="DM404" s="77"/>
      <c r="DN404" s="77"/>
      <c r="DO404" s="77"/>
      <c r="DP404" s="96"/>
    </row>
    <row r="405" spans="1:120" s="22" customFormat="1" hidden="1" outlineLevel="1" x14ac:dyDescent="0.35">
      <c r="B405" s="25" t="s">
        <v>308</v>
      </c>
      <c r="C405" s="75" t="s">
        <v>25</v>
      </c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80"/>
      <c r="Q405" s="77"/>
      <c r="R405" s="77"/>
      <c r="S405" s="77"/>
      <c r="T405" s="77"/>
      <c r="U405" s="77"/>
      <c r="V405" s="77"/>
      <c r="W405" s="77"/>
      <c r="X405" s="77"/>
      <c r="Y405" s="77"/>
      <c r="Z405" s="77">
        <v>25</v>
      </c>
      <c r="AA405" s="77"/>
      <c r="AB405" s="77"/>
      <c r="AC405" s="80">
        <v>25</v>
      </c>
      <c r="AD405" s="77">
        <v>25</v>
      </c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80">
        <v>25</v>
      </c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83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>
        <v>765.68975523903657</v>
      </c>
      <c r="BN405" s="77"/>
      <c r="BO405" s="77"/>
      <c r="BP405" s="83">
        <v>765.68975523903657</v>
      </c>
      <c r="BQ405" s="77">
        <v>724.08245279972766</v>
      </c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83">
        <v>724.08245279972766</v>
      </c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96"/>
      <c r="CQ405" s="77"/>
      <c r="CR405" s="77"/>
      <c r="CS405" s="77"/>
      <c r="CT405" s="77"/>
      <c r="CU405" s="77"/>
      <c r="CV405" s="77"/>
      <c r="CW405" s="77"/>
      <c r="CX405" s="77"/>
      <c r="CY405" s="77"/>
      <c r="CZ405" s="77">
        <v>36122.675555555557</v>
      </c>
      <c r="DA405" s="77"/>
      <c r="DB405" s="77"/>
      <c r="DC405" s="96">
        <v>36122.675555555557</v>
      </c>
      <c r="DD405" s="77">
        <v>36121.879999999997</v>
      </c>
      <c r="DE405" s="77"/>
      <c r="DF405" s="77"/>
      <c r="DG405" s="77"/>
      <c r="DH405" s="77"/>
      <c r="DI405" s="77"/>
      <c r="DJ405" s="77"/>
      <c r="DK405" s="77"/>
      <c r="DL405" s="77"/>
      <c r="DM405" s="77"/>
      <c r="DN405" s="77"/>
      <c r="DO405" s="77"/>
      <c r="DP405" s="96">
        <v>36121.879999999997</v>
      </c>
    </row>
    <row r="406" spans="1:120" s="22" customFormat="1" hidden="1" outlineLevel="1" x14ac:dyDescent="0.35">
      <c r="B406" s="25" t="s">
        <v>308</v>
      </c>
      <c r="C406" s="75" t="s">
        <v>311</v>
      </c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80"/>
      <c r="Q406" s="77"/>
      <c r="R406" s="77"/>
      <c r="S406" s="77"/>
      <c r="T406" s="77"/>
      <c r="U406" s="77"/>
      <c r="V406" s="77"/>
      <c r="W406" s="77"/>
      <c r="X406" s="77">
        <v>50</v>
      </c>
      <c r="Y406" s="77"/>
      <c r="Z406" s="77"/>
      <c r="AA406" s="77"/>
      <c r="AB406" s="77"/>
      <c r="AC406" s="80">
        <v>50</v>
      </c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80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83"/>
      <c r="BD406" s="77"/>
      <c r="BE406" s="77"/>
      <c r="BF406" s="77"/>
      <c r="BG406" s="77"/>
      <c r="BH406" s="77"/>
      <c r="BI406" s="77"/>
      <c r="BJ406" s="77"/>
      <c r="BK406" s="77">
        <v>1356.1415167645471</v>
      </c>
      <c r="BL406" s="77"/>
      <c r="BM406" s="77"/>
      <c r="BN406" s="77"/>
      <c r="BO406" s="77"/>
      <c r="BP406" s="83">
        <v>1356.1415167645471</v>
      </c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83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96"/>
      <c r="CQ406" s="77"/>
      <c r="CR406" s="77"/>
      <c r="CS406" s="77"/>
      <c r="CT406" s="77"/>
      <c r="CU406" s="77"/>
      <c r="CV406" s="77"/>
      <c r="CW406" s="77"/>
      <c r="CX406" s="77">
        <v>36122.68</v>
      </c>
      <c r="CY406" s="77"/>
      <c r="CZ406" s="77"/>
      <c r="DA406" s="77"/>
      <c r="DB406" s="77"/>
      <c r="DC406" s="96">
        <v>36122.68</v>
      </c>
      <c r="DD406" s="77"/>
      <c r="DE406" s="77"/>
      <c r="DF406" s="77"/>
      <c r="DG406" s="77"/>
      <c r="DH406" s="77"/>
      <c r="DI406" s="77"/>
      <c r="DJ406" s="77"/>
      <c r="DK406" s="77"/>
      <c r="DL406" s="77"/>
      <c r="DM406" s="77"/>
      <c r="DN406" s="77"/>
      <c r="DO406" s="77"/>
      <c r="DP406" s="96"/>
    </row>
    <row r="407" spans="1:120" s="22" customFormat="1" hidden="1" outlineLevel="1" x14ac:dyDescent="0.35">
      <c r="B407" s="25" t="s">
        <v>308</v>
      </c>
      <c r="C407" s="75" t="s">
        <v>312</v>
      </c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80"/>
      <c r="Q407" s="77"/>
      <c r="R407" s="77"/>
      <c r="S407" s="77"/>
      <c r="T407" s="77"/>
      <c r="U407" s="77"/>
      <c r="V407" s="77"/>
      <c r="W407" s="77"/>
      <c r="X407" s="77"/>
      <c r="Y407" s="77"/>
      <c r="Z407" s="77">
        <v>200</v>
      </c>
      <c r="AA407" s="77"/>
      <c r="AB407" s="77"/>
      <c r="AC407" s="80">
        <v>200</v>
      </c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80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83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>
        <v>802.40954438942902</v>
      </c>
      <c r="BN407" s="77"/>
      <c r="BO407" s="77"/>
      <c r="BP407" s="83">
        <v>802.40954438942902</v>
      </c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83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96"/>
      <c r="CQ407" s="77"/>
      <c r="CR407" s="77"/>
      <c r="CS407" s="77"/>
      <c r="CT407" s="77"/>
      <c r="CU407" s="77"/>
      <c r="CV407" s="77"/>
      <c r="CW407" s="77"/>
      <c r="CX407" s="77"/>
      <c r="CY407" s="77"/>
      <c r="CZ407" s="77">
        <v>36122.675555555557</v>
      </c>
      <c r="DA407" s="77"/>
      <c r="DB407" s="77"/>
      <c r="DC407" s="96">
        <v>36122.675555555557</v>
      </c>
      <c r="DD407" s="77"/>
      <c r="DE407" s="77"/>
      <c r="DF407" s="77"/>
      <c r="DG407" s="77"/>
      <c r="DH407" s="77"/>
      <c r="DI407" s="77"/>
      <c r="DJ407" s="77"/>
      <c r="DK407" s="77"/>
      <c r="DL407" s="77"/>
      <c r="DM407" s="77"/>
      <c r="DN407" s="77"/>
      <c r="DO407" s="77"/>
      <c r="DP407" s="96"/>
    </row>
    <row r="408" spans="1:120" s="22" customFormat="1" hidden="1" outlineLevel="1" x14ac:dyDescent="0.35">
      <c r="B408" s="25" t="s">
        <v>308</v>
      </c>
      <c r="C408" s="75" t="s">
        <v>313</v>
      </c>
      <c r="D408" s="77"/>
      <c r="E408" s="77"/>
      <c r="F408" s="77"/>
      <c r="G408" s="77"/>
      <c r="H408" s="77"/>
      <c r="I408" s="77"/>
      <c r="J408" s="77"/>
      <c r="K408" s="77"/>
      <c r="L408" s="77"/>
      <c r="M408" s="77">
        <v>25</v>
      </c>
      <c r="N408" s="77"/>
      <c r="O408" s="77"/>
      <c r="P408" s="80">
        <v>25</v>
      </c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80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80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>
        <v>910.78334364109924</v>
      </c>
      <c r="BA408" s="77"/>
      <c r="BB408" s="77"/>
      <c r="BC408" s="83">
        <v>910.78334364109924</v>
      </c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83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83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>
        <v>39295.747776096825</v>
      </c>
      <c r="CN408" s="77"/>
      <c r="CO408" s="77"/>
      <c r="CP408" s="96">
        <v>39295.747776096825</v>
      </c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96"/>
      <c r="DD408" s="77"/>
      <c r="DE408" s="77"/>
      <c r="DF408" s="77"/>
      <c r="DG408" s="77"/>
      <c r="DH408" s="77"/>
      <c r="DI408" s="77"/>
      <c r="DJ408" s="77"/>
      <c r="DK408" s="77"/>
      <c r="DL408" s="77"/>
      <c r="DM408" s="77"/>
      <c r="DN408" s="77"/>
      <c r="DO408" s="77"/>
      <c r="DP408" s="96"/>
    </row>
    <row r="409" spans="1:120" hidden="1" collapsed="1" x14ac:dyDescent="0.35">
      <c r="B409" s="106" t="s">
        <v>314</v>
      </c>
      <c r="C409" s="76"/>
      <c r="D409" s="78"/>
      <c r="E409" s="78"/>
      <c r="F409" s="78"/>
      <c r="G409" s="78"/>
      <c r="H409" s="78"/>
      <c r="I409" s="78"/>
      <c r="J409" s="78"/>
      <c r="K409" s="78"/>
      <c r="L409" s="78"/>
      <c r="M409" s="78">
        <v>16525</v>
      </c>
      <c r="N409" s="78">
        <v>22000</v>
      </c>
      <c r="O409" s="78"/>
      <c r="P409" s="81">
        <v>38525</v>
      </c>
      <c r="Q409" s="78"/>
      <c r="R409" s="78">
        <v>5</v>
      </c>
      <c r="S409" s="78"/>
      <c r="T409" s="78"/>
      <c r="U409" s="78"/>
      <c r="V409" s="78"/>
      <c r="W409" s="78">
        <v>100</v>
      </c>
      <c r="X409" s="78">
        <v>50</v>
      </c>
      <c r="Y409" s="78"/>
      <c r="Z409" s="78">
        <v>225</v>
      </c>
      <c r="AA409" s="78"/>
      <c r="AB409" s="78"/>
      <c r="AC409" s="81">
        <v>380</v>
      </c>
      <c r="AD409" s="78">
        <v>25</v>
      </c>
      <c r="AE409" s="78"/>
      <c r="AF409" s="78">
        <v>25</v>
      </c>
      <c r="AG409" s="78">
        <v>25</v>
      </c>
      <c r="AH409" s="78"/>
      <c r="AI409" s="78"/>
      <c r="AJ409" s="78"/>
      <c r="AK409" s="78"/>
      <c r="AL409" s="78"/>
      <c r="AM409" s="78"/>
      <c r="AN409" s="78"/>
      <c r="AO409" s="78"/>
      <c r="AP409" s="81">
        <v>75</v>
      </c>
      <c r="AQ409" s="78"/>
      <c r="AR409" s="78"/>
      <c r="AS409" s="78"/>
      <c r="AT409" s="78"/>
      <c r="AU409" s="78"/>
      <c r="AV409" s="78"/>
      <c r="AW409" s="78"/>
      <c r="AX409" s="78"/>
      <c r="AY409" s="78"/>
      <c r="AZ409" s="78">
        <v>901.86917147324857</v>
      </c>
      <c r="BA409" s="78">
        <v>877.26546331345423</v>
      </c>
      <c r="BB409" s="78"/>
      <c r="BC409" s="84">
        <v>887.81903313410578</v>
      </c>
      <c r="BD409" s="78"/>
      <c r="BE409" s="78">
        <v>830.95528287688489</v>
      </c>
      <c r="BF409" s="78"/>
      <c r="BG409" s="78"/>
      <c r="BH409" s="78"/>
      <c r="BI409" s="78"/>
      <c r="BJ409" s="78">
        <v>808.0634720945128</v>
      </c>
      <c r="BK409" s="78">
        <v>1356.1415167645471</v>
      </c>
      <c r="BL409" s="78"/>
      <c r="BM409" s="78">
        <v>798.32956781716325</v>
      </c>
      <c r="BN409" s="78"/>
      <c r="BO409" s="78"/>
      <c r="BP409" s="84">
        <v>874.71671637085456</v>
      </c>
      <c r="BQ409" s="78">
        <v>724.08245279972766</v>
      </c>
      <c r="BR409" s="78"/>
      <c r="BS409" s="78">
        <v>1196.1222551863364</v>
      </c>
      <c r="BT409" s="78">
        <v>1194.9866666666667</v>
      </c>
      <c r="BU409" s="78"/>
      <c r="BV409" s="78"/>
      <c r="BW409" s="78"/>
      <c r="BX409" s="78"/>
      <c r="BY409" s="78"/>
      <c r="BZ409" s="78"/>
      <c r="CA409" s="78"/>
      <c r="CB409" s="78"/>
      <c r="CC409" s="84">
        <v>1038.3971248842436</v>
      </c>
      <c r="CD409" s="78"/>
      <c r="CE409" s="78"/>
      <c r="CF409" s="78"/>
      <c r="CG409" s="78"/>
      <c r="CH409" s="78"/>
      <c r="CI409" s="78"/>
      <c r="CJ409" s="78"/>
      <c r="CK409" s="78"/>
      <c r="CL409" s="78"/>
      <c r="CM409" s="78">
        <v>39295.747776096825</v>
      </c>
      <c r="CN409" s="78">
        <v>39135.052499999998</v>
      </c>
      <c r="CO409" s="78"/>
      <c r="CP409" s="97">
        <v>39203.981492537314</v>
      </c>
      <c r="CQ409" s="78"/>
      <c r="CR409" s="78">
        <v>39135</v>
      </c>
      <c r="CS409" s="78"/>
      <c r="CT409" s="78"/>
      <c r="CU409" s="78"/>
      <c r="CV409" s="78"/>
      <c r="CW409" s="78">
        <v>36122.68</v>
      </c>
      <c r="CX409" s="78">
        <v>36122.68</v>
      </c>
      <c r="CY409" s="78"/>
      <c r="CZ409" s="78">
        <v>36122.675555555557</v>
      </c>
      <c r="DA409" s="78"/>
      <c r="DB409" s="78"/>
      <c r="DC409" s="97">
        <v>36162.313157894736</v>
      </c>
      <c r="DD409" s="78">
        <v>36121.879999999997</v>
      </c>
      <c r="DE409" s="78"/>
      <c r="DF409" s="78">
        <v>36121.919999999998</v>
      </c>
      <c r="DG409" s="78">
        <v>36121.872646733107</v>
      </c>
      <c r="DH409" s="78"/>
      <c r="DI409" s="78"/>
      <c r="DJ409" s="78"/>
      <c r="DK409" s="78"/>
      <c r="DL409" s="78"/>
      <c r="DM409" s="78"/>
      <c r="DN409" s="78"/>
      <c r="DO409" s="78"/>
      <c r="DP409" s="97">
        <v>36121.89088224437</v>
      </c>
    </row>
    <row r="410" spans="1:120" s="22" customFormat="1" hidden="1" outlineLevel="1" x14ac:dyDescent="0.35">
      <c r="B410" s="25" t="s">
        <v>315</v>
      </c>
      <c r="C410" s="75" t="s">
        <v>316</v>
      </c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80"/>
      <c r="Q410" s="77"/>
      <c r="R410" s="77"/>
      <c r="S410" s="77"/>
      <c r="T410" s="77"/>
      <c r="U410" s="77"/>
      <c r="V410" s="77">
        <v>500</v>
      </c>
      <c r="W410" s="77"/>
      <c r="X410" s="77">
        <v>2200</v>
      </c>
      <c r="Y410" s="77"/>
      <c r="Z410" s="77"/>
      <c r="AA410" s="77"/>
      <c r="AB410" s="77"/>
      <c r="AC410" s="80">
        <v>2700</v>
      </c>
      <c r="AD410" s="77">
        <v>1100</v>
      </c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80">
        <v>1100</v>
      </c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83"/>
      <c r="BD410" s="77"/>
      <c r="BE410" s="77"/>
      <c r="BF410" s="77"/>
      <c r="BG410" s="77"/>
      <c r="BH410" s="77"/>
      <c r="BI410" s="77">
        <v>1263.7511474050552</v>
      </c>
      <c r="BJ410" s="77"/>
      <c r="BK410" s="77">
        <v>1276.1396013443768</v>
      </c>
      <c r="BL410" s="77"/>
      <c r="BM410" s="77"/>
      <c r="BN410" s="77"/>
      <c r="BO410" s="77"/>
      <c r="BP410" s="83">
        <v>1273.8454432074655</v>
      </c>
      <c r="BQ410" s="77">
        <v>1271.6179017326072</v>
      </c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83">
        <v>1271.6179017326072</v>
      </c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96"/>
      <c r="CQ410" s="77"/>
      <c r="CR410" s="77"/>
      <c r="CS410" s="77"/>
      <c r="CT410" s="77"/>
      <c r="CU410" s="77"/>
      <c r="CV410" s="77">
        <v>29605.362000000001</v>
      </c>
      <c r="CW410" s="77"/>
      <c r="CX410" s="77">
        <v>29605.360454545455</v>
      </c>
      <c r="CY410" s="77"/>
      <c r="CZ410" s="77"/>
      <c r="DA410" s="77"/>
      <c r="DB410" s="77"/>
      <c r="DC410" s="96">
        <v>29605.36074074074</v>
      </c>
      <c r="DD410" s="77">
        <v>29605.360454545458</v>
      </c>
      <c r="DE410" s="77"/>
      <c r="DF410" s="77"/>
      <c r="DG410" s="77"/>
      <c r="DH410" s="77"/>
      <c r="DI410" s="77"/>
      <c r="DJ410" s="77"/>
      <c r="DK410" s="77"/>
      <c r="DL410" s="77"/>
      <c r="DM410" s="77"/>
      <c r="DN410" s="77"/>
      <c r="DO410" s="77"/>
      <c r="DP410" s="96">
        <v>29605.360454545458</v>
      </c>
    </row>
    <row r="411" spans="1:120" s="22" customFormat="1" hidden="1" outlineLevel="1" x14ac:dyDescent="0.35">
      <c r="B411" s="25" t="s">
        <v>315</v>
      </c>
      <c r="C411" s="75" t="s">
        <v>317</v>
      </c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80"/>
      <c r="Q411" s="77"/>
      <c r="R411" s="77"/>
      <c r="S411" s="77"/>
      <c r="T411" s="77"/>
      <c r="U411" s="77"/>
      <c r="V411" s="77"/>
      <c r="W411" s="77">
        <v>30</v>
      </c>
      <c r="X411" s="77"/>
      <c r="Y411" s="77"/>
      <c r="Z411" s="77">
        <v>60</v>
      </c>
      <c r="AA411" s="77">
        <v>1100</v>
      </c>
      <c r="AB411" s="77">
        <v>7700</v>
      </c>
      <c r="AC411" s="80">
        <v>8890</v>
      </c>
      <c r="AD411" s="77">
        <v>5500</v>
      </c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80">
        <v>5500</v>
      </c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83"/>
      <c r="BD411" s="77"/>
      <c r="BE411" s="77"/>
      <c r="BF411" s="77"/>
      <c r="BG411" s="77"/>
      <c r="BH411" s="77"/>
      <c r="BI411" s="77"/>
      <c r="BJ411" s="77">
        <v>1308.2932405339732</v>
      </c>
      <c r="BK411" s="77"/>
      <c r="BL411" s="77"/>
      <c r="BM411" s="77">
        <v>1299.1392623447903</v>
      </c>
      <c r="BN411" s="77">
        <v>1254.6051064967016</v>
      </c>
      <c r="BO411" s="77">
        <v>1257.1451053066446</v>
      </c>
      <c r="BP411" s="83">
        <v>1257.2868482524457</v>
      </c>
      <c r="BQ411" s="77">
        <v>1252.5580846017906</v>
      </c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83">
        <v>1252.5580846017906</v>
      </c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96"/>
      <c r="CQ411" s="77"/>
      <c r="CR411" s="77"/>
      <c r="CS411" s="77"/>
      <c r="CT411" s="77"/>
      <c r="CU411" s="77"/>
      <c r="CV411" s="77"/>
      <c r="CW411" s="77">
        <v>29605.366666666665</v>
      </c>
      <c r="CX411" s="77"/>
      <c r="CY411" s="77"/>
      <c r="CZ411" s="77">
        <v>29605.366666666665</v>
      </c>
      <c r="DA411" s="77">
        <v>29605.360000000001</v>
      </c>
      <c r="DB411" s="77">
        <v>29605.360389610392</v>
      </c>
      <c r="DC411" s="96">
        <v>29605.360404949384</v>
      </c>
      <c r="DD411" s="77">
        <v>29605.360454545458</v>
      </c>
      <c r="DE411" s="77"/>
      <c r="DF411" s="77"/>
      <c r="DG411" s="77"/>
      <c r="DH411" s="77"/>
      <c r="DI411" s="77"/>
      <c r="DJ411" s="77"/>
      <c r="DK411" s="77"/>
      <c r="DL411" s="77"/>
      <c r="DM411" s="77"/>
      <c r="DN411" s="77"/>
      <c r="DO411" s="77"/>
      <c r="DP411" s="96">
        <v>29605.360454545458</v>
      </c>
    </row>
    <row r="412" spans="1:120" hidden="1" collapsed="1" x14ac:dyDescent="0.35">
      <c r="A412" t="s">
        <v>381</v>
      </c>
      <c r="B412" s="106" t="s">
        <v>318</v>
      </c>
      <c r="C412" s="76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81"/>
      <c r="Q412" s="78"/>
      <c r="R412" s="78"/>
      <c r="S412" s="78"/>
      <c r="T412" s="78"/>
      <c r="U412" s="78"/>
      <c r="V412" s="78">
        <v>500</v>
      </c>
      <c r="W412" s="78">
        <v>30</v>
      </c>
      <c r="X412" s="78">
        <v>2200</v>
      </c>
      <c r="Y412" s="78"/>
      <c r="Z412" s="78">
        <v>60</v>
      </c>
      <c r="AA412" s="78">
        <v>1100</v>
      </c>
      <c r="AB412" s="78">
        <v>7700</v>
      </c>
      <c r="AC412" s="81">
        <v>11590</v>
      </c>
      <c r="AD412" s="78">
        <v>6600</v>
      </c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81">
        <v>6600</v>
      </c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84"/>
      <c r="BD412" s="78"/>
      <c r="BE412" s="78"/>
      <c r="BF412" s="78"/>
      <c r="BG412" s="78"/>
      <c r="BH412" s="78"/>
      <c r="BI412" s="78">
        <v>1263.7511474050552</v>
      </c>
      <c r="BJ412" s="78">
        <v>1308.2932405339732</v>
      </c>
      <c r="BK412" s="78">
        <v>1276.1396013443768</v>
      </c>
      <c r="BL412" s="78"/>
      <c r="BM412" s="78">
        <v>1299.1392623447903</v>
      </c>
      <c r="BN412" s="78">
        <v>1254.6051064967016</v>
      </c>
      <c r="BO412" s="78">
        <v>1257.1451053066446</v>
      </c>
      <c r="BP412" s="84">
        <v>1261.1443293895081</v>
      </c>
      <c r="BQ412" s="78">
        <v>1255.7347207902601</v>
      </c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84">
        <v>1255.7347207902601</v>
      </c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97"/>
      <c r="CQ412" s="78"/>
      <c r="CR412" s="78"/>
      <c r="CS412" s="78"/>
      <c r="CT412" s="78"/>
      <c r="CU412" s="78"/>
      <c r="CV412" s="78">
        <v>29605.362000000001</v>
      </c>
      <c r="CW412" s="78">
        <v>29605.366666666665</v>
      </c>
      <c r="CX412" s="78">
        <v>29605.360454545455</v>
      </c>
      <c r="CY412" s="78"/>
      <c r="CZ412" s="78">
        <v>29605.366666666665</v>
      </c>
      <c r="DA412" s="78">
        <v>29605.360000000001</v>
      </c>
      <c r="DB412" s="78">
        <v>29605.360389610392</v>
      </c>
      <c r="DC412" s="97">
        <v>29605.360483175151</v>
      </c>
      <c r="DD412" s="78">
        <v>29605.360454545458</v>
      </c>
      <c r="DE412" s="78"/>
      <c r="DF412" s="78"/>
      <c r="DG412" s="78"/>
      <c r="DH412" s="78"/>
      <c r="DI412" s="78"/>
      <c r="DJ412" s="78"/>
      <c r="DK412" s="78"/>
      <c r="DL412" s="78"/>
      <c r="DM412" s="78"/>
      <c r="DN412" s="78"/>
      <c r="DO412" s="78"/>
      <c r="DP412" s="97">
        <v>29605.360454545458</v>
      </c>
    </row>
    <row r="413" spans="1:120" s="22" customFormat="1" hidden="1" outlineLevel="1" x14ac:dyDescent="0.35">
      <c r="B413" s="25" t="s">
        <v>319</v>
      </c>
      <c r="C413" s="75" t="s">
        <v>5</v>
      </c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80"/>
      <c r="Q413" s="77"/>
      <c r="R413" s="77"/>
      <c r="S413" s="77">
        <v>500</v>
      </c>
      <c r="T413" s="77">
        <v>0</v>
      </c>
      <c r="U413" s="77"/>
      <c r="V413" s="77">
        <v>350</v>
      </c>
      <c r="W413" s="77">
        <v>0</v>
      </c>
      <c r="X413" s="77"/>
      <c r="Y413" s="77"/>
      <c r="Z413" s="77">
        <v>0</v>
      </c>
      <c r="AA413" s="77"/>
      <c r="AB413" s="77"/>
      <c r="AC413" s="80">
        <v>850</v>
      </c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80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83"/>
      <c r="BD413" s="77"/>
      <c r="BE413" s="77"/>
      <c r="BF413" s="77">
        <v>1346.0459781214086</v>
      </c>
      <c r="BG413" s="77"/>
      <c r="BH413" s="77"/>
      <c r="BI413" s="77">
        <v>1321.4288048980798</v>
      </c>
      <c r="BJ413" s="77"/>
      <c r="BK413" s="77"/>
      <c r="BL413" s="77"/>
      <c r="BM413" s="77"/>
      <c r="BN413" s="77"/>
      <c r="BO413" s="77"/>
      <c r="BP413" s="83">
        <v>1335.9094950294498</v>
      </c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83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96"/>
      <c r="CQ413" s="77"/>
      <c r="CR413" s="77"/>
      <c r="CS413" s="77">
        <v>30527.252</v>
      </c>
      <c r="CT413" s="77"/>
      <c r="CU413" s="77"/>
      <c r="CV413" s="77">
        <v>30456.948571428573</v>
      </c>
      <c r="CW413" s="77"/>
      <c r="CX413" s="77"/>
      <c r="CY413" s="77"/>
      <c r="CZ413" s="77"/>
      <c r="DA413" s="77"/>
      <c r="DB413" s="77"/>
      <c r="DC413" s="96">
        <v>30498.303529411765</v>
      </c>
      <c r="DD413" s="77"/>
      <c r="DE413" s="77"/>
      <c r="DF413" s="77"/>
      <c r="DG413" s="77"/>
      <c r="DH413" s="77"/>
      <c r="DI413" s="77"/>
      <c r="DJ413" s="77"/>
      <c r="DK413" s="77"/>
      <c r="DL413" s="77"/>
      <c r="DM413" s="77"/>
      <c r="DN413" s="77"/>
      <c r="DO413" s="77"/>
      <c r="DP413" s="96"/>
    </row>
    <row r="414" spans="1:120" s="22" customFormat="1" hidden="1" outlineLevel="1" x14ac:dyDescent="0.35">
      <c r="B414" s="25" t="s">
        <v>319</v>
      </c>
      <c r="C414" s="75" t="s">
        <v>320</v>
      </c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80"/>
      <c r="Q414" s="77"/>
      <c r="R414" s="77"/>
      <c r="S414" s="77"/>
      <c r="T414" s="77"/>
      <c r="U414" s="77"/>
      <c r="V414" s="77"/>
      <c r="W414" s="77"/>
      <c r="X414" s="77"/>
      <c r="Y414" s="77"/>
      <c r="Z414" s="77">
        <v>400</v>
      </c>
      <c r="AA414" s="77"/>
      <c r="AB414" s="77"/>
      <c r="AC414" s="80">
        <v>400</v>
      </c>
      <c r="AD414" s="77"/>
      <c r="AE414" s="77"/>
      <c r="AF414" s="77"/>
      <c r="AG414" s="77">
        <v>2750</v>
      </c>
      <c r="AH414" s="77"/>
      <c r="AI414" s="77"/>
      <c r="AJ414" s="77"/>
      <c r="AK414" s="77"/>
      <c r="AL414" s="77"/>
      <c r="AM414" s="77"/>
      <c r="AN414" s="77"/>
      <c r="AO414" s="77"/>
      <c r="AP414" s="80">
        <v>2750</v>
      </c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83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>
        <v>1305.3208726348528</v>
      </c>
      <c r="BN414" s="77"/>
      <c r="BO414" s="77"/>
      <c r="BP414" s="83">
        <v>1305.3208726348528</v>
      </c>
      <c r="BQ414" s="77"/>
      <c r="BR414" s="77"/>
      <c r="BS414" s="77"/>
      <c r="BT414" s="77">
        <v>1476</v>
      </c>
      <c r="BU414" s="77"/>
      <c r="BV414" s="77"/>
      <c r="BW414" s="77"/>
      <c r="BX414" s="77"/>
      <c r="BY414" s="77"/>
      <c r="BZ414" s="77"/>
      <c r="CA414" s="77"/>
      <c r="CB414" s="77"/>
      <c r="CC414" s="83">
        <v>1476</v>
      </c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96"/>
      <c r="CQ414" s="77"/>
      <c r="CR414" s="77"/>
      <c r="CS414" s="77"/>
      <c r="CT414" s="77"/>
      <c r="CU414" s="77"/>
      <c r="CV414" s="77"/>
      <c r="CW414" s="77"/>
      <c r="CX414" s="77"/>
      <c r="CY414" s="77"/>
      <c r="CZ414" s="77">
        <v>29927.995000000006</v>
      </c>
      <c r="DA414" s="77"/>
      <c r="DB414" s="77"/>
      <c r="DC414" s="96">
        <v>29927.995000000006</v>
      </c>
      <c r="DD414" s="77"/>
      <c r="DE414" s="77"/>
      <c r="DF414" s="77"/>
      <c r="DG414" s="77">
        <v>29573.582627751774</v>
      </c>
      <c r="DH414" s="77"/>
      <c r="DI414" s="77"/>
      <c r="DJ414" s="77"/>
      <c r="DK414" s="77"/>
      <c r="DL414" s="77"/>
      <c r="DM414" s="77"/>
      <c r="DN414" s="77"/>
      <c r="DO414" s="77"/>
      <c r="DP414" s="96">
        <v>29573.582627751774</v>
      </c>
    </row>
    <row r="415" spans="1:120" s="22" customFormat="1" hidden="1" collapsed="1" x14ac:dyDescent="0.35">
      <c r="B415" s="106" t="s">
        <v>321</v>
      </c>
      <c r="C415" s="76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81"/>
      <c r="Q415" s="78"/>
      <c r="R415" s="78"/>
      <c r="S415" s="78">
        <v>500</v>
      </c>
      <c r="T415" s="78">
        <v>0</v>
      </c>
      <c r="U415" s="78"/>
      <c r="V415" s="78">
        <v>350</v>
      </c>
      <c r="W415" s="78">
        <v>0</v>
      </c>
      <c r="X415" s="78"/>
      <c r="Y415" s="78"/>
      <c r="Z415" s="78">
        <v>400</v>
      </c>
      <c r="AA415" s="78"/>
      <c r="AB415" s="78"/>
      <c r="AC415" s="81">
        <v>1250</v>
      </c>
      <c r="AD415" s="78"/>
      <c r="AE415" s="78"/>
      <c r="AF415" s="78"/>
      <c r="AG415" s="78">
        <v>2750</v>
      </c>
      <c r="AH415" s="78"/>
      <c r="AI415" s="78"/>
      <c r="AJ415" s="78"/>
      <c r="AK415" s="78"/>
      <c r="AL415" s="78"/>
      <c r="AM415" s="78"/>
      <c r="AN415" s="78"/>
      <c r="AO415" s="78"/>
      <c r="AP415" s="81">
        <v>2750</v>
      </c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84"/>
      <c r="BD415" s="78"/>
      <c r="BE415" s="78"/>
      <c r="BF415" s="78">
        <v>1346.0459781214086</v>
      </c>
      <c r="BG415" s="78"/>
      <c r="BH415" s="78"/>
      <c r="BI415" s="78">
        <v>1321.4288048980798</v>
      </c>
      <c r="BJ415" s="78"/>
      <c r="BK415" s="78"/>
      <c r="BL415" s="78"/>
      <c r="BM415" s="78">
        <v>1305.3208726348528</v>
      </c>
      <c r="BN415" s="78"/>
      <c r="BO415" s="78"/>
      <c r="BP415" s="84">
        <v>1326.1211358631786</v>
      </c>
      <c r="BQ415" s="78"/>
      <c r="BR415" s="78"/>
      <c r="BS415" s="78"/>
      <c r="BT415" s="78">
        <v>1476</v>
      </c>
      <c r="BU415" s="78"/>
      <c r="BV415" s="78"/>
      <c r="BW415" s="78"/>
      <c r="BX415" s="78"/>
      <c r="BY415" s="78"/>
      <c r="BZ415" s="78"/>
      <c r="CA415" s="78"/>
      <c r="CB415" s="78"/>
      <c r="CC415" s="84">
        <v>1476</v>
      </c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97"/>
      <c r="CQ415" s="78"/>
      <c r="CR415" s="78"/>
      <c r="CS415" s="78">
        <v>30527.252</v>
      </c>
      <c r="CT415" s="78"/>
      <c r="CU415" s="78"/>
      <c r="CV415" s="78">
        <v>30456.948571428573</v>
      </c>
      <c r="CW415" s="78"/>
      <c r="CX415" s="78"/>
      <c r="CY415" s="78"/>
      <c r="CZ415" s="78">
        <v>29927.995000000006</v>
      </c>
      <c r="DA415" s="78"/>
      <c r="DB415" s="78"/>
      <c r="DC415" s="97">
        <v>30315.804800000002</v>
      </c>
      <c r="DD415" s="78"/>
      <c r="DE415" s="78"/>
      <c r="DF415" s="78"/>
      <c r="DG415" s="78">
        <v>29573.582627751774</v>
      </c>
      <c r="DH415" s="78"/>
      <c r="DI415" s="78"/>
      <c r="DJ415" s="78"/>
      <c r="DK415" s="78"/>
      <c r="DL415" s="78"/>
      <c r="DM415" s="78"/>
      <c r="DN415" s="78"/>
      <c r="DO415" s="78"/>
      <c r="DP415" s="97">
        <v>29573.582627751774</v>
      </c>
    </row>
    <row r="416" spans="1:120" s="22" customFormat="1" hidden="1" outlineLevel="1" x14ac:dyDescent="0.35">
      <c r="B416" s="25" t="s">
        <v>322</v>
      </c>
      <c r="C416" s="75" t="s">
        <v>115</v>
      </c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80"/>
      <c r="Q416" s="77"/>
      <c r="R416" s="77">
        <v>25000</v>
      </c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80">
        <v>25000</v>
      </c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80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83"/>
      <c r="BD416" s="77"/>
      <c r="BE416" s="77">
        <v>1176.4844181459566</v>
      </c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83">
        <v>1176.4844181459566</v>
      </c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83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96"/>
      <c r="CQ416" s="77"/>
      <c r="CR416" s="77">
        <v>32657.472399999999</v>
      </c>
      <c r="CS416" s="77"/>
      <c r="CT416" s="77"/>
      <c r="CU416" s="77"/>
      <c r="CV416" s="77"/>
      <c r="CW416" s="77"/>
      <c r="CX416" s="77"/>
      <c r="CY416" s="77"/>
      <c r="CZ416" s="77"/>
      <c r="DA416" s="77"/>
      <c r="DB416" s="77"/>
      <c r="DC416" s="96">
        <v>32657.472399999999</v>
      </c>
      <c r="DD416" s="77"/>
      <c r="DE416" s="77"/>
      <c r="DF416" s="77"/>
      <c r="DG416" s="77"/>
      <c r="DH416" s="77"/>
      <c r="DI416" s="77"/>
      <c r="DJ416" s="77"/>
      <c r="DK416" s="77"/>
      <c r="DL416" s="77"/>
      <c r="DM416" s="77"/>
      <c r="DN416" s="77"/>
      <c r="DO416" s="77"/>
      <c r="DP416" s="96"/>
    </row>
    <row r="417" spans="2:120" s="22" customFormat="1" hidden="1" collapsed="1" x14ac:dyDescent="0.35">
      <c r="B417" s="106" t="s">
        <v>323</v>
      </c>
      <c r="C417" s="76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81"/>
      <c r="Q417" s="78"/>
      <c r="R417" s="78">
        <v>25000</v>
      </c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81">
        <v>25000</v>
      </c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81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84"/>
      <c r="BD417" s="78"/>
      <c r="BE417" s="78">
        <v>1176.4844181459566</v>
      </c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84">
        <v>1176.4844181459566</v>
      </c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84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97"/>
      <c r="CQ417" s="78"/>
      <c r="CR417" s="78">
        <v>32657.472399999999</v>
      </c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97">
        <v>32657.472399999999</v>
      </c>
      <c r="DD417" s="78"/>
      <c r="DE417" s="78"/>
      <c r="DF417" s="78"/>
      <c r="DG417" s="78"/>
      <c r="DH417" s="78"/>
      <c r="DI417" s="78"/>
      <c r="DJ417" s="78"/>
      <c r="DK417" s="78"/>
      <c r="DL417" s="78"/>
      <c r="DM417" s="78"/>
      <c r="DN417" s="78"/>
      <c r="DO417" s="78"/>
      <c r="DP417" s="97"/>
    </row>
    <row r="418" spans="2:120" s="22" customFormat="1" hidden="1" outlineLevel="1" x14ac:dyDescent="0.35">
      <c r="B418" s="25" t="s">
        <v>324</v>
      </c>
      <c r="C418" s="75" t="s">
        <v>4</v>
      </c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80"/>
      <c r="Q418" s="77">
        <v>2200</v>
      </c>
      <c r="R418" s="77"/>
      <c r="S418" s="77"/>
      <c r="T418" s="77"/>
      <c r="U418" s="77">
        <v>3850</v>
      </c>
      <c r="V418" s="77"/>
      <c r="W418" s="77"/>
      <c r="X418" s="77"/>
      <c r="Y418" s="77"/>
      <c r="Z418" s="77"/>
      <c r="AA418" s="77"/>
      <c r="AB418" s="77"/>
      <c r="AC418" s="80">
        <v>6050</v>
      </c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80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83"/>
      <c r="BD418" s="77">
        <v>1385.0043101961048</v>
      </c>
      <c r="BE418" s="77"/>
      <c r="BF418" s="77"/>
      <c r="BG418" s="77"/>
      <c r="BH418" s="77">
        <v>1358.7975393750214</v>
      </c>
      <c r="BI418" s="77"/>
      <c r="BJ418" s="77"/>
      <c r="BK418" s="77"/>
      <c r="BL418" s="77"/>
      <c r="BM418" s="77"/>
      <c r="BN418" s="77"/>
      <c r="BO418" s="77"/>
      <c r="BP418" s="83">
        <v>1368.3272742190518</v>
      </c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83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96"/>
      <c r="CQ418" s="77">
        <v>42694.195454545457</v>
      </c>
      <c r="CR418" s="77"/>
      <c r="CS418" s="77"/>
      <c r="CT418" s="77"/>
      <c r="CU418" s="77">
        <v>37300.400259740258</v>
      </c>
      <c r="CV418" s="77"/>
      <c r="CW418" s="77"/>
      <c r="CX418" s="77"/>
      <c r="CY418" s="77"/>
      <c r="CZ418" s="77"/>
      <c r="DA418" s="77"/>
      <c r="DB418" s="77"/>
      <c r="DC418" s="96">
        <v>39261.780330578513</v>
      </c>
      <c r="DD418" s="77"/>
      <c r="DE418" s="77"/>
      <c r="DF418" s="77"/>
      <c r="DG418" s="77"/>
      <c r="DH418" s="77"/>
      <c r="DI418" s="77"/>
      <c r="DJ418" s="77"/>
      <c r="DK418" s="77"/>
      <c r="DL418" s="77"/>
      <c r="DM418" s="77"/>
      <c r="DN418" s="77"/>
      <c r="DO418" s="77"/>
      <c r="DP418" s="96"/>
    </row>
    <row r="419" spans="2:120" hidden="1" collapsed="1" x14ac:dyDescent="0.35">
      <c r="B419" s="106" t="s">
        <v>325</v>
      </c>
      <c r="C419" s="76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81"/>
      <c r="Q419" s="78">
        <v>2200</v>
      </c>
      <c r="R419" s="78"/>
      <c r="S419" s="78"/>
      <c r="T419" s="78"/>
      <c r="U419" s="78">
        <v>3850</v>
      </c>
      <c r="V419" s="78"/>
      <c r="W419" s="78"/>
      <c r="X419" s="78"/>
      <c r="Y419" s="78"/>
      <c r="Z419" s="78"/>
      <c r="AA419" s="78"/>
      <c r="AB419" s="78"/>
      <c r="AC419" s="81">
        <v>6050</v>
      </c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81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84"/>
      <c r="BD419" s="78">
        <v>1385.0043101961048</v>
      </c>
      <c r="BE419" s="78"/>
      <c r="BF419" s="78"/>
      <c r="BG419" s="78"/>
      <c r="BH419" s="78">
        <v>1358.7975393750214</v>
      </c>
      <c r="BI419" s="78"/>
      <c r="BJ419" s="78"/>
      <c r="BK419" s="78"/>
      <c r="BL419" s="78"/>
      <c r="BM419" s="78"/>
      <c r="BN419" s="78"/>
      <c r="BO419" s="78"/>
      <c r="BP419" s="84">
        <v>1368.3272742190518</v>
      </c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84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97"/>
      <c r="CQ419" s="78">
        <v>42694.195454545457</v>
      </c>
      <c r="CR419" s="78"/>
      <c r="CS419" s="78"/>
      <c r="CT419" s="78"/>
      <c r="CU419" s="78">
        <v>37300.400259740258</v>
      </c>
      <c r="CV419" s="78"/>
      <c r="CW419" s="78"/>
      <c r="CX419" s="78"/>
      <c r="CY419" s="78"/>
      <c r="CZ419" s="78"/>
      <c r="DA419" s="78"/>
      <c r="DB419" s="78"/>
      <c r="DC419" s="97">
        <v>39261.780330578513</v>
      </c>
      <c r="DD419" s="78"/>
      <c r="DE419" s="78"/>
      <c r="DF419" s="78"/>
      <c r="DG419" s="78"/>
      <c r="DH419" s="78"/>
      <c r="DI419" s="78"/>
      <c r="DJ419" s="78"/>
      <c r="DK419" s="78"/>
      <c r="DL419" s="78"/>
      <c r="DM419" s="78"/>
      <c r="DN419" s="78"/>
      <c r="DO419" s="78"/>
      <c r="DP419" s="97"/>
    </row>
    <row r="420" spans="2:120" s="22" customFormat="1" hidden="1" outlineLevel="1" x14ac:dyDescent="0.35">
      <c r="B420" s="25" t="s">
        <v>326</v>
      </c>
      <c r="C420" s="75" t="s">
        <v>327</v>
      </c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80"/>
      <c r="Q420" s="77"/>
      <c r="R420" s="77"/>
      <c r="S420" s="77">
        <v>1100</v>
      </c>
      <c r="T420" s="77"/>
      <c r="U420" s="77"/>
      <c r="V420" s="77"/>
      <c r="W420" s="77"/>
      <c r="X420" s="77"/>
      <c r="Y420" s="77"/>
      <c r="Z420" s="77"/>
      <c r="AA420" s="77"/>
      <c r="AB420" s="77"/>
      <c r="AC420" s="80">
        <v>1100</v>
      </c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80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83"/>
      <c r="BD420" s="77"/>
      <c r="BE420" s="77"/>
      <c r="BF420" s="77">
        <v>952.10604870384918</v>
      </c>
      <c r="BG420" s="77"/>
      <c r="BH420" s="77"/>
      <c r="BI420" s="77"/>
      <c r="BJ420" s="77"/>
      <c r="BK420" s="77"/>
      <c r="BL420" s="77"/>
      <c r="BM420" s="77"/>
      <c r="BN420" s="77"/>
      <c r="BO420" s="77"/>
      <c r="BP420" s="83">
        <v>952.10604870384918</v>
      </c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83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96"/>
      <c r="CQ420" s="77"/>
      <c r="CR420" s="77"/>
      <c r="CS420" s="77">
        <v>25390.697272727273</v>
      </c>
      <c r="CT420" s="77"/>
      <c r="CU420" s="77"/>
      <c r="CV420" s="77"/>
      <c r="CW420" s="77"/>
      <c r="CX420" s="77"/>
      <c r="CY420" s="77"/>
      <c r="CZ420" s="77"/>
      <c r="DA420" s="77"/>
      <c r="DB420" s="77"/>
      <c r="DC420" s="96">
        <v>25390.697272727273</v>
      </c>
      <c r="DD420" s="77"/>
      <c r="DE420" s="77"/>
      <c r="DF420" s="77"/>
      <c r="DG420" s="77"/>
      <c r="DH420" s="77"/>
      <c r="DI420" s="77"/>
      <c r="DJ420" s="77"/>
      <c r="DK420" s="77"/>
      <c r="DL420" s="77"/>
      <c r="DM420" s="77"/>
      <c r="DN420" s="77"/>
      <c r="DO420" s="77"/>
      <c r="DP420" s="96"/>
    </row>
    <row r="421" spans="2:120" s="22" customFormat="1" hidden="1" outlineLevel="1" x14ac:dyDescent="0.35">
      <c r="B421" s="25" t="s">
        <v>326</v>
      </c>
      <c r="C421" s="75" t="s">
        <v>41</v>
      </c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80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80"/>
      <c r="AD421" s="77"/>
      <c r="AE421" s="77"/>
      <c r="AF421" s="77">
        <v>5500</v>
      </c>
      <c r="AG421" s="77"/>
      <c r="AH421" s="77"/>
      <c r="AI421" s="77"/>
      <c r="AJ421" s="77"/>
      <c r="AK421" s="77"/>
      <c r="AL421" s="77"/>
      <c r="AM421" s="77"/>
      <c r="AN421" s="77"/>
      <c r="AO421" s="77"/>
      <c r="AP421" s="80">
        <v>5500</v>
      </c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83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83"/>
      <c r="BQ421" s="77"/>
      <c r="BR421" s="77"/>
      <c r="BS421" s="77">
        <v>929.40720662379533</v>
      </c>
      <c r="BT421" s="77"/>
      <c r="BU421" s="77"/>
      <c r="BV421" s="77"/>
      <c r="BW421" s="77"/>
      <c r="BX421" s="77"/>
      <c r="BY421" s="77"/>
      <c r="BZ421" s="77"/>
      <c r="CA421" s="77"/>
      <c r="CB421" s="77"/>
      <c r="CC421" s="83">
        <v>929.40720662379533</v>
      </c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96"/>
      <c r="CQ421" s="77"/>
      <c r="CR421" s="77"/>
      <c r="CS421" s="77"/>
      <c r="CT421" s="77"/>
      <c r="CU421" s="77"/>
      <c r="CV421" s="77"/>
      <c r="CW421" s="77"/>
      <c r="CX421" s="77"/>
      <c r="CY421" s="77"/>
      <c r="CZ421" s="77"/>
      <c r="DA421" s="77"/>
      <c r="DB421" s="77"/>
      <c r="DC421" s="96"/>
      <c r="DD421" s="77"/>
      <c r="DE421" s="77"/>
      <c r="DF421" s="77">
        <v>26674.223454545456</v>
      </c>
      <c r="DG421" s="77"/>
      <c r="DH421" s="77"/>
      <c r="DI421" s="77"/>
      <c r="DJ421" s="77"/>
      <c r="DK421" s="77"/>
      <c r="DL421" s="77"/>
      <c r="DM421" s="77"/>
      <c r="DN421" s="77"/>
      <c r="DO421" s="77"/>
      <c r="DP421" s="96">
        <v>26674.223454545456</v>
      </c>
    </row>
    <row r="422" spans="2:120" hidden="1" collapsed="1" x14ac:dyDescent="0.35">
      <c r="B422" s="106" t="s">
        <v>328</v>
      </c>
      <c r="C422" s="76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81"/>
      <c r="Q422" s="78"/>
      <c r="R422" s="78"/>
      <c r="S422" s="78">
        <v>1100</v>
      </c>
      <c r="T422" s="78"/>
      <c r="U422" s="78"/>
      <c r="V422" s="78"/>
      <c r="W422" s="78"/>
      <c r="X422" s="78"/>
      <c r="Y422" s="78"/>
      <c r="Z422" s="78"/>
      <c r="AA422" s="78"/>
      <c r="AB422" s="78"/>
      <c r="AC422" s="81">
        <v>1100</v>
      </c>
      <c r="AD422" s="78"/>
      <c r="AE422" s="78"/>
      <c r="AF422" s="78">
        <v>5500</v>
      </c>
      <c r="AG422" s="78"/>
      <c r="AH422" s="78"/>
      <c r="AI422" s="78"/>
      <c r="AJ422" s="78"/>
      <c r="AK422" s="78"/>
      <c r="AL422" s="78"/>
      <c r="AM422" s="78"/>
      <c r="AN422" s="78"/>
      <c r="AO422" s="78"/>
      <c r="AP422" s="81">
        <v>5500</v>
      </c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84"/>
      <c r="BD422" s="78"/>
      <c r="BE422" s="78"/>
      <c r="BF422" s="78">
        <v>952.10604870384918</v>
      </c>
      <c r="BG422" s="78"/>
      <c r="BH422" s="78"/>
      <c r="BI422" s="78"/>
      <c r="BJ422" s="78"/>
      <c r="BK422" s="78"/>
      <c r="BL422" s="78"/>
      <c r="BM422" s="78"/>
      <c r="BN422" s="78"/>
      <c r="BO422" s="78"/>
      <c r="BP422" s="84">
        <v>952.10604870384918</v>
      </c>
      <c r="BQ422" s="78"/>
      <c r="BR422" s="78"/>
      <c r="BS422" s="78">
        <v>929.40720662379533</v>
      </c>
      <c r="BT422" s="78"/>
      <c r="BU422" s="78"/>
      <c r="BV422" s="78"/>
      <c r="BW422" s="78"/>
      <c r="BX422" s="78"/>
      <c r="BY422" s="78"/>
      <c r="BZ422" s="78"/>
      <c r="CA422" s="78"/>
      <c r="CB422" s="78"/>
      <c r="CC422" s="84">
        <v>929.40720662379533</v>
      </c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97"/>
      <c r="CQ422" s="78"/>
      <c r="CR422" s="78"/>
      <c r="CS422" s="78">
        <v>25390.697272727273</v>
      </c>
      <c r="CT422" s="78"/>
      <c r="CU422" s="78"/>
      <c r="CV422" s="78"/>
      <c r="CW422" s="78"/>
      <c r="CX422" s="78"/>
      <c r="CY422" s="78"/>
      <c r="CZ422" s="78"/>
      <c r="DA422" s="78"/>
      <c r="DB422" s="78"/>
      <c r="DC422" s="97">
        <v>25390.697272727273</v>
      </c>
      <c r="DD422" s="78"/>
      <c r="DE422" s="78"/>
      <c r="DF422" s="78">
        <v>26674.223454545456</v>
      </c>
      <c r="DG422" s="78"/>
      <c r="DH422" s="78"/>
      <c r="DI422" s="78"/>
      <c r="DJ422" s="78"/>
      <c r="DK422" s="78"/>
      <c r="DL422" s="78"/>
      <c r="DM422" s="78"/>
      <c r="DN422" s="78"/>
      <c r="DO422" s="78"/>
      <c r="DP422" s="97">
        <v>26674.223454545456</v>
      </c>
    </row>
    <row r="423" spans="2:120" s="22" customFormat="1" hidden="1" outlineLevel="1" x14ac:dyDescent="0.35">
      <c r="B423" s="25" t="s">
        <v>329</v>
      </c>
      <c r="C423" s="75" t="s">
        <v>231</v>
      </c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80"/>
      <c r="Q423" s="77"/>
      <c r="R423" s="77"/>
      <c r="S423" s="77"/>
      <c r="T423" s="77"/>
      <c r="U423" s="77">
        <v>3839</v>
      </c>
      <c r="V423" s="77"/>
      <c r="W423" s="77"/>
      <c r="X423" s="77"/>
      <c r="Y423" s="77"/>
      <c r="Z423" s="77"/>
      <c r="AA423" s="77"/>
      <c r="AB423" s="77"/>
      <c r="AC423" s="80">
        <v>3839</v>
      </c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80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83"/>
      <c r="BD423" s="77"/>
      <c r="BE423" s="77"/>
      <c r="BF423" s="77"/>
      <c r="BG423" s="77"/>
      <c r="BH423" s="77">
        <v>574.68879985938725</v>
      </c>
      <c r="BI423" s="77"/>
      <c r="BJ423" s="77"/>
      <c r="BK423" s="77"/>
      <c r="BL423" s="77"/>
      <c r="BM423" s="77"/>
      <c r="BN423" s="77"/>
      <c r="BO423" s="77"/>
      <c r="BP423" s="83">
        <v>574.68879985938725</v>
      </c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83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96"/>
      <c r="CQ423" s="77"/>
      <c r="CR423" s="77"/>
      <c r="CS423" s="77"/>
      <c r="CT423" s="77"/>
      <c r="CU423" s="77">
        <v>13190.400364678302</v>
      </c>
      <c r="CV423" s="77"/>
      <c r="CW423" s="77"/>
      <c r="CX423" s="77"/>
      <c r="CY423" s="77"/>
      <c r="CZ423" s="77"/>
      <c r="DA423" s="77"/>
      <c r="DB423" s="77"/>
      <c r="DC423" s="96">
        <v>13190.400364678302</v>
      </c>
      <c r="DD423" s="77"/>
      <c r="DE423" s="77"/>
      <c r="DF423" s="77"/>
      <c r="DG423" s="77"/>
      <c r="DH423" s="77"/>
      <c r="DI423" s="77"/>
      <c r="DJ423" s="77"/>
      <c r="DK423" s="77"/>
      <c r="DL423" s="77"/>
      <c r="DM423" s="77"/>
      <c r="DN423" s="77"/>
      <c r="DO423" s="77"/>
      <c r="DP423" s="96"/>
    </row>
    <row r="424" spans="2:120" s="22" customFormat="1" hidden="1" outlineLevel="1" x14ac:dyDescent="0.35">
      <c r="B424" s="25" t="s">
        <v>329</v>
      </c>
      <c r="C424" s="75" t="s">
        <v>25</v>
      </c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80"/>
      <c r="Q424" s="77"/>
      <c r="R424" s="77"/>
      <c r="S424" s="77"/>
      <c r="T424" s="77"/>
      <c r="U424" s="77"/>
      <c r="V424" s="77"/>
      <c r="W424" s="77"/>
      <c r="X424" s="77"/>
      <c r="Y424" s="77">
        <v>7718</v>
      </c>
      <c r="Z424" s="77"/>
      <c r="AA424" s="77"/>
      <c r="AB424" s="77">
        <v>4461</v>
      </c>
      <c r="AC424" s="80">
        <v>12179</v>
      </c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80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83"/>
      <c r="BD424" s="77"/>
      <c r="BE424" s="77"/>
      <c r="BF424" s="77"/>
      <c r="BG424" s="77"/>
      <c r="BH424" s="77"/>
      <c r="BI424" s="77"/>
      <c r="BJ424" s="77"/>
      <c r="BK424" s="77"/>
      <c r="BL424" s="77">
        <v>565.2246302200183</v>
      </c>
      <c r="BM424" s="77"/>
      <c r="BN424" s="77"/>
      <c r="BO424" s="77">
        <v>566.80740344403796</v>
      </c>
      <c r="BP424" s="83">
        <v>565.80437825781712</v>
      </c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83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96"/>
      <c r="CQ424" s="77"/>
      <c r="CR424" s="77"/>
      <c r="CS424" s="77"/>
      <c r="CT424" s="77"/>
      <c r="CU424" s="77"/>
      <c r="CV424" s="77"/>
      <c r="CW424" s="77"/>
      <c r="CX424" s="77"/>
      <c r="CY424" s="77">
        <v>15005.946100025914</v>
      </c>
      <c r="CZ424" s="77"/>
      <c r="DA424" s="77"/>
      <c r="DB424" s="77">
        <v>15931.31293431966</v>
      </c>
      <c r="DC424" s="96">
        <v>15344.89522949339</v>
      </c>
      <c r="DD424" s="77"/>
      <c r="DE424" s="77"/>
      <c r="DF424" s="77"/>
      <c r="DG424" s="77"/>
      <c r="DH424" s="77"/>
      <c r="DI424" s="77"/>
      <c r="DJ424" s="77"/>
      <c r="DK424" s="77"/>
      <c r="DL424" s="77"/>
      <c r="DM424" s="77"/>
      <c r="DN424" s="77"/>
      <c r="DO424" s="77"/>
      <c r="DP424" s="96"/>
    </row>
    <row r="425" spans="2:120" s="22" customFormat="1" hidden="1" collapsed="1" x14ac:dyDescent="0.35">
      <c r="B425" s="106" t="s">
        <v>330</v>
      </c>
      <c r="C425" s="76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81"/>
      <c r="Q425" s="78"/>
      <c r="R425" s="78"/>
      <c r="S425" s="78"/>
      <c r="T425" s="78"/>
      <c r="U425" s="78">
        <v>3839</v>
      </c>
      <c r="V425" s="78"/>
      <c r="W425" s="78"/>
      <c r="X425" s="78"/>
      <c r="Y425" s="78">
        <v>7718</v>
      </c>
      <c r="Z425" s="78"/>
      <c r="AA425" s="78"/>
      <c r="AB425" s="78">
        <v>4461</v>
      </c>
      <c r="AC425" s="81">
        <v>16018</v>
      </c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81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84"/>
      <c r="BD425" s="78"/>
      <c r="BE425" s="78"/>
      <c r="BF425" s="78"/>
      <c r="BG425" s="78"/>
      <c r="BH425" s="78">
        <v>574.68879985938725</v>
      </c>
      <c r="BI425" s="78"/>
      <c r="BJ425" s="78"/>
      <c r="BK425" s="78"/>
      <c r="BL425" s="78">
        <v>565.2246302200183</v>
      </c>
      <c r="BM425" s="78"/>
      <c r="BN425" s="78"/>
      <c r="BO425" s="78">
        <v>566.80740344403796</v>
      </c>
      <c r="BP425" s="84">
        <v>567.93368869160588</v>
      </c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84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97"/>
      <c r="CQ425" s="78"/>
      <c r="CR425" s="78"/>
      <c r="CS425" s="78"/>
      <c r="CT425" s="78"/>
      <c r="CU425" s="78">
        <v>13190.400364678302</v>
      </c>
      <c r="CV425" s="78"/>
      <c r="CW425" s="78"/>
      <c r="CX425" s="78"/>
      <c r="CY425" s="78">
        <v>15005.946100025914</v>
      </c>
      <c r="CZ425" s="78"/>
      <c r="DA425" s="78"/>
      <c r="DB425" s="78">
        <v>15931.31293431966</v>
      </c>
      <c r="DC425" s="97">
        <v>14828.53202647022</v>
      </c>
      <c r="DD425" s="78"/>
      <c r="DE425" s="78"/>
      <c r="DF425" s="78"/>
      <c r="DG425" s="78"/>
      <c r="DH425" s="78"/>
      <c r="DI425" s="78"/>
      <c r="DJ425" s="78"/>
      <c r="DK425" s="78"/>
      <c r="DL425" s="78"/>
      <c r="DM425" s="78"/>
      <c r="DN425" s="78"/>
      <c r="DO425" s="78"/>
      <c r="DP425" s="97"/>
    </row>
    <row r="426" spans="2:120" s="22" customFormat="1" hidden="1" outlineLevel="1" x14ac:dyDescent="0.35">
      <c r="B426" s="25" t="s">
        <v>331</v>
      </c>
      <c r="C426" s="75" t="s">
        <v>327</v>
      </c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80"/>
      <c r="Q426" s="77"/>
      <c r="R426" s="77"/>
      <c r="S426" s="77"/>
      <c r="T426" s="77"/>
      <c r="U426" s="77"/>
      <c r="V426" s="77"/>
      <c r="W426" s="77">
        <v>21500</v>
      </c>
      <c r="X426" s="77"/>
      <c r="Y426" s="77"/>
      <c r="Z426" s="77"/>
      <c r="AA426" s="77"/>
      <c r="AB426" s="77"/>
      <c r="AC426" s="80">
        <v>21500</v>
      </c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80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83"/>
      <c r="BD426" s="77"/>
      <c r="BE426" s="77"/>
      <c r="BF426" s="77"/>
      <c r="BG426" s="77"/>
      <c r="BH426" s="77"/>
      <c r="BI426" s="77"/>
      <c r="BJ426" s="77">
        <v>1185.7220915266887</v>
      </c>
      <c r="BK426" s="77"/>
      <c r="BL426" s="77"/>
      <c r="BM426" s="77"/>
      <c r="BN426" s="77"/>
      <c r="BO426" s="77"/>
      <c r="BP426" s="83">
        <v>1185.7220915266887</v>
      </c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83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96"/>
      <c r="CQ426" s="77"/>
      <c r="CR426" s="77"/>
      <c r="CS426" s="77"/>
      <c r="CT426" s="77"/>
      <c r="CU426" s="77"/>
      <c r="CV426" s="77"/>
      <c r="CW426" s="77">
        <v>26674.217720930232</v>
      </c>
      <c r="CX426" s="77"/>
      <c r="CY426" s="77"/>
      <c r="CZ426" s="77"/>
      <c r="DA426" s="77"/>
      <c r="DB426" s="77"/>
      <c r="DC426" s="96">
        <v>26674.217720930232</v>
      </c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96"/>
    </row>
    <row r="427" spans="2:120" s="22" customFormat="1" hidden="1" collapsed="1" x14ac:dyDescent="0.35">
      <c r="B427" s="106" t="s">
        <v>332</v>
      </c>
      <c r="C427" s="76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81"/>
      <c r="Q427" s="78"/>
      <c r="R427" s="78"/>
      <c r="S427" s="78"/>
      <c r="T427" s="78"/>
      <c r="U427" s="78"/>
      <c r="V427" s="78"/>
      <c r="W427" s="78">
        <v>21500</v>
      </c>
      <c r="X427" s="78"/>
      <c r="Y427" s="78"/>
      <c r="Z427" s="78"/>
      <c r="AA427" s="78"/>
      <c r="AB427" s="78"/>
      <c r="AC427" s="81">
        <v>21500</v>
      </c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81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84"/>
      <c r="BD427" s="78"/>
      <c r="BE427" s="78"/>
      <c r="BF427" s="78"/>
      <c r="BG427" s="78"/>
      <c r="BH427" s="78"/>
      <c r="BI427" s="78"/>
      <c r="BJ427" s="78">
        <v>1185.7220915266887</v>
      </c>
      <c r="BK427" s="78"/>
      <c r="BL427" s="78"/>
      <c r="BM427" s="78"/>
      <c r="BN427" s="78"/>
      <c r="BO427" s="78"/>
      <c r="BP427" s="84">
        <v>1185.7220915266887</v>
      </c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84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97"/>
      <c r="CQ427" s="78"/>
      <c r="CR427" s="78"/>
      <c r="CS427" s="78"/>
      <c r="CT427" s="78"/>
      <c r="CU427" s="78"/>
      <c r="CV427" s="78"/>
      <c r="CW427" s="78">
        <v>26674.217720930232</v>
      </c>
      <c r="CX427" s="78"/>
      <c r="CY427" s="78"/>
      <c r="CZ427" s="78"/>
      <c r="DA427" s="78"/>
      <c r="DB427" s="78"/>
      <c r="DC427" s="97">
        <v>26674.217720930232</v>
      </c>
      <c r="DD427" s="78"/>
      <c r="DE427" s="78"/>
      <c r="DF427" s="78"/>
      <c r="DG427" s="78"/>
      <c r="DH427" s="78"/>
      <c r="DI427" s="78"/>
      <c r="DJ427" s="78"/>
      <c r="DK427" s="78"/>
      <c r="DL427" s="78"/>
      <c r="DM427" s="78"/>
      <c r="DN427" s="78"/>
      <c r="DO427" s="78"/>
      <c r="DP427" s="97"/>
    </row>
    <row r="428" spans="2:120" s="22" customFormat="1" hidden="1" outlineLevel="1" x14ac:dyDescent="0.35">
      <c r="B428" s="25" t="s">
        <v>333</v>
      </c>
      <c r="C428" s="75" t="s">
        <v>334</v>
      </c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80"/>
      <c r="Q428" s="77"/>
      <c r="R428" s="77"/>
      <c r="S428" s="77"/>
      <c r="T428" s="77"/>
      <c r="U428" s="77"/>
      <c r="V428" s="77">
        <v>2000</v>
      </c>
      <c r="W428" s="77"/>
      <c r="X428" s="77"/>
      <c r="Y428" s="77"/>
      <c r="Z428" s="77"/>
      <c r="AA428" s="77"/>
      <c r="AB428" s="77"/>
      <c r="AC428" s="80">
        <v>2000</v>
      </c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80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83"/>
      <c r="BD428" s="77"/>
      <c r="BE428" s="77"/>
      <c r="BF428" s="77"/>
      <c r="BG428" s="77"/>
      <c r="BH428" s="77"/>
      <c r="BI428" s="77">
        <v>1012.3381388267971</v>
      </c>
      <c r="BJ428" s="77"/>
      <c r="BK428" s="77"/>
      <c r="BL428" s="77"/>
      <c r="BM428" s="77"/>
      <c r="BN428" s="77"/>
      <c r="BO428" s="77"/>
      <c r="BP428" s="83">
        <v>1012.3381388267971</v>
      </c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83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96"/>
      <c r="CQ428" s="77"/>
      <c r="CR428" s="77"/>
      <c r="CS428" s="77"/>
      <c r="CT428" s="77"/>
      <c r="CU428" s="77"/>
      <c r="CV428" s="77">
        <v>23741.22</v>
      </c>
      <c r="CW428" s="77"/>
      <c r="CX428" s="77"/>
      <c r="CY428" s="77"/>
      <c r="CZ428" s="77"/>
      <c r="DA428" s="77"/>
      <c r="DB428" s="77"/>
      <c r="DC428" s="96">
        <v>23741.22</v>
      </c>
      <c r="DD428" s="77"/>
      <c r="DE428" s="77"/>
      <c r="DF428" s="77"/>
      <c r="DG428" s="77"/>
      <c r="DH428" s="77"/>
      <c r="DI428" s="77"/>
      <c r="DJ428" s="77"/>
      <c r="DK428" s="77"/>
      <c r="DL428" s="77"/>
      <c r="DM428" s="77"/>
      <c r="DN428" s="77"/>
      <c r="DO428" s="77"/>
      <c r="DP428" s="96"/>
    </row>
    <row r="429" spans="2:120" s="22" customFormat="1" hidden="1" collapsed="1" x14ac:dyDescent="0.35">
      <c r="B429" s="106" t="s">
        <v>335</v>
      </c>
      <c r="C429" s="76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81"/>
      <c r="Q429" s="78"/>
      <c r="R429" s="78"/>
      <c r="S429" s="78"/>
      <c r="T429" s="78"/>
      <c r="U429" s="78"/>
      <c r="V429" s="78">
        <v>2000</v>
      </c>
      <c r="W429" s="78"/>
      <c r="X429" s="78"/>
      <c r="Y429" s="78"/>
      <c r="Z429" s="78"/>
      <c r="AA429" s="78"/>
      <c r="AB429" s="78"/>
      <c r="AC429" s="81">
        <v>2000</v>
      </c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81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84"/>
      <c r="BD429" s="78"/>
      <c r="BE429" s="78"/>
      <c r="BF429" s="78"/>
      <c r="BG429" s="78"/>
      <c r="BH429" s="78"/>
      <c r="BI429" s="78">
        <v>1012.3381388267971</v>
      </c>
      <c r="BJ429" s="78"/>
      <c r="BK429" s="78"/>
      <c r="BL429" s="78"/>
      <c r="BM429" s="78"/>
      <c r="BN429" s="78"/>
      <c r="BO429" s="78"/>
      <c r="BP429" s="84">
        <v>1012.3381388267971</v>
      </c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84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97"/>
      <c r="CQ429" s="78"/>
      <c r="CR429" s="78"/>
      <c r="CS429" s="78"/>
      <c r="CT429" s="78"/>
      <c r="CU429" s="78"/>
      <c r="CV429" s="78">
        <v>23741.22</v>
      </c>
      <c r="CW429" s="78"/>
      <c r="CX429" s="78"/>
      <c r="CY429" s="78"/>
      <c r="CZ429" s="78"/>
      <c r="DA429" s="78"/>
      <c r="DB429" s="78"/>
      <c r="DC429" s="97">
        <v>23741.22</v>
      </c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97"/>
    </row>
    <row r="430" spans="2:120" s="22" customFormat="1" hidden="1" outlineLevel="1" x14ac:dyDescent="0.35">
      <c r="B430" s="25" t="s">
        <v>336</v>
      </c>
      <c r="C430" s="75" t="s">
        <v>4</v>
      </c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80"/>
      <c r="Q430" s="77"/>
      <c r="R430" s="77"/>
      <c r="S430" s="77"/>
      <c r="T430" s="77"/>
      <c r="U430" s="77"/>
      <c r="V430" s="77"/>
      <c r="W430" s="77"/>
      <c r="X430" s="77">
        <v>184800</v>
      </c>
      <c r="Y430" s="77">
        <v>237600</v>
      </c>
      <c r="Z430" s="77">
        <v>220000</v>
      </c>
      <c r="AA430" s="77">
        <v>216700</v>
      </c>
      <c r="AB430" s="77"/>
      <c r="AC430" s="80">
        <v>859100</v>
      </c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80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83"/>
      <c r="BD430" s="77"/>
      <c r="BE430" s="77"/>
      <c r="BF430" s="77"/>
      <c r="BG430" s="77"/>
      <c r="BH430" s="77"/>
      <c r="BI430" s="77"/>
      <c r="BJ430" s="77"/>
      <c r="BK430" s="77">
        <v>1401.1145027193581</v>
      </c>
      <c r="BL430" s="77">
        <v>1396.3418342743166</v>
      </c>
      <c r="BM430" s="77">
        <v>1399.4463322478864</v>
      </c>
      <c r="BN430" s="77">
        <v>1398.2996079792983</v>
      </c>
      <c r="BO430" s="77"/>
      <c r="BP430" s="83">
        <v>1398.6573135487884</v>
      </c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83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96"/>
      <c r="CQ430" s="77"/>
      <c r="CR430" s="77"/>
      <c r="CS430" s="77"/>
      <c r="CT430" s="77"/>
      <c r="CU430" s="77"/>
      <c r="CV430" s="77"/>
      <c r="CW430" s="77"/>
      <c r="CX430" s="77">
        <v>29991.947602813852</v>
      </c>
      <c r="CY430" s="77">
        <v>30183.579684343433</v>
      </c>
      <c r="CZ430" s="77">
        <v>32966.929009090913</v>
      </c>
      <c r="DA430" s="77">
        <v>32904.770733733269</v>
      </c>
      <c r="DB430" s="77"/>
      <c r="DC430" s="96">
        <v>31541.518624141547</v>
      </c>
      <c r="DD430" s="77"/>
      <c r="DE430" s="77"/>
      <c r="DF430" s="77"/>
      <c r="DG430" s="77"/>
      <c r="DH430" s="77"/>
      <c r="DI430" s="77"/>
      <c r="DJ430" s="77"/>
      <c r="DK430" s="77"/>
      <c r="DL430" s="77"/>
      <c r="DM430" s="77"/>
      <c r="DN430" s="77"/>
      <c r="DO430" s="77"/>
      <c r="DP430" s="96"/>
    </row>
    <row r="431" spans="2:120" hidden="1" collapsed="1" x14ac:dyDescent="0.35">
      <c r="B431" s="106" t="s">
        <v>337</v>
      </c>
      <c r="C431" s="76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81"/>
      <c r="Q431" s="78"/>
      <c r="R431" s="78"/>
      <c r="S431" s="78"/>
      <c r="T431" s="78"/>
      <c r="U431" s="78"/>
      <c r="V431" s="78"/>
      <c r="W431" s="78"/>
      <c r="X431" s="78">
        <v>184800</v>
      </c>
      <c r="Y431" s="78">
        <v>237600</v>
      </c>
      <c r="Z431" s="78">
        <v>220000</v>
      </c>
      <c r="AA431" s="78">
        <v>216700</v>
      </c>
      <c r="AB431" s="78"/>
      <c r="AC431" s="81">
        <v>859100</v>
      </c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81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84"/>
      <c r="BD431" s="78"/>
      <c r="BE431" s="78"/>
      <c r="BF431" s="78"/>
      <c r="BG431" s="78"/>
      <c r="BH431" s="78"/>
      <c r="BI431" s="78"/>
      <c r="BJ431" s="78"/>
      <c r="BK431" s="78">
        <v>1401.1145027193581</v>
      </c>
      <c r="BL431" s="78">
        <v>1396.3418342743166</v>
      </c>
      <c r="BM431" s="78">
        <v>1399.4463322478864</v>
      </c>
      <c r="BN431" s="78">
        <v>1398.2996079792983</v>
      </c>
      <c r="BO431" s="78"/>
      <c r="BP431" s="84">
        <v>1398.6573135487884</v>
      </c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84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97"/>
      <c r="CQ431" s="78"/>
      <c r="CR431" s="78"/>
      <c r="CS431" s="78"/>
      <c r="CT431" s="78"/>
      <c r="CU431" s="78"/>
      <c r="CV431" s="78"/>
      <c r="CW431" s="78"/>
      <c r="CX431" s="78">
        <v>29991.947602813852</v>
      </c>
      <c r="CY431" s="78">
        <v>30183.579684343433</v>
      </c>
      <c r="CZ431" s="78">
        <v>32966.929009090913</v>
      </c>
      <c r="DA431" s="78">
        <v>32904.770733733269</v>
      </c>
      <c r="DB431" s="78"/>
      <c r="DC431" s="97">
        <v>31541.518624141547</v>
      </c>
      <c r="DD431" s="78"/>
      <c r="DE431" s="78"/>
      <c r="DF431" s="78"/>
      <c r="DG431" s="78"/>
      <c r="DH431" s="78"/>
      <c r="DI431" s="78"/>
      <c r="DJ431" s="78"/>
      <c r="DK431" s="78"/>
      <c r="DL431" s="78"/>
      <c r="DM431" s="78"/>
      <c r="DN431" s="78"/>
      <c r="DO431" s="78"/>
      <c r="DP431" s="97"/>
    </row>
    <row r="432" spans="2:120" s="22" customFormat="1" hidden="1" outlineLevel="1" x14ac:dyDescent="0.35">
      <c r="B432" s="25" t="s">
        <v>338</v>
      </c>
      <c r="C432" s="75" t="s">
        <v>115</v>
      </c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80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>
        <v>20000</v>
      </c>
      <c r="AC432" s="80">
        <v>20000</v>
      </c>
      <c r="AD432" s="77"/>
      <c r="AE432" s="77"/>
      <c r="AF432" s="77"/>
      <c r="AG432" s="77">
        <v>440000</v>
      </c>
      <c r="AH432" s="77"/>
      <c r="AI432" s="77"/>
      <c r="AJ432" s="77"/>
      <c r="AK432" s="77"/>
      <c r="AL432" s="77"/>
      <c r="AM432" s="77"/>
      <c r="AN432" s="77"/>
      <c r="AO432" s="77"/>
      <c r="AP432" s="80">
        <v>440000</v>
      </c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83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>
        <v>913.20265886074708</v>
      </c>
      <c r="BP432" s="83">
        <v>913.20265886074708</v>
      </c>
      <c r="BQ432" s="77"/>
      <c r="BR432" s="77"/>
      <c r="BS432" s="77"/>
      <c r="BT432" s="77">
        <v>780</v>
      </c>
      <c r="BU432" s="77"/>
      <c r="BV432" s="77"/>
      <c r="BW432" s="77"/>
      <c r="BX432" s="77"/>
      <c r="BY432" s="77"/>
      <c r="BZ432" s="77"/>
      <c r="CA432" s="77"/>
      <c r="CB432" s="77"/>
      <c r="CC432" s="83">
        <v>780</v>
      </c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96"/>
      <c r="CQ432" s="77"/>
      <c r="CR432" s="77"/>
      <c r="CS432" s="77"/>
      <c r="CT432" s="77"/>
      <c r="CU432" s="77"/>
      <c r="CV432" s="77"/>
      <c r="CW432" s="77"/>
      <c r="CX432" s="77"/>
      <c r="CY432" s="77"/>
      <c r="CZ432" s="77"/>
      <c r="DA432" s="77"/>
      <c r="DB432" s="77">
        <v>25925.0059</v>
      </c>
      <c r="DC432" s="96">
        <v>25925.0059</v>
      </c>
      <c r="DD432" s="77"/>
      <c r="DE432" s="77"/>
      <c r="DF432" s="77"/>
      <c r="DG432" s="77">
        <v>20404.999999999996</v>
      </c>
      <c r="DH432" s="77"/>
      <c r="DI432" s="77"/>
      <c r="DJ432" s="77"/>
      <c r="DK432" s="77"/>
      <c r="DL432" s="77"/>
      <c r="DM432" s="77"/>
      <c r="DN432" s="77"/>
      <c r="DO432" s="77"/>
      <c r="DP432" s="96">
        <v>20404.999999999996</v>
      </c>
    </row>
    <row r="433" spans="1:120" s="22" customFormat="1" hidden="1" outlineLevel="1" x14ac:dyDescent="0.35">
      <c r="B433" s="25" t="s">
        <v>338</v>
      </c>
      <c r="C433" s="75" t="s">
        <v>33</v>
      </c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80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80"/>
      <c r="AD433" s="77"/>
      <c r="AE433" s="77"/>
      <c r="AF433" s="77"/>
      <c r="AG433" s="77">
        <v>220000</v>
      </c>
      <c r="AH433" s="77"/>
      <c r="AI433" s="77"/>
      <c r="AJ433" s="77"/>
      <c r="AK433" s="77"/>
      <c r="AL433" s="77"/>
      <c r="AM433" s="77"/>
      <c r="AN433" s="77"/>
      <c r="AO433" s="77"/>
      <c r="AP433" s="80">
        <v>220000</v>
      </c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83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83"/>
      <c r="BQ433" s="77"/>
      <c r="BR433" s="77"/>
      <c r="BS433" s="77"/>
      <c r="BT433" s="77">
        <v>740</v>
      </c>
      <c r="BU433" s="77"/>
      <c r="BV433" s="77"/>
      <c r="BW433" s="77"/>
      <c r="BX433" s="77"/>
      <c r="BY433" s="77"/>
      <c r="BZ433" s="77"/>
      <c r="CA433" s="77"/>
      <c r="CB433" s="77"/>
      <c r="CC433" s="83">
        <v>740</v>
      </c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96"/>
      <c r="CQ433" s="77"/>
      <c r="CR433" s="77"/>
      <c r="CS433" s="77"/>
      <c r="CT433" s="77"/>
      <c r="CU433" s="77"/>
      <c r="CV433" s="77"/>
      <c r="CW433" s="77"/>
      <c r="CX433" s="77"/>
      <c r="CY433" s="77"/>
      <c r="CZ433" s="77"/>
      <c r="DA433" s="77"/>
      <c r="DB433" s="77"/>
      <c r="DC433" s="96"/>
      <c r="DD433" s="77"/>
      <c r="DE433" s="77"/>
      <c r="DF433" s="77"/>
      <c r="DG433" s="77">
        <v>20404.999999999996</v>
      </c>
      <c r="DH433" s="77"/>
      <c r="DI433" s="77"/>
      <c r="DJ433" s="77"/>
      <c r="DK433" s="77"/>
      <c r="DL433" s="77"/>
      <c r="DM433" s="77"/>
      <c r="DN433" s="77"/>
      <c r="DO433" s="77"/>
      <c r="DP433" s="96">
        <v>20404.999999999996</v>
      </c>
    </row>
    <row r="434" spans="1:120" s="22" customFormat="1" hidden="1" collapsed="1" x14ac:dyDescent="0.35">
      <c r="A434" s="22" t="s">
        <v>368</v>
      </c>
      <c r="B434" s="106" t="s">
        <v>339</v>
      </c>
      <c r="C434" s="76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81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>
        <v>20000</v>
      </c>
      <c r="AC434" s="81">
        <v>20000</v>
      </c>
      <c r="AD434" s="78"/>
      <c r="AE434" s="78"/>
      <c r="AF434" s="78"/>
      <c r="AG434" s="78">
        <v>660000</v>
      </c>
      <c r="AH434" s="78"/>
      <c r="AI434" s="78"/>
      <c r="AJ434" s="78"/>
      <c r="AK434" s="78"/>
      <c r="AL434" s="78"/>
      <c r="AM434" s="78"/>
      <c r="AN434" s="78"/>
      <c r="AO434" s="78"/>
      <c r="AP434" s="81">
        <v>660000</v>
      </c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84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>
        <v>913.20265886074708</v>
      </c>
      <c r="BP434" s="84">
        <v>913.20265886074708</v>
      </c>
      <c r="BQ434" s="78"/>
      <c r="BR434" s="78"/>
      <c r="BS434" s="78"/>
      <c r="BT434" s="78">
        <v>766.66666666666674</v>
      </c>
      <c r="BU434" s="78"/>
      <c r="BV434" s="78"/>
      <c r="BW434" s="78"/>
      <c r="BX434" s="78"/>
      <c r="BY434" s="78"/>
      <c r="BZ434" s="78"/>
      <c r="CA434" s="78"/>
      <c r="CB434" s="78"/>
      <c r="CC434" s="84">
        <v>766.66666666666674</v>
      </c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97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>
        <v>25925.0059</v>
      </c>
      <c r="DC434" s="97">
        <v>25925.0059</v>
      </c>
      <c r="DD434" s="78"/>
      <c r="DE434" s="78"/>
      <c r="DF434" s="78"/>
      <c r="DG434" s="78">
        <v>20404.999999999993</v>
      </c>
      <c r="DH434" s="78"/>
      <c r="DI434" s="78"/>
      <c r="DJ434" s="78"/>
      <c r="DK434" s="78"/>
      <c r="DL434" s="78"/>
      <c r="DM434" s="78"/>
      <c r="DN434" s="78"/>
      <c r="DO434" s="78"/>
      <c r="DP434" s="97">
        <v>20404.999999999993</v>
      </c>
    </row>
    <row r="435" spans="1:120" s="22" customFormat="1" hidden="1" outlineLevel="1" x14ac:dyDescent="0.35">
      <c r="B435" s="25" t="s">
        <v>340</v>
      </c>
      <c r="C435" s="75" t="s">
        <v>266</v>
      </c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80"/>
      <c r="Q435" s="77"/>
      <c r="R435" s="77"/>
      <c r="S435" s="77"/>
      <c r="T435" s="77"/>
      <c r="U435" s="77"/>
      <c r="V435" s="77"/>
      <c r="W435" s="77"/>
      <c r="X435" s="77"/>
      <c r="Y435" s="77">
        <v>5000</v>
      </c>
      <c r="Z435" s="77"/>
      <c r="AA435" s="77"/>
      <c r="AB435" s="77"/>
      <c r="AC435" s="80">
        <v>5000</v>
      </c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80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83"/>
      <c r="BD435" s="77"/>
      <c r="BE435" s="77"/>
      <c r="BF435" s="77"/>
      <c r="BG435" s="77"/>
      <c r="BH435" s="77"/>
      <c r="BI435" s="77"/>
      <c r="BJ435" s="77"/>
      <c r="BK435" s="77"/>
      <c r="BL435" s="77">
        <v>763.05324906685746</v>
      </c>
      <c r="BM435" s="77"/>
      <c r="BN435" s="77"/>
      <c r="BO435" s="77"/>
      <c r="BP435" s="83">
        <v>763.05324906685746</v>
      </c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83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96"/>
      <c r="CQ435" s="77"/>
      <c r="CR435" s="77"/>
      <c r="CS435" s="77"/>
      <c r="CT435" s="77"/>
      <c r="CU435" s="77"/>
      <c r="CV435" s="77"/>
      <c r="CW435" s="77"/>
      <c r="CX435" s="77"/>
      <c r="CY435" s="77">
        <v>35102.8992</v>
      </c>
      <c r="CZ435" s="77"/>
      <c r="DA435" s="77"/>
      <c r="DB435" s="77"/>
      <c r="DC435" s="96">
        <v>35102.8992</v>
      </c>
      <c r="DD435" s="77"/>
      <c r="DE435" s="77"/>
      <c r="DF435" s="77"/>
      <c r="DG435" s="77"/>
      <c r="DH435" s="77"/>
      <c r="DI435" s="77"/>
      <c r="DJ435" s="77"/>
      <c r="DK435" s="77"/>
      <c r="DL435" s="77"/>
      <c r="DM435" s="77"/>
      <c r="DN435" s="77"/>
      <c r="DO435" s="77"/>
      <c r="DP435" s="96"/>
    </row>
    <row r="436" spans="1:120" hidden="1" collapsed="1" x14ac:dyDescent="0.35">
      <c r="B436" s="106" t="s">
        <v>341</v>
      </c>
      <c r="C436" s="76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81"/>
      <c r="Q436" s="78"/>
      <c r="R436" s="78"/>
      <c r="S436" s="78"/>
      <c r="T436" s="78"/>
      <c r="U436" s="78"/>
      <c r="V436" s="78"/>
      <c r="W436" s="78"/>
      <c r="X436" s="78"/>
      <c r="Y436" s="78">
        <v>5000</v>
      </c>
      <c r="Z436" s="78"/>
      <c r="AA436" s="78"/>
      <c r="AB436" s="78"/>
      <c r="AC436" s="81">
        <v>5000</v>
      </c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81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84"/>
      <c r="BD436" s="78"/>
      <c r="BE436" s="78"/>
      <c r="BF436" s="78"/>
      <c r="BG436" s="78"/>
      <c r="BH436" s="78"/>
      <c r="BI436" s="78"/>
      <c r="BJ436" s="78"/>
      <c r="BK436" s="78"/>
      <c r="BL436" s="78">
        <v>763.05324906685746</v>
      </c>
      <c r="BM436" s="78"/>
      <c r="BN436" s="78"/>
      <c r="BO436" s="78"/>
      <c r="BP436" s="84">
        <v>763.05324906685746</v>
      </c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84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97"/>
      <c r="CQ436" s="78"/>
      <c r="CR436" s="78"/>
      <c r="CS436" s="78"/>
      <c r="CT436" s="78"/>
      <c r="CU436" s="78"/>
      <c r="CV436" s="78"/>
      <c r="CW436" s="78"/>
      <c r="CX436" s="78"/>
      <c r="CY436" s="78">
        <v>35102.8992</v>
      </c>
      <c r="CZ436" s="78"/>
      <c r="DA436" s="78"/>
      <c r="DB436" s="78"/>
      <c r="DC436" s="97">
        <v>35102.8992</v>
      </c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97"/>
    </row>
    <row r="437" spans="1:120" s="22" customFormat="1" hidden="1" outlineLevel="1" x14ac:dyDescent="0.35">
      <c r="B437" s="25" t="s">
        <v>342</v>
      </c>
      <c r="C437" s="75" t="s">
        <v>343</v>
      </c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80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>
        <v>600</v>
      </c>
      <c r="AB437" s="77"/>
      <c r="AC437" s="80">
        <v>600</v>
      </c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80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83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>
        <v>798.06786971819417</v>
      </c>
      <c r="BO437" s="77"/>
      <c r="BP437" s="83">
        <v>798.06786971819417</v>
      </c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83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96"/>
      <c r="CQ437" s="77"/>
      <c r="CR437" s="77"/>
      <c r="CS437" s="77"/>
      <c r="CT437" s="77"/>
      <c r="CU437" s="77"/>
      <c r="CV437" s="77"/>
      <c r="CW437" s="77"/>
      <c r="CX437" s="77"/>
      <c r="CY437" s="77"/>
      <c r="CZ437" s="77"/>
      <c r="DA437" s="77">
        <v>24956.22</v>
      </c>
      <c r="DB437" s="77"/>
      <c r="DC437" s="96">
        <v>24956.22</v>
      </c>
      <c r="DD437" s="77"/>
      <c r="DE437" s="77"/>
      <c r="DF437" s="77"/>
      <c r="DG437" s="77"/>
      <c r="DH437" s="77"/>
      <c r="DI437" s="77"/>
      <c r="DJ437" s="77"/>
      <c r="DK437" s="77"/>
      <c r="DL437" s="77"/>
      <c r="DM437" s="77"/>
      <c r="DN437" s="77"/>
      <c r="DO437" s="77"/>
      <c r="DP437" s="96"/>
    </row>
    <row r="438" spans="1:120" s="22" customFormat="1" hidden="1" outlineLevel="1" x14ac:dyDescent="0.35">
      <c r="B438" s="25" t="s">
        <v>342</v>
      </c>
      <c r="C438" s="75" t="s">
        <v>62</v>
      </c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80"/>
      <c r="Q438" s="77"/>
      <c r="R438" s="77"/>
      <c r="S438" s="77"/>
      <c r="T438" s="77"/>
      <c r="U438" s="77"/>
      <c r="V438" s="77"/>
      <c r="W438" s="77"/>
      <c r="X438" s="77"/>
      <c r="Y438" s="77"/>
      <c r="Z438" s="77">
        <v>3500</v>
      </c>
      <c r="AA438" s="77"/>
      <c r="AB438" s="77"/>
      <c r="AC438" s="80">
        <v>3500</v>
      </c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80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83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>
        <v>811.3662362323638</v>
      </c>
      <c r="BN438" s="77"/>
      <c r="BO438" s="77"/>
      <c r="BP438" s="83">
        <v>811.3662362323638</v>
      </c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83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96"/>
      <c r="CQ438" s="77"/>
      <c r="CR438" s="77"/>
      <c r="CS438" s="77"/>
      <c r="CT438" s="77"/>
      <c r="CU438" s="77"/>
      <c r="CV438" s="77"/>
      <c r="CW438" s="77"/>
      <c r="CX438" s="77"/>
      <c r="CY438" s="77"/>
      <c r="CZ438" s="77">
        <v>24956.200857142856</v>
      </c>
      <c r="DA438" s="77"/>
      <c r="DB438" s="77"/>
      <c r="DC438" s="96">
        <v>24956.200857142856</v>
      </c>
      <c r="DD438" s="77"/>
      <c r="DE438" s="77"/>
      <c r="DF438" s="77"/>
      <c r="DG438" s="77"/>
      <c r="DH438" s="77"/>
      <c r="DI438" s="77"/>
      <c r="DJ438" s="77"/>
      <c r="DK438" s="77"/>
      <c r="DL438" s="77"/>
      <c r="DM438" s="77"/>
      <c r="DN438" s="77"/>
      <c r="DO438" s="77"/>
      <c r="DP438" s="96"/>
    </row>
    <row r="439" spans="1:120" hidden="1" collapsed="1" x14ac:dyDescent="0.35">
      <c r="B439" s="106" t="s">
        <v>344</v>
      </c>
      <c r="C439" s="76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81"/>
      <c r="Q439" s="78"/>
      <c r="R439" s="78"/>
      <c r="S439" s="78"/>
      <c r="T439" s="78"/>
      <c r="U439" s="78"/>
      <c r="V439" s="78"/>
      <c r="W439" s="78"/>
      <c r="X439" s="78"/>
      <c r="Y439" s="78"/>
      <c r="Z439" s="78">
        <v>3500</v>
      </c>
      <c r="AA439" s="78">
        <v>600</v>
      </c>
      <c r="AB439" s="78"/>
      <c r="AC439" s="81">
        <v>4100</v>
      </c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81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84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>
        <v>811.3662362323638</v>
      </c>
      <c r="BN439" s="78">
        <v>798.06786971819417</v>
      </c>
      <c r="BO439" s="78"/>
      <c r="BP439" s="84">
        <v>809.42013381565607</v>
      </c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84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97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>
        <v>24956.200857142856</v>
      </c>
      <c r="DA439" s="78">
        <v>24956.22</v>
      </c>
      <c r="DB439" s="78"/>
      <c r="DC439" s="97">
        <v>24956.203658536586</v>
      </c>
      <c r="DD439" s="78"/>
      <c r="DE439" s="78"/>
      <c r="DF439" s="78"/>
      <c r="DG439" s="78"/>
      <c r="DH439" s="78"/>
      <c r="DI439" s="78"/>
      <c r="DJ439" s="78"/>
      <c r="DK439" s="78"/>
      <c r="DL439" s="78"/>
      <c r="DM439" s="78"/>
      <c r="DN439" s="78"/>
      <c r="DO439" s="78"/>
      <c r="DP439" s="97"/>
    </row>
    <row r="440" spans="1:120" s="22" customFormat="1" hidden="1" outlineLevel="1" x14ac:dyDescent="0.35">
      <c r="B440" s="25" t="s">
        <v>345</v>
      </c>
      <c r="C440" s="75" t="s">
        <v>5</v>
      </c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80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80"/>
      <c r="AD440" s="77"/>
      <c r="AE440" s="77"/>
      <c r="AF440" s="77"/>
      <c r="AG440" s="77">
        <v>50</v>
      </c>
      <c r="AH440" s="77"/>
      <c r="AI440" s="77"/>
      <c r="AJ440" s="77"/>
      <c r="AK440" s="77"/>
      <c r="AL440" s="77"/>
      <c r="AM440" s="77"/>
      <c r="AN440" s="77"/>
      <c r="AO440" s="77"/>
      <c r="AP440" s="80">
        <v>50</v>
      </c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83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83"/>
      <c r="BQ440" s="77"/>
      <c r="BR440" s="77"/>
      <c r="BS440" s="77"/>
      <c r="BT440" s="77">
        <v>1052.440380952381</v>
      </c>
      <c r="BU440" s="77"/>
      <c r="BV440" s="77"/>
      <c r="BW440" s="77"/>
      <c r="BX440" s="77"/>
      <c r="BY440" s="77"/>
      <c r="BZ440" s="77"/>
      <c r="CA440" s="77"/>
      <c r="CB440" s="77"/>
      <c r="CC440" s="83">
        <v>1052.440380952381</v>
      </c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96"/>
      <c r="CQ440" s="77"/>
      <c r="CR440" s="77"/>
      <c r="CS440" s="77"/>
      <c r="CT440" s="77"/>
      <c r="CU440" s="77"/>
      <c r="CV440" s="77"/>
      <c r="CW440" s="77"/>
      <c r="CX440" s="77"/>
      <c r="CY440" s="77"/>
      <c r="CZ440" s="77"/>
      <c r="DA440" s="77"/>
      <c r="DB440" s="77"/>
      <c r="DC440" s="96"/>
      <c r="DD440" s="77"/>
      <c r="DE440" s="77"/>
      <c r="DF440" s="77"/>
      <c r="DG440" s="77">
        <v>22490.999999999996</v>
      </c>
      <c r="DH440" s="77"/>
      <c r="DI440" s="77"/>
      <c r="DJ440" s="77"/>
      <c r="DK440" s="77"/>
      <c r="DL440" s="77"/>
      <c r="DM440" s="77"/>
      <c r="DN440" s="77"/>
      <c r="DO440" s="77"/>
      <c r="DP440" s="96">
        <v>22490.999999999996</v>
      </c>
    </row>
    <row r="441" spans="1:120" s="22" customFormat="1" hidden="1" outlineLevel="1" x14ac:dyDescent="0.35">
      <c r="B441" s="25" t="s">
        <v>345</v>
      </c>
      <c r="C441" s="75" t="s">
        <v>346</v>
      </c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80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80"/>
      <c r="AD441" s="77"/>
      <c r="AE441" s="77"/>
      <c r="AF441" s="77"/>
      <c r="AG441" s="77">
        <v>50</v>
      </c>
      <c r="AH441" s="77"/>
      <c r="AI441" s="77"/>
      <c r="AJ441" s="77"/>
      <c r="AK441" s="77"/>
      <c r="AL441" s="77"/>
      <c r="AM441" s="77"/>
      <c r="AN441" s="77"/>
      <c r="AO441" s="77"/>
      <c r="AP441" s="80">
        <v>50</v>
      </c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83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83"/>
      <c r="BQ441" s="77"/>
      <c r="BR441" s="77"/>
      <c r="BS441" s="77"/>
      <c r="BT441" s="77">
        <v>1004.2285714285715</v>
      </c>
      <c r="BU441" s="77"/>
      <c r="BV441" s="77"/>
      <c r="BW441" s="77"/>
      <c r="BX441" s="77"/>
      <c r="BY441" s="77"/>
      <c r="BZ441" s="77"/>
      <c r="CA441" s="77"/>
      <c r="CB441" s="77"/>
      <c r="CC441" s="83">
        <v>1004.2285714285715</v>
      </c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96"/>
      <c r="CQ441" s="77"/>
      <c r="CR441" s="77"/>
      <c r="CS441" s="77"/>
      <c r="CT441" s="77"/>
      <c r="CU441" s="77"/>
      <c r="CV441" s="77"/>
      <c r="CW441" s="77"/>
      <c r="CX441" s="77"/>
      <c r="CY441" s="77"/>
      <c r="CZ441" s="77"/>
      <c r="DA441" s="77"/>
      <c r="DB441" s="77"/>
      <c r="DC441" s="96"/>
      <c r="DD441" s="77"/>
      <c r="DE441" s="77"/>
      <c r="DF441" s="77"/>
      <c r="DG441" s="77">
        <v>22490.999999999996</v>
      </c>
      <c r="DH441" s="77"/>
      <c r="DI441" s="77"/>
      <c r="DJ441" s="77"/>
      <c r="DK441" s="77"/>
      <c r="DL441" s="77"/>
      <c r="DM441" s="77"/>
      <c r="DN441" s="77"/>
      <c r="DO441" s="77"/>
      <c r="DP441" s="96">
        <v>22490.999999999996</v>
      </c>
    </row>
    <row r="442" spans="1:120" s="22" customFormat="1" hidden="1" outlineLevel="1" x14ac:dyDescent="0.35">
      <c r="B442" s="25" t="s">
        <v>345</v>
      </c>
      <c r="C442" s="75" t="s">
        <v>347</v>
      </c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80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80"/>
      <c r="AD442" s="77"/>
      <c r="AE442" s="77"/>
      <c r="AF442" s="77"/>
      <c r="AG442" s="77">
        <v>800</v>
      </c>
      <c r="AH442" s="77"/>
      <c r="AI442" s="77"/>
      <c r="AJ442" s="77"/>
      <c r="AK442" s="77"/>
      <c r="AL442" s="77"/>
      <c r="AM442" s="77"/>
      <c r="AN442" s="77"/>
      <c r="AO442" s="77"/>
      <c r="AP442" s="80">
        <v>800</v>
      </c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83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83"/>
      <c r="BQ442" s="77"/>
      <c r="BR442" s="77"/>
      <c r="BS442" s="77"/>
      <c r="BT442" s="77">
        <v>1004.3831401513304</v>
      </c>
      <c r="BU442" s="77"/>
      <c r="BV442" s="77"/>
      <c r="BW442" s="77"/>
      <c r="BX442" s="77"/>
      <c r="BY442" s="77"/>
      <c r="BZ442" s="77"/>
      <c r="CA442" s="77"/>
      <c r="CB442" s="77"/>
      <c r="CC442" s="83">
        <v>1004.3831401513304</v>
      </c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96"/>
      <c r="CQ442" s="77"/>
      <c r="CR442" s="77"/>
      <c r="CS442" s="77"/>
      <c r="CT442" s="77"/>
      <c r="CU442" s="77"/>
      <c r="CV442" s="77"/>
      <c r="CW442" s="77"/>
      <c r="CX442" s="77"/>
      <c r="CY442" s="77"/>
      <c r="CZ442" s="77"/>
      <c r="DA442" s="77"/>
      <c r="DB442" s="77"/>
      <c r="DC442" s="96"/>
      <c r="DD442" s="77"/>
      <c r="DE442" s="77"/>
      <c r="DF442" s="77"/>
      <c r="DG442" s="77">
        <v>22490.999999999996</v>
      </c>
      <c r="DH442" s="77"/>
      <c r="DI442" s="77"/>
      <c r="DJ442" s="77"/>
      <c r="DK442" s="77"/>
      <c r="DL442" s="77"/>
      <c r="DM442" s="77"/>
      <c r="DN442" s="77"/>
      <c r="DO442" s="77"/>
      <c r="DP442" s="96">
        <v>22490.999999999996</v>
      </c>
    </row>
    <row r="443" spans="1:120" hidden="1" collapsed="1" x14ac:dyDescent="0.35">
      <c r="B443" s="106" t="s">
        <v>348</v>
      </c>
      <c r="C443" s="76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81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81"/>
      <c r="AD443" s="78"/>
      <c r="AE443" s="78"/>
      <c r="AF443" s="78"/>
      <c r="AG443" s="78">
        <v>900</v>
      </c>
      <c r="AH443" s="78"/>
      <c r="AI443" s="78"/>
      <c r="AJ443" s="78"/>
      <c r="AK443" s="78"/>
      <c r="AL443" s="78"/>
      <c r="AM443" s="78"/>
      <c r="AN443" s="78"/>
      <c r="AO443" s="78"/>
      <c r="AP443" s="81">
        <v>900</v>
      </c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84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84"/>
      <c r="BQ443" s="78"/>
      <c r="BR443" s="78"/>
      <c r="BS443" s="78"/>
      <c r="BT443" s="78">
        <v>1007.0443997112355</v>
      </c>
      <c r="BU443" s="78"/>
      <c r="BV443" s="78"/>
      <c r="BW443" s="78"/>
      <c r="BX443" s="78"/>
      <c r="BY443" s="78"/>
      <c r="BZ443" s="78"/>
      <c r="CA443" s="78"/>
      <c r="CB443" s="78"/>
      <c r="CC443" s="84">
        <v>1007.0443997112355</v>
      </c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97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97"/>
      <c r="DD443" s="78"/>
      <c r="DE443" s="78"/>
      <c r="DF443" s="78"/>
      <c r="DG443" s="78">
        <v>22490.999999999996</v>
      </c>
      <c r="DH443" s="78"/>
      <c r="DI443" s="78"/>
      <c r="DJ443" s="78"/>
      <c r="DK443" s="78"/>
      <c r="DL443" s="78"/>
      <c r="DM443" s="78"/>
      <c r="DN443" s="78"/>
      <c r="DO443" s="78"/>
      <c r="DP443" s="97">
        <v>22490.999999999996</v>
      </c>
    </row>
    <row r="444" spans="1:120" ht="15" hidden="1" thickBot="1" x14ac:dyDescent="0.4">
      <c r="B444" s="1" t="s">
        <v>349</v>
      </c>
      <c r="C444" s="2"/>
      <c r="D444" s="3">
        <v>3293475</v>
      </c>
      <c r="E444" s="3">
        <v>2229375</v>
      </c>
      <c r="F444" s="3">
        <v>2966400</v>
      </c>
      <c r="G444" s="3">
        <v>3200750</v>
      </c>
      <c r="H444" s="3">
        <v>3423510</v>
      </c>
      <c r="I444" s="3">
        <v>2401793</v>
      </c>
      <c r="J444" s="3">
        <v>1964225</v>
      </c>
      <c r="K444" s="3">
        <v>4991418.2</v>
      </c>
      <c r="L444" s="3">
        <v>4683600</v>
      </c>
      <c r="M444" s="3">
        <v>3877515</v>
      </c>
      <c r="N444" s="3">
        <v>2086925</v>
      </c>
      <c r="O444" s="3">
        <v>2904350</v>
      </c>
      <c r="P444" s="6">
        <v>38023336.200000003</v>
      </c>
      <c r="Q444" s="3">
        <v>3575999.3</v>
      </c>
      <c r="R444" s="3">
        <v>5862675</v>
      </c>
      <c r="S444" s="3">
        <v>4720050</v>
      </c>
      <c r="T444" s="3">
        <v>3970925</v>
      </c>
      <c r="U444" s="3">
        <v>4666024.3</v>
      </c>
      <c r="V444" s="3">
        <v>3773208</v>
      </c>
      <c r="W444" s="3">
        <v>4580424.0999999996</v>
      </c>
      <c r="X444" s="3">
        <v>5269368</v>
      </c>
      <c r="Y444" s="3">
        <v>2877043</v>
      </c>
      <c r="Z444" s="3">
        <v>3357195</v>
      </c>
      <c r="AA444" s="3">
        <v>2670415</v>
      </c>
      <c r="AB444" s="3">
        <v>2881111</v>
      </c>
      <c r="AC444" s="6">
        <v>48204437.700000003</v>
      </c>
      <c r="AD444" s="3">
        <v>4107350</v>
      </c>
      <c r="AE444" s="3">
        <v>3166750</v>
      </c>
      <c r="AF444" s="3">
        <v>5889225</v>
      </c>
      <c r="AG444" s="3">
        <v>5629150</v>
      </c>
      <c r="AH444" s="3"/>
      <c r="AI444" s="3"/>
      <c r="AJ444" s="3"/>
      <c r="AK444" s="3"/>
      <c r="AL444" s="3"/>
      <c r="AM444" s="3"/>
      <c r="AN444" s="3"/>
      <c r="AO444" s="3"/>
      <c r="AP444" s="6">
        <v>18792475</v>
      </c>
      <c r="AQ444" s="3">
        <v>1143.9925777086739</v>
      </c>
      <c r="AR444" s="3">
        <v>1197.2157676203708</v>
      </c>
      <c r="AS444" s="3">
        <v>1217.2961748721502</v>
      </c>
      <c r="AT444" s="3">
        <v>1162.8809272153342</v>
      </c>
      <c r="AU444" s="3">
        <v>1157.7349810689807</v>
      </c>
      <c r="AV444" s="3">
        <v>1075.694488538747</v>
      </c>
      <c r="AW444" s="3">
        <v>1106.6717567019407</v>
      </c>
      <c r="AX444" s="3">
        <v>1167.0643354849683</v>
      </c>
      <c r="AY444" s="3">
        <v>1194.4837282636561</v>
      </c>
      <c r="AZ444" s="3">
        <v>1150.7355797477971</v>
      </c>
      <c r="BA444" s="3">
        <v>1269.5026795722188</v>
      </c>
      <c r="BB444" s="3">
        <v>1250.4622720292541</v>
      </c>
      <c r="BC444" s="14">
        <v>1174.3740432760242</v>
      </c>
      <c r="BD444" s="3">
        <v>1227.3988839377694</v>
      </c>
      <c r="BE444" s="3">
        <v>1223.0496981674182</v>
      </c>
      <c r="BF444" s="3">
        <v>1211.73335432313</v>
      </c>
      <c r="BG444" s="3">
        <v>1197.7913143543005</v>
      </c>
      <c r="BH444" s="3">
        <v>1217.3114934710247</v>
      </c>
      <c r="BI444" s="3">
        <v>1164.4468615900134</v>
      </c>
      <c r="BJ444" s="3">
        <v>1128.8257073226655</v>
      </c>
      <c r="BK444" s="3">
        <v>1155.2146331368322</v>
      </c>
      <c r="BL444" s="3">
        <v>1048.1602916503139</v>
      </c>
      <c r="BM444" s="3">
        <v>1096.8558308099609</v>
      </c>
      <c r="BN444" s="3">
        <v>1119.3982178628803</v>
      </c>
      <c r="BO444" s="3">
        <v>1179.0017323558782</v>
      </c>
      <c r="BP444" s="14">
        <v>1171.0708627225881</v>
      </c>
      <c r="BQ444" s="3">
        <v>1109.6340716921547</v>
      </c>
      <c r="BR444" s="3">
        <v>1116.7876546303203</v>
      </c>
      <c r="BS444" s="3">
        <v>1056.1685001004259</v>
      </c>
      <c r="BT444" s="3">
        <v>1090.7913565960835</v>
      </c>
      <c r="BU444" s="3"/>
      <c r="BV444" s="3"/>
      <c r="BW444" s="3"/>
      <c r="BX444" s="3"/>
      <c r="BY444" s="3"/>
      <c r="BZ444" s="3"/>
      <c r="CA444" s="3"/>
      <c r="CB444" s="3"/>
      <c r="CC444" s="14">
        <v>1088.4401820224361</v>
      </c>
      <c r="CD444" s="3">
        <v>22614.551743371343</v>
      </c>
      <c r="CE444" s="3">
        <v>23987.002718699157</v>
      </c>
      <c r="CF444" s="3">
        <v>24182.928296588441</v>
      </c>
      <c r="CG444" s="3">
        <v>23631.910950558471</v>
      </c>
      <c r="CH444" s="3">
        <v>25760.860449363354</v>
      </c>
      <c r="CI444" s="3">
        <v>24607.293632298864</v>
      </c>
      <c r="CJ444" s="3">
        <v>25764.168292329017</v>
      </c>
      <c r="CK444" s="3">
        <v>26872.722385393481</v>
      </c>
      <c r="CL444" s="3">
        <v>25936.165025151651</v>
      </c>
      <c r="CM444" s="3">
        <v>25255.355155041281</v>
      </c>
      <c r="CN444" s="3">
        <v>25550.010425386652</v>
      </c>
      <c r="CO444" s="3">
        <v>25647.480219060599</v>
      </c>
      <c r="CP444" s="98">
        <v>25105.088651164435</v>
      </c>
      <c r="CQ444" s="3">
        <v>25819.299389060678</v>
      </c>
      <c r="CR444" s="3">
        <v>25020.296351580102</v>
      </c>
      <c r="CS444" s="3">
        <v>25867.59836124619</v>
      </c>
      <c r="CT444" s="3">
        <v>26144.559029697069</v>
      </c>
      <c r="CU444" s="3">
        <v>26617.956204599959</v>
      </c>
      <c r="CV444" s="3">
        <v>27119.440900157151</v>
      </c>
      <c r="CW444" s="3">
        <v>27346.687512407505</v>
      </c>
      <c r="CX444" s="3">
        <v>27564.30601639516</v>
      </c>
      <c r="CY444" s="3">
        <v>26944.428589006155</v>
      </c>
      <c r="CZ444" s="3">
        <v>27348.607347205034</v>
      </c>
      <c r="DA444" s="3">
        <v>27679.561387275029</v>
      </c>
      <c r="DB444" s="3">
        <v>26894.989416812856</v>
      </c>
      <c r="DC444" s="98">
        <v>26609.616003744544</v>
      </c>
      <c r="DD444" s="3">
        <v>26759.702840776608</v>
      </c>
      <c r="DE444" s="3">
        <v>27807.86554985393</v>
      </c>
      <c r="DF444" s="3">
        <v>26804.635438618876</v>
      </c>
      <c r="DG444" s="3">
        <v>26248.549333889237</v>
      </c>
      <c r="DH444" s="3"/>
      <c r="DI444" s="3"/>
      <c r="DJ444" s="3"/>
      <c r="DK444" s="3"/>
      <c r="DL444" s="3"/>
      <c r="DM444" s="3"/>
      <c r="DN444" s="3"/>
      <c r="DO444" s="3"/>
      <c r="DP444" s="98">
        <v>26797.299148564874</v>
      </c>
    </row>
    <row r="445" spans="1:120" x14ac:dyDescent="0.35">
      <c r="B445" s="71"/>
      <c r="C445" s="71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3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3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3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4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4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4"/>
      <c r="CP445" s="99"/>
      <c r="DC445" s="99"/>
      <c r="DP445" s="99"/>
    </row>
    <row r="446" spans="1:120" x14ac:dyDescent="0.35">
      <c r="B446" s="71"/>
      <c r="C446" s="71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3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3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3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4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4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4"/>
      <c r="CP446" s="99"/>
      <c r="DC446" s="99"/>
      <c r="DP446" s="99"/>
    </row>
    <row r="447" spans="1:120" x14ac:dyDescent="0.35">
      <c r="B447" s="71"/>
      <c r="C447" s="71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3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3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3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4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4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4"/>
      <c r="CP447" s="99"/>
      <c r="DC447" s="99"/>
      <c r="DP447" s="99"/>
    </row>
    <row r="448" spans="1:120" s="79" customFormat="1" ht="15" thickBot="1" x14ac:dyDescent="0.4">
      <c r="P448" s="82"/>
      <c r="AC448" s="82"/>
      <c r="AP448" s="82"/>
      <c r="BC448" s="85"/>
      <c r="BP448" s="85"/>
      <c r="CC448" s="85"/>
      <c r="CP448" s="100"/>
      <c r="DC448" s="100"/>
      <c r="DP448" s="100"/>
    </row>
    <row r="449" spans="94:120" s="70" customFormat="1" hidden="1" x14ac:dyDescent="0.35">
      <c r="CP449"/>
      <c r="DC449"/>
      <c r="DP449"/>
    </row>
  </sheetData>
  <autoFilter ref="A4:DP444" xr:uid="{B12640BE-79AE-4516-BD8D-AB9F079A5243}">
    <filterColumn colId="0">
      <filters>
        <filter val="Hạt WSS05SB"/>
      </filters>
    </filterColumn>
  </autoFilter>
  <mergeCells count="2">
    <mergeCell ref="B2:B4"/>
    <mergeCell ref="C2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3B94-DA7E-42D7-A4D1-281071674F41}">
  <dimension ref="A1:CC442"/>
  <sheetViews>
    <sheetView showGridLines="0" zoomScale="85" zoomScaleNormal="85" workbookViewId="0">
      <pane xSplit="3" ySplit="4" topLeftCell="D338" activePane="bottomRight" state="frozen"/>
      <selection pane="topRight" activeCell="C1" sqref="C1"/>
      <selection pane="bottomLeft" activeCell="A5" sqref="A5"/>
      <selection pane="bottomRight" activeCell="B372" sqref="B372"/>
    </sheetView>
  </sheetViews>
  <sheetFormatPr defaultRowHeight="15" customHeight="1" zeroHeight="1" outlineLevelRow="1" outlineLevelCol="1" x14ac:dyDescent="0.35"/>
  <cols>
    <col min="1" max="1" width="16.08203125" bestFit="1" customWidth="1"/>
    <col min="2" max="2" width="38.08203125" bestFit="1" customWidth="1"/>
    <col min="3" max="3" width="32.33203125" bestFit="1" customWidth="1"/>
    <col min="4" max="7" width="8.08203125" bestFit="1" customWidth="1" outlineLevel="1"/>
    <col min="8" max="8" width="9.25" bestFit="1" customWidth="1" outlineLevel="1"/>
    <col min="9" max="14" width="8.08203125" bestFit="1" customWidth="1" outlineLevel="1"/>
    <col min="15" max="15" width="8.58203125" customWidth="1" outlineLevel="1"/>
    <col min="16" max="16" width="9.83203125" customWidth="1"/>
    <col min="17" max="28" width="8.08203125" bestFit="1" customWidth="1" outlineLevel="1"/>
    <col min="29" max="29" width="9.58203125" bestFit="1" customWidth="1"/>
    <col min="30" max="33" width="8.08203125" bestFit="1" customWidth="1" outlineLevel="1"/>
    <col min="34" max="41" width="8.08203125" customWidth="1" outlineLevel="1"/>
    <col min="43" max="43" width="17.33203125" bestFit="1" customWidth="1" outlineLevel="1"/>
    <col min="44" max="54" width="7.75" bestFit="1" customWidth="1" outlineLevel="1"/>
    <col min="55" max="55" width="8.58203125" bestFit="1" customWidth="1"/>
    <col min="56" max="67" width="7.75" bestFit="1" customWidth="1" outlineLevel="1"/>
    <col min="68" max="68" width="8.58203125" bestFit="1" customWidth="1"/>
    <col min="69" max="72" width="7.75" bestFit="1" customWidth="1" outlineLevel="1"/>
    <col min="73" max="80" width="7.75" customWidth="1" outlineLevel="1"/>
    <col min="81" max="81" width="8.58203125" bestFit="1" customWidth="1"/>
  </cols>
  <sheetData>
    <row r="1" spans="1:81" ht="14.5" x14ac:dyDescent="0.35">
      <c r="B1" s="35" t="s">
        <v>361</v>
      </c>
    </row>
    <row r="2" spans="1:81" s="9" customFormat="1" ht="17" x14ac:dyDescent="0.4">
      <c r="B2" s="161" t="s">
        <v>1</v>
      </c>
      <c r="C2" s="164" t="s">
        <v>2</v>
      </c>
      <c r="D2" s="7" t="s">
        <v>351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26" t="s">
        <v>0</v>
      </c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61"/>
      <c r="BV2" s="61"/>
      <c r="BW2" s="61"/>
      <c r="BX2" s="61"/>
      <c r="BY2" s="61"/>
      <c r="BZ2" s="61"/>
      <c r="CA2" s="61"/>
      <c r="CB2" s="61"/>
      <c r="CC2" s="27"/>
    </row>
    <row r="3" spans="1:81" thickBot="1" x14ac:dyDescent="0.4">
      <c r="B3" s="162"/>
      <c r="C3" s="165"/>
      <c r="D3" s="5">
        <v>2024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0"/>
      <c r="Q3" s="5">
        <v>2025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>
        <v>2026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4"/>
      <c r="AQ3" s="11">
        <v>2024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1">
        <v>2025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>
        <v>2026</v>
      </c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3"/>
    </row>
    <row r="4" spans="1:81" s="32" customFormat="1" ht="33" customHeight="1" thickTop="1" thickBot="1" x14ac:dyDescent="0.4">
      <c r="B4" s="163"/>
      <c r="C4" s="166"/>
      <c r="D4" s="33" t="s">
        <v>352</v>
      </c>
      <c r="E4" s="33" t="s">
        <v>353</v>
      </c>
      <c r="F4" s="33" t="s">
        <v>354</v>
      </c>
      <c r="G4" s="33" t="s">
        <v>355</v>
      </c>
      <c r="H4" s="33" t="s">
        <v>356</v>
      </c>
      <c r="I4" s="33" t="s">
        <v>357</v>
      </c>
      <c r="J4" s="33" t="s">
        <v>358</v>
      </c>
      <c r="K4" s="33" t="s">
        <v>359</v>
      </c>
      <c r="L4" s="33" t="s">
        <v>360</v>
      </c>
      <c r="M4" s="28">
        <v>10</v>
      </c>
      <c r="N4" s="28">
        <v>11</v>
      </c>
      <c r="O4" s="28">
        <v>12</v>
      </c>
      <c r="P4" s="29" t="s">
        <v>350</v>
      </c>
      <c r="Q4" s="33" t="s">
        <v>352</v>
      </c>
      <c r="R4" s="33" t="s">
        <v>353</v>
      </c>
      <c r="S4" s="33" t="s">
        <v>354</v>
      </c>
      <c r="T4" s="33" t="s">
        <v>355</v>
      </c>
      <c r="U4" s="33" t="s">
        <v>356</v>
      </c>
      <c r="V4" s="33" t="s">
        <v>357</v>
      </c>
      <c r="W4" s="33" t="s">
        <v>358</v>
      </c>
      <c r="X4" s="33" t="s">
        <v>359</v>
      </c>
      <c r="Y4" s="33" t="s">
        <v>360</v>
      </c>
      <c r="Z4" s="28">
        <v>10</v>
      </c>
      <c r="AA4" s="28">
        <v>11</v>
      </c>
      <c r="AB4" s="28">
        <v>12</v>
      </c>
      <c r="AC4" s="29" t="s">
        <v>350</v>
      </c>
      <c r="AD4" s="33" t="s">
        <v>352</v>
      </c>
      <c r="AE4" s="33" t="s">
        <v>353</v>
      </c>
      <c r="AF4" s="33" t="s">
        <v>354</v>
      </c>
      <c r="AG4" s="33" t="s">
        <v>355</v>
      </c>
      <c r="AH4" s="60" t="s">
        <v>356</v>
      </c>
      <c r="AI4" s="60" t="s">
        <v>357</v>
      </c>
      <c r="AJ4" s="60" t="s">
        <v>358</v>
      </c>
      <c r="AK4" s="60" t="s">
        <v>359</v>
      </c>
      <c r="AL4" s="60" t="s">
        <v>360</v>
      </c>
      <c r="AM4" s="60">
        <v>10</v>
      </c>
      <c r="AN4" s="60">
        <v>11</v>
      </c>
      <c r="AO4" s="60">
        <v>12</v>
      </c>
      <c r="AP4" s="29" t="s">
        <v>350</v>
      </c>
      <c r="AQ4" s="34" t="s">
        <v>352</v>
      </c>
      <c r="AR4" s="34" t="s">
        <v>353</v>
      </c>
      <c r="AS4" s="34" t="s">
        <v>354</v>
      </c>
      <c r="AT4" s="34" t="s">
        <v>355</v>
      </c>
      <c r="AU4" s="34" t="s">
        <v>356</v>
      </c>
      <c r="AV4" s="34" t="s">
        <v>357</v>
      </c>
      <c r="AW4" s="34" t="s">
        <v>358</v>
      </c>
      <c r="AX4" s="34" t="s">
        <v>359</v>
      </c>
      <c r="AY4" s="34" t="s">
        <v>360</v>
      </c>
      <c r="AZ4" s="30">
        <v>10</v>
      </c>
      <c r="BA4" s="30">
        <v>11</v>
      </c>
      <c r="BB4" s="30">
        <v>12</v>
      </c>
      <c r="BC4" s="31" t="s">
        <v>350</v>
      </c>
      <c r="BD4" s="34" t="s">
        <v>352</v>
      </c>
      <c r="BE4" s="34" t="s">
        <v>353</v>
      </c>
      <c r="BF4" s="34" t="s">
        <v>354</v>
      </c>
      <c r="BG4" s="34" t="s">
        <v>355</v>
      </c>
      <c r="BH4" s="34" t="s">
        <v>356</v>
      </c>
      <c r="BI4" s="34" t="s">
        <v>357</v>
      </c>
      <c r="BJ4" s="34" t="s">
        <v>358</v>
      </c>
      <c r="BK4" s="34" t="s">
        <v>359</v>
      </c>
      <c r="BL4" s="34" t="s">
        <v>360</v>
      </c>
      <c r="BM4" s="30">
        <v>10</v>
      </c>
      <c r="BN4" s="30">
        <v>11</v>
      </c>
      <c r="BO4" s="30">
        <v>12</v>
      </c>
      <c r="BP4" s="31" t="s">
        <v>350</v>
      </c>
      <c r="BQ4" s="34" t="s">
        <v>352</v>
      </c>
      <c r="BR4" s="34" t="s">
        <v>353</v>
      </c>
      <c r="BS4" s="34" t="s">
        <v>354</v>
      </c>
      <c r="BT4" s="34" t="s">
        <v>355</v>
      </c>
      <c r="BU4" s="62" t="s">
        <v>356</v>
      </c>
      <c r="BV4" s="62" t="s">
        <v>357</v>
      </c>
      <c r="BW4" s="62" t="s">
        <v>358</v>
      </c>
      <c r="BX4" s="62" t="s">
        <v>359</v>
      </c>
      <c r="BY4" s="62" t="s">
        <v>360</v>
      </c>
      <c r="BZ4" s="62">
        <v>10</v>
      </c>
      <c r="CA4" s="62">
        <v>11</v>
      </c>
      <c r="CB4" s="62">
        <v>12</v>
      </c>
      <c r="CC4" s="31" t="s">
        <v>350</v>
      </c>
    </row>
    <row r="5" spans="1:81" s="22" customFormat="1" ht="14.5" outlineLevel="1" x14ac:dyDescent="0.35">
      <c r="B5" s="24" t="s">
        <v>3</v>
      </c>
      <c r="C5" s="23" t="s">
        <v>4</v>
      </c>
      <c r="D5" s="20">
        <v>88000</v>
      </c>
      <c r="E5" s="20">
        <v>176000</v>
      </c>
      <c r="F5" s="20">
        <v>286000</v>
      </c>
      <c r="G5" s="20">
        <v>0</v>
      </c>
      <c r="H5" s="20">
        <v>1400000</v>
      </c>
      <c r="I5" s="20">
        <v>600000</v>
      </c>
      <c r="J5" s="20">
        <v>88000</v>
      </c>
      <c r="K5" s="20">
        <v>154000</v>
      </c>
      <c r="L5" s="20">
        <v>242000</v>
      </c>
      <c r="M5" s="20">
        <v>187000</v>
      </c>
      <c r="N5" s="20">
        <v>79200</v>
      </c>
      <c r="O5" s="20">
        <v>239800</v>
      </c>
      <c r="P5" s="21">
        <v>3540000</v>
      </c>
      <c r="Q5" s="20"/>
      <c r="R5" s="20"/>
      <c r="S5" s="20"/>
      <c r="T5" s="20"/>
      <c r="U5" s="20"/>
      <c r="V5" s="20"/>
      <c r="W5" s="20">
        <v>0</v>
      </c>
      <c r="X5" s="20">
        <v>0</v>
      </c>
      <c r="Y5" s="20"/>
      <c r="Z5" s="20">
        <v>60500</v>
      </c>
      <c r="AA5" s="20">
        <v>96800</v>
      </c>
      <c r="AB5" s="20">
        <v>110000</v>
      </c>
      <c r="AC5" s="21">
        <v>267300</v>
      </c>
      <c r="AD5" s="20"/>
      <c r="AE5" s="20">
        <v>33000</v>
      </c>
      <c r="AF5" s="20">
        <v>77000</v>
      </c>
      <c r="AG5" s="20">
        <v>22000</v>
      </c>
      <c r="AH5" s="20"/>
      <c r="AI5" s="20"/>
      <c r="AJ5" s="20"/>
      <c r="AK5" s="20"/>
      <c r="AL5" s="20"/>
      <c r="AM5" s="20"/>
      <c r="AN5" s="20"/>
      <c r="AO5" s="20"/>
      <c r="AP5" s="21">
        <v>132000</v>
      </c>
      <c r="AQ5" s="36">
        <v>1238.9972909538349</v>
      </c>
      <c r="AR5" s="36">
        <v>1236.0481831151494</v>
      </c>
      <c r="AS5" s="36">
        <v>1229.9736436194148</v>
      </c>
      <c r="AT5" s="36"/>
      <c r="AU5" s="36">
        <v>1227.2228496962591</v>
      </c>
      <c r="AV5" s="36">
        <v>1226.6015779535371</v>
      </c>
      <c r="AW5" s="36">
        <v>1321.8483727802397</v>
      </c>
      <c r="AX5" s="36">
        <v>1336.771817131078</v>
      </c>
      <c r="AY5" s="36">
        <v>1360.9667765981239</v>
      </c>
      <c r="AZ5" s="36">
        <v>1338.7940908354437</v>
      </c>
      <c r="BA5" s="36">
        <v>1317.0060577250692</v>
      </c>
      <c r="BB5" s="36">
        <v>1321.6747651726109</v>
      </c>
      <c r="BC5" s="37">
        <v>1258.632796689345</v>
      </c>
      <c r="BD5" s="36"/>
      <c r="BE5" s="36"/>
      <c r="BF5" s="36"/>
      <c r="BG5" s="36"/>
      <c r="BH5" s="36"/>
      <c r="BI5" s="36"/>
      <c r="BJ5" s="36"/>
      <c r="BK5" s="36"/>
      <c r="BL5" s="36"/>
      <c r="BM5" s="36">
        <v>1310.2241253966884</v>
      </c>
      <c r="BN5" s="36">
        <v>1292.5488464852292</v>
      </c>
      <c r="BO5" s="36">
        <v>1311.5730962372852</v>
      </c>
      <c r="BP5" s="37">
        <v>1296.4747349144184</v>
      </c>
      <c r="BQ5" s="36"/>
      <c r="BR5" s="36">
        <v>1298.421049839531</v>
      </c>
      <c r="BS5" s="36">
        <v>1286.9449039300803</v>
      </c>
      <c r="BT5" s="36">
        <v>1288.8590543325331</v>
      </c>
      <c r="BU5" s="36"/>
      <c r="BV5" s="36"/>
      <c r="BW5" s="36"/>
      <c r="BX5" s="36"/>
      <c r="BY5" s="36"/>
      <c r="BZ5" s="36"/>
      <c r="CA5" s="36"/>
      <c r="CB5" s="36"/>
      <c r="CC5" s="37">
        <v>1290.1329654745182</v>
      </c>
    </row>
    <row r="6" spans="1:81" s="22" customFormat="1" ht="14.5" outlineLevel="1" x14ac:dyDescent="0.35">
      <c r="B6" s="24" t="s">
        <v>3</v>
      </c>
      <c r="C6" s="23" t="s">
        <v>5</v>
      </c>
      <c r="D6" s="20"/>
      <c r="E6" s="20">
        <v>33000</v>
      </c>
      <c r="F6" s="20">
        <v>99000</v>
      </c>
      <c r="G6" s="20">
        <v>88000</v>
      </c>
      <c r="H6" s="20">
        <v>-4400</v>
      </c>
      <c r="I6" s="20"/>
      <c r="J6" s="20"/>
      <c r="K6" s="20"/>
      <c r="L6" s="20"/>
      <c r="M6" s="20"/>
      <c r="N6" s="20"/>
      <c r="O6" s="20"/>
      <c r="P6" s="21">
        <v>215600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1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1"/>
      <c r="AQ6" s="36"/>
      <c r="AR6" s="36">
        <v>1294.3457208524267</v>
      </c>
      <c r="AS6" s="36">
        <v>1254.6300548148954</v>
      </c>
      <c r="AT6" s="36">
        <v>1230.0786128232307</v>
      </c>
      <c r="AU6" s="36">
        <v>1228.2129447746747</v>
      </c>
      <c r="AV6" s="36"/>
      <c r="AW6" s="36"/>
      <c r="AX6" s="36"/>
      <c r="AY6" s="36"/>
      <c r="AZ6" s="36"/>
      <c r="BA6" s="36"/>
      <c r="BB6" s="36"/>
      <c r="BC6" s="37">
        <v>1251.2271112534338</v>
      </c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7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7"/>
    </row>
    <row r="7" spans="1:81" s="22" customFormat="1" ht="14.5" outlineLevel="1" x14ac:dyDescent="0.35">
      <c r="B7" s="24" t="s">
        <v>3</v>
      </c>
      <c r="C7" s="23" t="s">
        <v>6</v>
      </c>
      <c r="D7" s="20"/>
      <c r="E7" s="20"/>
      <c r="F7" s="20"/>
      <c r="G7" s="20"/>
      <c r="H7" s="20">
        <v>100</v>
      </c>
      <c r="I7" s="20"/>
      <c r="J7" s="20"/>
      <c r="K7" s="20"/>
      <c r="L7" s="20"/>
      <c r="M7" s="20"/>
      <c r="N7" s="20"/>
      <c r="O7" s="20"/>
      <c r="P7" s="21">
        <v>100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1"/>
      <c r="AQ7" s="36"/>
      <c r="AR7" s="36"/>
      <c r="AS7" s="36"/>
      <c r="AT7" s="36"/>
      <c r="AU7" s="36">
        <v>1310.965091428659</v>
      </c>
      <c r="AV7" s="36"/>
      <c r="AW7" s="36"/>
      <c r="AX7" s="36"/>
      <c r="AY7" s="36"/>
      <c r="AZ7" s="36"/>
      <c r="BA7" s="36"/>
      <c r="BB7" s="36"/>
      <c r="BC7" s="37">
        <v>1310.965091428659</v>
      </c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7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7"/>
    </row>
    <row r="8" spans="1:81" s="22" customFormat="1" ht="14.5" outlineLevel="1" x14ac:dyDescent="0.35">
      <c r="B8" s="24" t="s">
        <v>3</v>
      </c>
      <c r="C8" s="23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>
        <v>200</v>
      </c>
      <c r="N8" s="20"/>
      <c r="O8" s="20">
        <v>44000</v>
      </c>
      <c r="P8" s="21">
        <v>44200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1"/>
      <c r="AQ8" s="36"/>
      <c r="AR8" s="36"/>
      <c r="AS8" s="36"/>
      <c r="AT8" s="36"/>
      <c r="AU8" s="36"/>
      <c r="AV8" s="36"/>
      <c r="AW8" s="36"/>
      <c r="AX8" s="36"/>
      <c r="AY8" s="36"/>
      <c r="AZ8" s="36">
        <v>1306.6096062513275</v>
      </c>
      <c r="BA8" s="36"/>
      <c r="BB8" s="36">
        <v>1314.8793639939545</v>
      </c>
      <c r="BC8" s="37">
        <v>1314.8419442756619</v>
      </c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7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7"/>
    </row>
    <row r="9" spans="1:81" s="22" customFormat="1" ht="14.5" outlineLevel="1" x14ac:dyDescent="0.35">
      <c r="B9" s="24" t="s">
        <v>3</v>
      </c>
      <c r="C9" s="23" t="s">
        <v>8</v>
      </c>
      <c r="D9" s="20"/>
      <c r="E9" s="20"/>
      <c r="F9" s="20"/>
      <c r="G9" s="20"/>
      <c r="H9" s="20"/>
      <c r="I9" s="20">
        <v>55000</v>
      </c>
      <c r="J9" s="20"/>
      <c r="K9" s="20"/>
      <c r="L9" s="20"/>
      <c r="M9" s="20"/>
      <c r="N9" s="20"/>
      <c r="O9" s="20"/>
      <c r="P9" s="21">
        <v>55000</v>
      </c>
      <c r="Q9" s="20">
        <v>22000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>
        <v>22000</v>
      </c>
      <c r="AD9" s="20"/>
      <c r="AE9" s="20"/>
      <c r="AF9" s="20"/>
      <c r="AG9" s="20">
        <v>5500</v>
      </c>
      <c r="AH9" s="20"/>
      <c r="AI9" s="20"/>
      <c r="AJ9" s="20"/>
      <c r="AK9" s="20"/>
      <c r="AL9" s="20"/>
      <c r="AM9" s="20"/>
      <c r="AN9" s="20"/>
      <c r="AO9" s="20"/>
      <c r="AP9" s="21">
        <v>5500</v>
      </c>
      <c r="AQ9" s="36"/>
      <c r="AR9" s="36"/>
      <c r="AS9" s="36"/>
      <c r="AT9" s="36"/>
      <c r="AU9" s="36"/>
      <c r="AV9" s="36">
        <v>1252.7959344253757</v>
      </c>
      <c r="AW9" s="36"/>
      <c r="AX9" s="36"/>
      <c r="AY9" s="36"/>
      <c r="AZ9" s="36"/>
      <c r="BA9" s="36"/>
      <c r="BB9" s="36"/>
      <c r="BC9" s="37">
        <v>1252.7959344253757</v>
      </c>
      <c r="BD9" s="36">
        <v>1289.1609341995484</v>
      </c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>
        <v>1289.1609341995484</v>
      </c>
      <c r="BQ9" s="36"/>
      <c r="BR9" s="36"/>
      <c r="BS9" s="36"/>
      <c r="BT9" s="36">
        <v>1215.1137595065152</v>
      </c>
      <c r="BU9" s="36"/>
      <c r="BV9" s="36"/>
      <c r="BW9" s="36"/>
      <c r="BX9" s="36"/>
      <c r="BY9" s="36"/>
      <c r="BZ9" s="36"/>
      <c r="CA9" s="36"/>
      <c r="CB9" s="36"/>
      <c r="CC9" s="37">
        <v>1215.1137595065152</v>
      </c>
    </row>
    <row r="10" spans="1:81" s="22" customFormat="1" ht="14.5" outlineLevel="1" x14ac:dyDescent="0.35">
      <c r="B10" s="25" t="s">
        <v>3</v>
      </c>
      <c r="C10" s="23" t="s">
        <v>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>
        <v>13200</v>
      </c>
      <c r="O10" s="20">
        <v>-9900</v>
      </c>
      <c r="P10" s="21">
        <v>3300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>
        <v>1280.0029491393032</v>
      </c>
      <c r="BB10" s="36">
        <v>1284.1304469127926</v>
      </c>
      <c r="BC10" s="37">
        <v>1267.6204558188351</v>
      </c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7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7"/>
    </row>
    <row r="11" spans="1:81" ht="14.5" x14ac:dyDescent="0.35">
      <c r="A11" t="s">
        <v>364</v>
      </c>
      <c r="B11" s="15" t="s">
        <v>10</v>
      </c>
      <c r="C11" s="16"/>
      <c r="D11" s="17">
        <v>88000</v>
      </c>
      <c r="E11" s="17">
        <v>209000</v>
      </c>
      <c r="F11" s="17">
        <v>385000</v>
      </c>
      <c r="G11" s="17">
        <v>88000</v>
      </c>
      <c r="H11" s="17">
        <v>1395700</v>
      </c>
      <c r="I11" s="17">
        <v>655000</v>
      </c>
      <c r="J11" s="17">
        <v>88000</v>
      </c>
      <c r="K11" s="17">
        <v>154000</v>
      </c>
      <c r="L11" s="17">
        <v>242000</v>
      </c>
      <c r="M11" s="17">
        <v>187200</v>
      </c>
      <c r="N11" s="17">
        <v>92400</v>
      </c>
      <c r="O11" s="17">
        <v>273900</v>
      </c>
      <c r="P11" s="18">
        <v>3858200</v>
      </c>
      <c r="Q11" s="17">
        <v>22000</v>
      </c>
      <c r="R11" s="17"/>
      <c r="S11" s="17"/>
      <c r="T11" s="17"/>
      <c r="U11" s="17"/>
      <c r="V11" s="17"/>
      <c r="W11" s="17">
        <v>0</v>
      </c>
      <c r="X11" s="17">
        <v>0</v>
      </c>
      <c r="Y11" s="17"/>
      <c r="Z11" s="17">
        <v>60500</v>
      </c>
      <c r="AA11" s="17">
        <v>96800</v>
      </c>
      <c r="AB11" s="17">
        <v>110000</v>
      </c>
      <c r="AC11" s="18">
        <v>289300</v>
      </c>
      <c r="AD11" s="17"/>
      <c r="AE11" s="17">
        <v>33000</v>
      </c>
      <c r="AF11" s="17">
        <v>77000</v>
      </c>
      <c r="AG11" s="17">
        <v>27500</v>
      </c>
      <c r="AH11" s="17"/>
      <c r="AI11" s="17"/>
      <c r="AJ11" s="17"/>
      <c r="AK11" s="17"/>
      <c r="AL11" s="17"/>
      <c r="AM11" s="17"/>
      <c r="AN11" s="17"/>
      <c r="AO11" s="17"/>
      <c r="AP11" s="18">
        <v>137500</v>
      </c>
      <c r="AQ11" s="17">
        <v>1238.9972909538349</v>
      </c>
      <c r="AR11" s="17">
        <v>1245.2530574947198</v>
      </c>
      <c r="AS11" s="17">
        <v>1236.3138636411097</v>
      </c>
      <c r="AT11" s="17">
        <v>1230.0786128232307</v>
      </c>
      <c r="AU11" s="17">
        <v>1227.2257283992956</v>
      </c>
      <c r="AV11" s="17">
        <v>1228.801104069493</v>
      </c>
      <c r="AW11" s="17">
        <v>1321.8483727802397</v>
      </c>
      <c r="AX11" s="17">
        <v>1336.771817131078</v>
      </c>
      <c r="AY11" s="17">
        <v>1360.9667765981239</v>
      </c>
      <c r="AZ11" s="17">
        <v>1338.7597057023411</v>
      </c>
      <c r="BA11" s="17">
        <v>1311.7198993556742</v>
      </c>
      <c r="BB11" s="17">
        <v>1321.9401580127396</v>
      </c>
      <c r="BC11" s="19">
        <v>1258.788735630669</v>
      </c>
      <c r="BD11" s="17">
        <v>1289.1609341995484</v>
      </c>
      <c r="BE11" s="17"/>
      <c r="BF11" s="17"/>
      <c r="BG11" s="17"/>
      <c r="BH11" s="17"/>
      <c r="BI11" s="17"/>
      <c r="BJ11" s="17"/>
      <c r="BK11" s="17"/>
      <c r="BL11" s="17"/>
      <c r="BM11" s="17">
        <v>1310.2241253966884</v>
      </c>
      <c r="BN11" s="17">
        <v>1292.5488464852292</v>
      </c>
      <c r="BO11" s="17">
        <v>1311.5730962372852</v>
      </c>
      <c r="BP11" s="19">
        <v>1295.9185523505498</v>
      </c>
      <c r="BQ11" s="17"/>
      <c r="BR11" s="17">
        <v>1298.421049839531</v>
      </c>
      <c r="BS11" s="17">
        <v>1286.9449039300803</v>
      </c>
      <c r="BT11" s="17">
        <v>1274.1099953673297</v>
      </c>
      <c r="BU11" s="17"/>
      <c r="BV11" s="17"/>
      <c r="BW11" s="17"/>
      <c r="BX11" s="17"/>
      <c r="BY11" s="17"/>
      <c r="BZ11" s="17"/>
      <c r="CA11" s="17"/>
      <c r="CB11" s="17"/>
      <c r="CC11" s="19">
        <v>1287.132197235798</v>
      </c>
    </row>
    <row r="12" spans="1:81" s="22" customFormat="1" ht="14.5" outlineLevel="1" x14ac:dyDescent="0.35">
      <c r="B12" s="25" t="s">
        <v>11</v>
      </c>
      <c r="C12" s="23" t="s">
        <v>12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>
        <v>44000</v>
      </c>
      <c r="AB12" s="20">
        <v>88000</v>
      </c>
      <c r="AC12" s="21">
        <v>132000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7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>
        <v>1288.1975606581275</v>
      </c>
      <c r="BO12" s="36">
        <v>1289.2791645050297</v>
      </c>
      <c r="BP12" s="37">
        <v>1288.9186298893956</v>
      </c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7"/>
    </row>
    <row r="13" spans="1:81" s="22" customFormat="1" ht="14.5" outlineLevel="1" x14ac:dyDescent="0.35">
      <c r="B13" s="25" t="s">
        <v>11</v>
      </c>
      <c r="C13" s="23" t="s">
        <v>13</v>
      </c>
      <c r="D13" s="20">
        <v>44000</v>
      </c>
      <c r="E13" s="20">
        <v>90200</v>
      </c>
      <c r="F13" s="20"/>
      <c r="G13" s="20"/>
      <c r="H13" s="20">
        <v>44000</v>
      </c>
      <c r="I13" s="20"/>
      <c r="J13" s="20"/>
      <c r="K13" s="20">
        <v>57200</v>
      </c>
      <c r="L13" s="20">
        <v>66000</v>
      </c>
      <c r="M13" s="20">
        <v>44000</v>
      </c>
      <c r="N13" s="20">
        <v>44000</v>
      </c>
      <c r="O13" s="20">
        <v>0</v>
      </c>
      <c r="P13" s="21">
        <v>389400</v>
      </c>
      <c r="Q13" s="20">
        <v>88000</v>
      </c>
      <c r="R13" s="20">
        <v>88000</v>
      </c>
      <c r="S13" s="20">
        <v>66000</v>
      </c>
      <c r="T13" s="20"/>
      <c r="U13" s="20"/>
      <c r="V13" s="20"/>
      <c r="W13" s="20"/>
      <c r="X13" s="20"/>
      <c r="Y13" s="20"/>
      <c r="Z13" s="20"/>
      <c r="AA13" s="20"/>
      <c r="AB13" s="20">
        <v>0</v>
      </c>
      <c r="AC13" s="21">
        <v>242000</v>
      </c>
      <c r="AD13" s="20"/>
      <c r="AE13" s="20"/>
      <c r="AF13" s="20">
        <v>44000</v>
      </c>
      <c r="AG13" s="20">
        <v>22000</v>
      </c>
      <c r="AH13" s="20"/>
      <c r="AI13" s="20"/>
      <c r="AJ13" s="20"/>
      <c r="AK13" s="20"/>
      <c r="AL13" s="20"/>
      <c r="AM13" s="20"/>
      <c r="AN13" s="20"/>
      <c r="AO13" s="20"/>
      <c r="AP13" s="21">
        <v>66000</v>
      </c>
      <c r="AQ13" s="36">
        <v>1333.3149725084886</v>
      </c>
      <c r="AR13" s="36">
        <v>1337.4926983941939</v>
      </c>
      <c r="AS13" s="36"/>
      <c r="AT13" s="36"/>
      <c r="AU13" s="36">
        <v>1337.2728663532664</v>
      </c>
      <c r="AV13" s="36"/>
      <c r="AW13" s="36"/>
      <c r="AX13" s="36">
        <v>1347.7288305068505</v>
      </c>
      <c r="AY13" s="36">
        <v>1317.1049186090199</v>
      </c>
      <c r="AZ13" s="36">
        <v>1323.3574389690857</v>
      </c>
      <c r="BA13" s="36">
        <v>1333.9825713773459</v>
      </c>
      <c r="BB13" s="36"/>
      <c r="BC13" s="37">
        <v>1333.0500269478773</v>
      </c>
      <c r="BD13" s="36">
        <v>1336.7138906884131</v>
      </c>
      <c r="BE13" s="36">
        <v>1411.0778313901553</v>
      </c>
      <c r="BF13" s="36">
        <v>1416.5304122895218</v>
      </c>
      <c r="BG13" s="36"/>
      <c r="BH13" s="36"/>
      <c r="BI13" s="36"/>
      <c r="BJ13" s="36"/>
      <c r="BK13" s="36"/>
      <c r="BL13" s="36"/>
      <c r="BM13" s="36"/>
      <c r="BN13" s="36"/>
      <c r="BO13" s="36"/>
      <c r="BP13" s="37">
        <v>1411.6910855051065</v>
      </c>
      <c r="BQ13" s="36"/>
      <c r="BR13" s="36"/>
      <c r="BS13" s="36">
        <v>1267.5166375773731</v>
      </c>
      <c r="BT13" s="36">
        <v>1274.4180309148535</v>
      </c>
      <c r="BU13" s="36"/>
      <c r="BV13" s="36"/>
      <c r="BW13" s="36"/>
      <c r="BX13" s="36"/>
      <c r="BY13" s="36"/>
      <c r="BZ13" s="36"/>
      <c r="CA13" s="36"/>
      <c r="CB13" s="36"/>
      <c r="CC13" s="37">
        <v>1269.8171020231998</v>
      </c>
    </row>
    <row r="14" spans="1:81" s="22" customFormat="1" ht="14.5" outlineLevel="1" x14ac:dyDescent="0.35">
      <c r="B14" s="25" t="s">
        <v>11</v>
      </c>
      <c r="C14" s="23" t="s">
        <v>14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20"/>
      <c r="R14" s="20"/>
      <c r="S14" s="20"/>
      <c r="T14" s="20"/>
      <c r="U14" s="20"/>
      <c r="V14" s="20"/>
      <c r="W14" s="20"/>
      <c r="X14" s="20">
        <v>88000</v>
      </c>
      <c r="Y14" s="20"/>
      <c r="Z14" s="20"/>
      <c r="AA14" s="20"/>
      <c r="AB14" s="20"/>
      <c r="AC14" s="21">
        <v>88000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7"/>
      <c r="BD14" s="36"/>
      <c r="BE14" s="36"/>
      <c r="BF14" s="36"/>
      <c r="BG14" s="36"/>
      <c r="BH14" s="36"/>
      <c r="BI14" s="36"/>
      <c r="BJ14" s="36"/>
      <c r="BK14" s="36">
        <v>1408.8838147093943</v>
      </c>
      <c r="BL14" s="36"/>
      <c r="BM14" s="36"/>
      <c r="BN14" s="36"/>
      <c r="BO14" s="36"/>
      <c r="BP14" s="37">
        <v>1408.8838147093943</v>
      </c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7"/>
    </row>
    <row r="15" spans="1:81" s="22" customFormat="1" ht="14.5" outlineLevel="1" x14ac:dyDescent="0.35">
      <c r="B15" s="25" t="s">
        <v>11</v>
      </c>
      <c r="C15" s="23" t="s">
        <v>15</v>
      </c>
      <c r="D15" s="20">
        <v>145200</v>
      </c>
      <c r="E15" s="20">
        <v>74800</v>
      </c>
      <c r="F15" s="20"/>
      <c r="G15" s="20">
        <v>72600</v>
      </c>
      <c r="H15" s="20"/>
      <c r="I15" s="20">
        <v>116600</v>
      </c>
      <c r="J15" s="20">
        <v>0</v>
      </c>
      <c r="K15" s="20"/>
      <c r="L15" s="20"/>
      <c r="M15" s="20"/>
      <c r="N15" s="20">
        <v>110000</v>
      </c>
      <c r="O15" s="20"/>
      <c r="P15" s="21">
        <v>519200</v>
      </c>
      <c r="Q15" s="20">
        <v>72600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1">
        <v>72600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36">
        <v>1318.0780055049768</v>
      </c>
      <c r="AR15" s="36">
        <v>1323.2308541182758</v>
      </c>
      <c r="AS15" s="36"/>
      <c r="AT15" s="36">
        <v>1304.5038880553025</v>
      </c>
      <c r="AU15" s="36"/>
      <c r="AV15" s="36">
        <v>1322.0066346173808</v>
      </c>
      <c r="AW15" s="36"/>
      <c r="AX15" s="36"/>
      <c r="AY15" s="36"/>
      <c r="AZ15" s="36"/>
      <c r="BA15" s="36">
        <v>1321.5696919464513</v>
      </c>
      <c r="BB15" s="36"/>
      <c r="BC15" s="37">
        <v>1318.5443302594006</v>
      </c>
      <c r="BD15" s="36">
        <v>1326.7662597896317</v>
      </c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7">
        <v>1326.7662597896317</v>
      </c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7"/>
    </row>
    <row r="16" spans="1:81" s="22" customFormat="1" ht="14.5" outlineLevel="1" x14ac:dyDescent="0.35">
      <c r="B16" s="25" t="s">
        <v>11</v>
      </c>
      <c r="C16" s="23" t="s">
        <v>16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20"/>
      <c r="R16" s="20"/>
      <c r="S16" s="20">
        <v>88000</v>
      </c>
      <c r="T16" s="20">
        <v>66000</v>
      </c>
      <c r="U16" s="20"/>
      <c r="V16" s="20">
        <v>88000</v>
      </c>
      <c r="W16" s="20"/>
      <c r="X16" s="20">
        <v>44000</v>
      </c>
      <c r="Y16" s="20"/>
      <c r="Z16" s="20"/>
      <c r="AA16" s="20"/>
      <c r="AB16" s="20">
        <v>0</v>
      </c>
      <c r="AC16" s="21">
        <v>286000</v>
      </c>
      <c r="AD16" s="20"/>
      <c r="AE16" s="20">
        <v>44000</v>
      </c>
      <c r="AF16" s="20">
        <v>132000</v>
      </c>
      <c r="AG16" s="20">
        <v>66000</v>
      </c>
      <c r="AH16" s="20"/>
      <c r="AI16" s="20"/>
      <c r="AJ16" s="20"/>
      <c r="AK16" s="20"/>
      <c r="AL16" s="20"/>
      <c r="AM16" s="20"/>
      <c r="AN16" s="20"/>
      <c r="AO16" s="20"/>
      <c r="AP16" s="21">
        <v>242000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7"/>
      <c r="BD16" s="36"/>
      <c r="BE16" s="36"/>
      <c r="BF16" s="36">
        <v>1415.5997469167985</v>
      </c>
      <c r="BG16" s="36">
        <v>1398.3739813666514</v>
      </c>
      <c r="BH16" s="36"/>
      <c r="BI16" s="36">
        <v>1325.0309152759232</v>
      </c>
      <c r="BJ16" s="36"/>
      <c r="BK16" s="36">
        <v>1398.4288903443107</v>
      </c>
      <c r="BL16" s="36"/>
      <c r="BM16" s="36"/>
      <c r="BN16" s="36"/>
      <c r="BO16" s="36"/>
      <c r="BP16" s="37">
        <v>1435.74271626614</v>
      </c>
      <c r="BQ16" s="36"/>
      <c r="BR16" s="36">
        <v>1289.0506562270639</v>
      </c>
      <c r="BS16" s="36">
        <v>1265.8862548333632</v>
      </c>
      <c r="BT16" s="36">
        <v>1277.8370502557227</v>
      </c>
      <c r="BU16" s="36"/>
      <c r="BV16" s="36"/>
      <c r="BW16" s="36"/>
      <c r="BX16" s="36"/>
      <c r="BY16" s="36"/>
      <c r="BZ16" s="36"/>
      <c r="CA16" s="36"/>
      <c r="CB16" s="36"/>
      <c r="CC16" s="37">
        <v>1273.3572720201339</v>
      </c>
    </row>
    <row r="17" spans="2:81" s="22" customFormat="1" ht="14.5" outlineLevel="1" x14ac:dyDescent="0.35">
      <c r="B17" s="25" t="s">
        <v>11</v>
      </c>
      <c r="C17" s="23" t="s">
        <v>17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20"/>
      <c r="R17" s="20"/>
      <c r="S17" s="20"/>
      <c r="T17" s="20"/>
      <c r="U17" s="20"/>
      <c r="V17" s="20">
        <v>2789.2</v>
      </c>
      <c r="W17" s="20"/>
      <c r="X17" s="20"/>
      <c r="Y17" s="20"/>
      <c r="Z17" s="20"/>
      <c r="AA17" s="20"/>
      <c r="AB17" s="20"/>
      <c r="AC17" s="21">
        <v>2789.2</v>
      </c>
      <c r="AD17" s="20"/>
      <c r="AE17" s="20"/>
      <c r="AF17" s="20">
        <v>2200</v>
      </c>
      <c r="AG17" s="20">
        <v>22000</v>
      </c>
      <c r="AH17" s="20"/>
      <c r="AI17" s="20"/>
      <c r="AJ17" s="20"/>
      <c r="AK17" s="20"/>
      <c r="AL17" s="20"/>
      <c r="AM17" s="20"/>
      <c r="AN17" s="20"/>
      <c r="AO17" s="20"/>
      <c r="AP17" s="21">
        <v>24200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7"/>
      <c r="BD17" s="36"/>
      <c r="BE17" s="36"/>
      <c r="BF17" s="36"/>
      <c r="BG17" s="36"/>
      <c r="BH17" s="36"/>
      <c r="BI17" s="36">
        <v>1324.3544685587676</v>
      </c>
      <c r="BJ17" s="36"/>
      <c r="BK17" s="36"/>
      <c r="BL17" s="36"/>
      <c r="BM17" s="36"/>
      <c r="BN17" s="36"/>
      <c r="BO17" s="36"/>
      <c r="BP17" s="37">
        <v>1324.3544685587676</v>
      </c>
      <c r="BQ17" s="36"/>
      <c r="BR17" s="36"/>
      <c r="BS17" s="36">
        <v>1181.5536074623553</v>
      </c>
      <c r="BT17" s="36">
        <v>1203.1329062173406</v>
      </c>
      <c r="BU17" s="36"/>
      <c r="BV17" s="36"/>
      <c r="BW17" s="36"/>
      <c r="BX17" s="36"/>
      <c r="BY17" s="36"/>
      <c r="BZ17" s="36"/>
      <c r="CA17" s="36"/>
      <c r="CB17" s="36"/>
      <c r="CC17" s="37">
        <v>1201.1711517850692</v>
      </c>
    </row>
    <row r="18" spans="2:81" s="22" customFormat="1" ht="14.5" outlineLevel="1" x14ac:dyDescent="0.35">
      <c r="B18" s="25" t="s">
        <v>11</v>
      </c>
      <c r="C18" s="23" t="s">
        <v>18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20"/>
      <c r="R18" s="20"/>
      <c r="S18" s="20">
        <v>1100</v>
      </c>
      <c r="T18" s="20"/>
      <c r="U18" s="20"/>
      <c r="V18" s="20"/>
      <c r="W18" s="20"/>
      <c r="X18" s="20"/>
      <c r="Y18" s="20"/>
      <c r="Z18" s="20"/>
      <c r="AA18" s="20"/>
      <c r="AB18" s="20"/>
      <c r="AC18" s="21">
        <v>1100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1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7"/>
      <c r="BD18" s="36"/>
      <c r="BE18" s="36"/>
      <c r="BF18" s="36">
        <v>1306.8510819110188</v>
      </c>
      <c r="BG18" s="36"/>
      <c r="BH18" s="36"/>
      <c r="BI18" s="36"/>
      <c r="BJ18" s="36"/>
      <c r="BK18" s="36"/>
      <c r="BL18" s="36"/>
      <c r="BM18" s="36"/>
      <c r="BN18" s="36"/>
      <c r="BO18" s="36"/>
      <c r="BP18" s="37">
        <v>1306.8510819110188</v>
      </c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7"/>
    </row>
    <row r="19" spans="2:81" s="22" customFormat="1" ht="14.5" outlineLevel="1" x14ac:dyDescent="0.35">
      <c r="B19" s="25" t="s">
        <v>11</v>
      </c>
      <c r="C19" s="23" t="s">
        <v>19</v>
      </c>
      <c r="D19" s="20"/>
      <c r="E19" s="20"/>
      <c r="F19" s="20">
        <v>16500</v>
      </c>
      <c r="G19" s="20"/>
      <c r="H19" s="20"/>
      <c r="I19" s="20"/>
      <c r="J19" s="20"/>
      <c r="K19" s="20">
        <v>22000</v>
      </c>
      <c r="L19" s="20">
        <v>0</v>
      </c>
      <c r="M19" s="20">
        <v>44000</v>
      </c>
      <c r="N19" s="20">
        <v>0</v>
      </c>
      <c r="O19" s="20"/>
      <c r="P19" s="21">
        <v>82500</v>
      </c>
      <c r="Q19" s="20"/>
      <c r="R19" s="20"/>
      <c r="S19" s="20"/>
      <c r="T19" s="20"/>
      <c r="U19" s="20">
        <v>2200</v>
      </c>
      <c r="V19" s="20"/>
      <c r="W19" s="20"/>
      <c r="X19" s="20"/>
      <c r="Y19" s="20"/>
      <c r="Z19" s="20"/>
      <c r="AA19" s="20"/>
      <c r="AB19" s="20"/>
      <c r="AC19" s="21">
        <v>2200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36"/>
      <c r="AR19" s="36"/>
      <c r="AS19" s="36">
        <v>1413.7831246690691</v>
      </c>
      <c r="AT19" s="36"/>
      <c r="AU19" s="36"/>
      <c r="AV19" s="36"/>
      <c r="AW19" s="36"/>
      <c r="AX19" s="36">
        <v>1432.9870140817941</v>
      </c>
      <c r="AY19" s="36"/>
      <c r="AZ19" s="36">
        <v>1447.2004467835045</v>
      </c>
      <c r="BA19" s="36"/>
      <c r="BB19" s="36"/>
      <c r="BC19" s="37">
        <v>1436.7267336401612</v>
      </c>
      <c r="BD19" s="36"/>
      <c r="BE19" s="36"/>
      <c r="BF19" s="36"/>
      <c r="BG19" s="36"/>
      <c r="BH19" s="36">
        <v>1345.1656487369992</v>
      </c>
      <c r="BI19" s="36"/>
      <c r="BJ19" s="36"/>
      <c r="BK19" s="36"/>
      <c r="BL19" s="36"/>
      <c r="BM19" s="36"/>
      <c r="BN19" s="36"/>
      <c r="BO19" s="36"/>
      <c r="BP19" s="37">
        <v>1345.1656487369992</v>
      </c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7"/>
    </row>
    <row r="20" spans="2:81" s="22" customFormat="1" ht="14.5" outlineLevel="1" x14ac:dyDescent="0.35">
      <c r="B20" s="25" t="s">
        <v>11</v>
      </c>
      <c r="C20" s="23" t="s">
        <v>6</v>
      </c>
      <c r="D20" s="20">
        <v>25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>
        <v>25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1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1"/>
      <c r="AQ20" s="36">
        <v>1410.0472879658291</v>
      </c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7">
        <v>1410.0472879658291</v>
      </c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7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7"/>
    </row>
    <row r="21" spans="2:81" s="22" customFormat="1" ht="14.5" outlineLevel="1" x14ac:dyDescent="0.35">
      <c r="B21" s="25" t="s">
        <v>11</v>
      </c>
      <c r="C21" s="23" t="s">
        <v>20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0"/>
      <c r="R21" s="20"/>
      <c r="S21" s="20"/>
      <c r="T21" s="20"/>
      <c r="U21" s="20"/>
      <c r="V21" s="20">
        <v>22000</v>
      </c>
      <c r="W21" s="20"/>
      <c r="X21" s="20"/>
      <c r="Y21" s="20"/>
      <c r="Z21" s="20"/>
      <c r="AA21" s="20"/>
      <c r="AB21" s="20"/>
      <c r="AC21" s="21">
        <v>22000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7"/>
      <c r="BD21" s="36"/>
      <c r="BE21" s="36"/>
      <c r="BF21" s="36"/>
      <c r="BG21" s="36"/>
      <c r="BH21" s="36"/>
      <c r="BI21" s="36">
        <v>1321.4930962990361</v>
      </c>
      <c r="BJ21" s="36"/>
      <c r="BK21" s="36"/>
      <c r="BL21" s="36"/>
      <c r="BM21" s="36"/>
      <c r="BN21" s="36"/>
      <c r="BO21" s="36"/>
      <c r="BP21" s="37">
        <v>1321.4930962990361</v>
      </c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7"/>
    </row>
    <row r="22" spans="2:81" s="22" customFormat="1" ht="14.5" outlineLevel="1" x14ac:dyDescent="0.35">
      <c r="B22" s="25" t="s">
        <v>11</v>
      </c>
      <c r="C22" s="23" t="s">
        <v>21</v>
      </c>
      <c r="D22" s="20"/>
      <c r="E22" s="20"/>
      <c r="F22" s="20"/>
      <c r="G22" s="20"/>
      <c r="H22" s="20"/>
      <c r="I22" s="20">
        <v>22000</v>
      </c>
      <c r="J22" s="20"/>
      <c r="K22" s="20"/>
      <c r="L22" s="20">
        <v>88000</v>
      </c>
      <c r="M22" s="20"/>
      <c r="N22" s="20"/>
      <c r="O22" s="20"/>
      <c r="P22" s="21">
        <v>110000</v>
      </c>
      <c r="Q22" s="20"/>
      <c r="R22" s="20"/>
      <c r="S22" s="20"/>
      <c r="T22" s="20"/>
      <c r="U22" s="20">
        <v>220000</v>
      </c>
      <c r="V22" s="20"/>
      <c r="W22" s="20"/>
      <c r="X22" s="20"/>
      <c r="Y22" s="20"/>
      <c r="Z22" s="20"/>
      <c r="AA22" s="20"/>
      <c r="AB22" s="20"/>
      <c r="AC22" s="21">
        <v>220000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1"/>
      <c r="AQ22" s="36"/>
      <c r="AR22" s="36"/>
      <c r="AS22" s="36"/>
      <c r="AT22" s="36"/>
      <c r="AU22" s="36"/>
      <c r="AV22" s="36">
        <v>1298.6539227581789</v>
      </c>
      <c r="AW22" s="36"/>
      <c r="AX22" s="36"/>
      <c r="AY22" s="36">
        <v>1296.4685589572407</v>
      </c>
      <c r="AZ22" s="36"/>
      <c r="BA22" s="36"/>
      <c r="BB22" s="36"/>
      <c r="BC22" s="37">
        <v>1296.9056317174284</v>
      </c>
      <c r="BD22" s="36"/>
      <c r="BE22" s="36"/>
      <c r="BF22" s="36"/>
      <c r="BG22" s="36"/>
      <c r="BH22" s="36">
        <v>1341.2158885299639</v>
      </c>
      <c r="BI22" s="36"/>
      <c r="BJ22" s="36"/>
      <c r="BK22" s="36"/>
      <c r="BL22" s="36"/>
      <c r="BM22" s="36"/>
      <c r="BN22" s="36"/>
      <c r="BO22" s="36"/>
      <c r="BP22" s="37">
        <v>1341.2158885299639</v>
      </c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7"/>
    </row>
    <row r="23" spans="2:81" s="22" customFormat="1" ht="14.5" outlineLevel="1" x14ac:dyDescent="0.35">
      <c r="B23" s="25" t="s">
        <v>11</v>
      </c>
      <c r="C23" s="23" t="s">
        <v>22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20"/>
      <c r="R23" s="20"/>
      <c r="S23" s="20"/>
      <c r="T23" s="20">
        <v>22000</v>
      </c>
      <c r="U23" s="20"/>
      <c r="V23" s="20"/>
      <c r="W23" s="20"/>
      <c r="X23" s="20"/>
      <c r="Y23" s="20"/>
      <c r="Z23" s="20"/>
      <c r="AA23" s="20"/>
      <c r="AB23" s="20"/>
      <c r="AC23" s="21">
        <v>22000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7"/>
      <c r="BD23" s="36"/>
      <c r="BE23" s="36"/>
      <c r="BF23" s="36"/>
      <c r="BG23" s="36">
        <v>1345.2899738733299</v>
      </c>
      <c r="BH23" s="36"/>
      <c r="BI23" s="36"/>
      <c r="BJ23" s="36"/>
      <c r="BK23" s="36"/>
      <c r="BL23" s="36"/>
      <c r="BM23" s="36"/>
      <c r="BN23" s="36"/>
      <c r="BO23" s="36"/>
      <c r="BP23" s="37">
        <v>1345.2899738733299</v>
      </c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7"/>
    </row>
    <row r="24" spans="2:81" s="22" customFormat="1" ht="14.5" outlineLevel="1" x14ac:dyDescent="0.35">
      <c r="B24" s="25" t="s">
        <v>11</v>
      </c>
      <c r="C24" s="23" t="s">
        <v>23</v>
      </c>
      <c r="D24" s="20"/>
      <c r="E24" s="20"/>
      <c r="F24" s="20"/>
      <c r="G24" s="20"/>
      <c r="H24" s="20"/>
      <c r="I24" s="20"/>
      <c r="J24" s="20"/>
      <c r="K24" s="20">
        <v>22000</v>
      </c>
      <c r="L24" s="20"/>
      <c r="M24" s="20"/>
      <c r="N24" s="20"/>
      <c r="O24" s="20"/>
      <c r="P24" s="21">
        <v>22000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1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1"/>
      <c r="AQ24" s="36"/>
      <c r="AR24" s="36"/>
      <c r="AS24" s="36"/>
      <c r="AT24" s="36"/>
      <c r="AU24" s="36"/>
      <c r="AV24" s="36"/>
      <c r="AW24" s="36"/>
      <c r="AX24" s="36">
        <v>1267.3786830062388</v>
      </c>
      <c r="AY24" s="36"/>
      <c r="AZ24" s="36"/>
      <c r="BA24" s="36"/>
      <c r="BB24" s="36"/>
      <c r="BC24" s="37">
        <v>1267.3786830062388</v>
      </c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7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7"/>
    </row>
    <row r="25" spans="2:81" s="22" customFormat="1" ht="14.5" outlineLevel="1" x14ac:dyDescent="0.35">
      <c r="B25" s="25" t="s">
        <v>11</v>
      </c>
      <c r="C25" s="23" t="s">
        <v>24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1"/>
      <c r="AD25" s="20"/>
      <c r="AE25" s="20">
        <v>2200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>
        <v>2200</v>
      </c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7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7"/>
      <c r="BQ25" s="36"/>
      <c r="BR25" s="36">
        <v>1181.8199594693435</v>
      </c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7">
        <v>1181.8199594693435</v>
      </c>
    </row>
    <row r="26" spans="2:81" s="22" customFormat="1" ht="14.5" outlineLevel="1" x14ac:dyDescent="0.35">
      <c r="B26" s="25" t="s">
        <v>11</v>
      </c>
      <c r="C26" s="23" t="s">
        <v>25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>
        <v>1100</v>
      </c>
      <c r="P26" s="21">
        <v>1100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1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1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>
        <v>1297.7678260924822</v>
      </c>
      <c r="BC26" s="37">
        <v>1297.7678260924822</v>
      </c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7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7"/>
    </row>
    <row r="27" spans="2:81" s="22" customFormat="1" ht="14.5" outlineLevel="1" x14ac:dyDescent="0.35">
      <c r="B27" s="25" t="s">
        <v>11</v>
      </c>
      <c r="C27" s="23" t="s">
        <v>26</v>
      </c>
      <c r="D27" s="20"/>
      <c r="E27" s="20"/>
      <c r="F27" s="20"/>
      <c r="G27" s="20"/>
      <c r="H27" s="20"/>
      <c r="I27" s="20">
        <v>500</v>
      </c>
      <c r="J27" s="20"/>
      <c r="K27" s="20"/>
      <c r="L27" s="20"/>
      <c r="M27" s="20"/>
      <c r="N27" s="20">
        <v>-400</v>
      </c>
      <c r="O27" s="20"/>
      <c r="P27" s="21">
        <v>100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1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/>
      <c r="AQ27" s="36"/>
      <c r="AR27" s="36"/>
      <c r="AS27" s="36"/>
      <c r="AT27" s="36"/>
      <c r="AU27" s="36"/>
      <c r="AV27" s="36">
        <v>1293.6303037733151</v>
      </c>
      <c r="AW27" s="36"/>
      <c r="AX27" s="36"/>
      <c r="AY27" s="36"/>
      <c r="AZ27" s="36"/>
      <c r="BA27" s="36">
        <v>1314.3419150490215</v>
      </c>
      <c r="BB27" s="36"/>
      <c r="BC27" s="37">
        <v>1210.7838586704895</v>
      </c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7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7"/>
    </row>
    <row r="28" spans="2:81" s="22" customFormat="1" ht="14.5" outlineLevel="1" x14ac:dyDescent="0.35">
      <c r="B28" s="25" t="s">
        <v>11</v>
      </c>
      <c r="C28" s="23" t="s">
        <v>27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20"/>
      <c r="R28" s="20">
        <v>66000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1">
        <v>66000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1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7"/>
      <c r="BD28" s="36"/>
      <c r="BE28" s="36">
        <v>1286.2298283931716</v>
      </c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7">
        <v>1286.2298283931716</v>
      </c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7"/>
    </row>
    <row r="29" spans="2:81" s="22" customFormat="1" ht="14.5" outlineLevel="1" x14ac:dyDescent="0.35">
      <c r="B29" s="25" t="s">
        <v>11</v>
      </c>
      <c r="C29" s="23" t="s">
        <v>28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20">
        <v>44000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1">
        <v>44000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7"/>
      <c r="BD29" s="36">
        <v>1350.4401833202576</v>
      </c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7">
        <v>1350.4401833202576</v>
      </c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7"/>
    </row>
    <row r="30" spans="2:81" s="22" customFormat="1" ht="14.5" outlineLevel="1" x14ac:dyDescent="0.35">
      <c r="B30" s="25" t="s">
        <v>11</v>
      </c>
      <c r="C30" s="23" t="s">
        <v>29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20"/>
      <c r="R30" s="20"/>
      <c r="S30" s="20"/>
      <c r="T30" s="20">
        <v>3300</v>
      </c>
      <c r="U30" s="20"/>
      <c r="V30" s="20"/>
      <c r="W30" s="20"/>
      <c r="X30" s="20"/>
      <c r="Y30" s="20"/>
      <c r="Z30" s="20"/>
      <c r="AA30" s="20"/>
      <c r="AB30" s="20"/>
      <c r="AC30" s="21">
        <v>3300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7"/>
      <c r="BD30" s="36"/>
      <c r="BE30" s="36"/>
      <c r="BF30" s="36"/>
      <c r="BG30" s="36">
        <v>1581.2955455708886</v>
      </c>
      <c r="BH30" s="36"/>
      <c r="BI30" s="36"/>
      <c r="BJ30" s="36"/>
      <c r="BK30" s="36"/>
      <c r="BL30" s="36"/>
      <c r="BM30" s="36"/>
      <c r="BN30" s="36"/>
      <c r="BO30" s="36"/>
      <c r="BP30" s="37">
        <v>1581.2955455708886</v>
      </c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7"/>
    </row>
    <row r="31" spans="2:81" s="22" customFormat="1" ht="14.5" outlineLevel="1" x14ac:dyDescent="0.35">
      <c r="B31" s="25" t="s">
        <v>11</v>
      </c>
      <c r="C31" s="23" t="s">
        <v>30</v>
      </c>
      <c r="D31" s="20"/>
      <c r="E31" s="20"/>
      <c r="F31" s="20"/>
      <c r="G31" s="20">
        <v>44000</v>
      </c>
      <c r="H31" s="20">
        <v>44000</v>
      </c>
      <c r="I31" s="20">
        <v>22000</v>
      </c>
      <c r="J31" s="20">
        <v>22000</v>
      </c>
      <c r="K31" s="20"/>
      <c r="L31" s="20"/>
      <c r="M31" s="20"/>
      <c r="N31" s="20">
        <v>22000</v>
      </c>
      <c r="O31" s="20">
        <v>22000</v>
      </c>
      <c r="P31" s="21">
        <v>176000</v>
      </c>
      <c r="Q31" s="20">
        <v>44000</v>
      </c>
      <c r="R31" s="20"/>
      <c r="S31" s="20">
        <v>22000</v>
      </c>
      <c r="T31" s="20">
        <v>22000</v>
      </c>
      <c r="U31" s="20">
        <v>44000</v>
      </c>
      <c r="V31" s="20">
        <v>22000</v>
      </c>
      <c r="W31" s="20">
        <v>66000</v>
      </c>
      <c r="X31" s="20">
        <v>44000</v>
      </c>
      <c r="Y31" s="20">
        <v>110000</v>
      </c>
      <c r="Z31" s="20"/>
      <c r="AA31" s="20">
        <v>110000</v>
      </c>
      <c r="AB31" s="20"/>
      <c r="AC31" s="21">
        <v>484000</v>
      </c>
      <c r="AD31" s="20">
        <v>44000</v>
      </c>
      <c r="AE31" s="20">
        <v>22000</v>
      </c>
      <c r="AF31" s="20">
        <v>88000</v>
      </c>
      <c r="AG31" s="20">
        <v>110000</v>
      </c>
      <c r="AH31" s="20"/>
      <c r="AI31" s="20"/>
      <c r="AJ31" s="20"/>
      <c r="AK31" s="20"/>
      <c r="AL31" s="20"/>
      <c r="AM31" s="20"/>
      <c r="AN31" s="20"/>
      <c r="AO31" s="20"/>
      <c r="AP31" s="21">
        <v>264000</v>
      </c>
      <c r="AQ31" s="36"/>
      <c r="AR31" s="36"/>
      <c r="AS31" s="36"/>
      <c r="AT31" s="36">
        <v>1397.3664863030838</v>
      </c>
      <c r="AU31" s="36">
        <v>1370.9873411201575</v>
      </c>
      <c r="AV31" s="36">
        <v>1394.0279979357513</v>
      </c>
      <c r="AW31" s="36">
        <v>1409.6445125009004</v>
      </c>
      <c r="AX31" s="36"/>
      <c r="AY31" s="36"/>
      <c r="AZ31" s="36"/>
      <c r="BA31" s="36">
        <v>1427.499283996998</v>
      </c>
      <c r="BB31" s="36">
        <v>1444.4628993397519</v>
      </c>
      <c r="BC31" s="37">
        <v>1401.5427935774856</v>
      </c>
      <c r="BD31" s="36">
        <v>1441.5855374839289</v>
      </c>
      <c r="BE31" s="36"/>
      <c r="BF31" s="36">
        <v>1336.5647790394228</v>
      </c>
      <c r="BG31" s="36">
        <v>1355.0073907800975</v>
      </c>
      <c r="BH31" s="36">
        <v>1372.8436900672275</v>
      </c>
      <c r="BI31" s="36">
        <v>1368.2949245187031</v>
      </c>
      <c r="BJ31" s="36">
        <v>1370.0188199794886</v>
      </c>
      <c r="BK31" s="36">
        <v>1360.788737966976</v>
      </c>
      <c r="BL31" s="36">
        <v>1311.1208195656448</v>
      </c>
      <c r="BM31" s="36"/>
      <c r="BN31" s="36">
        <v>1318.2885893927094</v>
      </c>
      <c r="BO31" s="36"/>
      <c r="BP31" s="37">
        <v>1348.5184786411237</v>
      </c>
      <c r="BQ31" s="36">
        <v>1257.52126826004</v>
      </c>
      <c r="BR31" s="36">
        <v>1269.1526261641457</v>
      </c>
      <c r="BS31" s="36">
        <v>1124.3287504364309</v>
      </c>
      <c r="BT31" s="36">
        <v>1124.8616262824478</v>
      </c>
      <c r="BU31" s="36"/>
      <c r="BV31" s="36"/>
      <c r="BW31" s="36"/>
      <c r="BX31" s="36"/>
      <c r="BY31" s="36"/>
      <c r="BZ31" s="36"/>
      <c r="CA31" s="36"/>
      <c r="CB31" s="36"/>
      <c r="CC31" s="37">
        <v>1158.8181913201822</v>
      </c>
    </row>
    <row r="32" spans="2:81" s="22" customFormat="1" ht="14.5" outlineLevel="1" x14ac:dyDescent="0.35">
      <c r="B32" s="25" t="s">
        <v>11</v>
      </c>
      <c r="C32" s="23" t="s">
        <v>31</v>
      </c>
      <c r="D32" s="20">
        <v>14300</v>
      </c>
      <c r="E32" s="20">
        <v>44000</v>
      </c>
      <c r="F32" s="20">
        <v>31900</v>
      </c>
      <c r="G32" s="20">
        <v>44000</v>
      </c>
      <c r="H32" s="20"/>
      <c r="I32" s="20"/>
      <c r="J32" s="20"/>
      <c r="K32" s="20">
        <v>-29981.8</v>
      </c>
      <c r="L32" s="20">
        <v>66000</v>
      </c>
      <c r="M32" s="20">
        <v>0</v>
      </c>
      <c r="N32" s="20">
        <v>88000</v>
      </c>
      <c r="O32" s="20">
        <v>22000</v>
      </c>
      <c r="P32" s="21">
        <v>280218.2</v>
      </c>
      <c r="Q32" s="20">
        <v>-13750.7</v>
      </c>
      <c r="R32" s="20">
        <v>22000</v>
      </c>
      <c r="S32" s="20">
        <v>88000</v>
      </c>
      <c r="T32" s="20">
        <v>44000</v>
      </c>
      <c r="U32" s="20">
        <v>-40039.699999999997</v>
      </c>
      <c r="V32" s="20"/>
      <c r="W32" s="20">
        <v>50969.1</v>
      </c>
      <c r="X32" s="20">
        <v>43293</v>
      </c>
      <c r="Y32" s="20"/>
      <c r="Z32" s="20"/>
      <c r="AA32" s="20">
        <v>88000</v>
      </c>
      <c r="AB32" s="20">
        <v>176000</v>
      </c>
      <c r="AC32" s="21">
        <v>458471.69999999995</v>
      </c>
      <c r="AD32" s="20">
        <v>220000</v>
      </c>
      <c r="AE32" s="20">
        <v>44000</v>
      </c>
      <c r="AF32" s="20">
        <v>154000</v>
      </c>
      <c r="AG32" s="20">
        <v>88000</v>
      </c>
      <c r="AH32" s="20"/>
      <c r="AI32" s="20"/>
      <c r="AJ32" s="20"/>
      <c r="AK32" s="20"/>
      <c r="AL32" s="20"/>
      <c r="AM32" s="20"/>
      <c r="AN32" s="20"/>
      <c r="AO32" s="20"/>
      <c r="AP32" s="21">
        <v>506000</v>
      </c>
      <c r="AQ32" s="36">
        <v>1410.5924772147705</v>
      </c>
      <c r="AR32" s="36">
        <v>1418.7886512599464</v>
      </c>
      <c r="AS32" s="36">
        <v>1404.4740705645149</v>
      </c>
      <c r="AT32" s="36">
        <v>1397.1487783580808</v>
      </c>
      <c r="AU32" s="36"/>
      <c r="AV32" s="36"/>
      <c r="AW32" s="36"/>
      <c r="AX32" s="36">
        <v>1419.0733773306904</v>
      </c>
      <c r="AY32" s="36">
        <v>1465.274663864328</v>
      </c>
      <c r="AZ32" s="36"/>
      <c r="BA32" s="36">
        <v>1420.9509362948961</v>
      </c>
      <c r="BB32" s="36">
        <v>1441.8839608621904</v>
      </c>
      <c r="BC32" s="37">
        <v>1426.7535989521164</v>
      </c>
      <c r="BD32" s="36">
        <v>1457.7516053251832</v>
      </c>
      <c r="BE32" s="36">
        <v>1399.1937779103705</v>
      </c>
      <c r="BF32" s="36">
        <v>1358.5984845898656</v>
      </c>
      <c r="BG32" s="36">
        <v>1354.0927634008526</v>
      </c>
      <c r="BH32" s="36">
        <v>1360.7311792951775</v>
      </c>
      <c r="BI32" s="36"/>
      <c r="BJ32" s="36">
        <v>1370.8477093042384</v>
      </c>
      <c r="BK32" s="36">
        <v>1350.2563095002765</v>
      </c>
      <c r="BL32" s="36"/>
      <c r="BM32" s="36"/>
      <c r="BN32" s="36">
        <v>1317.5508369168283</v>
      </c>
      <c r="BO32" s="36">
        <v>1320.5720079619705</v>
      </c>
      <c r="BP32" s="37">
        <v>1335.0514450206754</v>
      </c>
      <c r="BQ32" s="36">
        <v>1256.4390759280302</v>
      </c>
      <c r="BR32" s="36">
        <v>1268.4175177611985</v>
      </c>
      <c r="BS32" s="36">
        <v>1122.7230412053325</v>
      </c>
      <c r="BT32" s="36">
        <v>1130.3377749612387</v>
      </c>
      <c r="BU32" s="36"/>
      <c r="BV32" s="36"/>
      <c r="BW32" s="36"/>
      <c r="BX32" s="36"/>
      <c r="BY32" s="36"/>
      <c r="BZ32" s="36"/>
      <c r="CA32" s="36"/>
      <c r="CB32" s="36"/>
      <c r="CC32" s="37">
        <v>1194.8538340471728</v>
      </c>
    </row>
    <row r="33" spans="1:81" s="22" customFormat="1" ht="14.5" outlineLevel="1" x14ac:dyDescent="0.35">
      <c r="B33" s="25" t="s">
        <v>11</v>
      </c>
      <c r="C33" s="23" t="s">
        <v>32</v>
      </c>
      <c r="D33" s="20"/>
      <c r="E33" s="20"/>
      <c r="F33" s="20"/>
      <c r="G33" s="20"/>
      <c r="H33" s="20"/>
      <c r="I33" s="20">
        <v>6600</v>
      </c>
      <c r="J33" s="20">
        <v>4400</v>
      </c>
      <c r="K33" s="20">
        <v>651200</v>
      </c>
      <c r="L33" s="20">
        <v>153900</v>
      </c>
      <c r="M33" s="20">
        <v>311300</v>
      </c>
      <c r="N33" s="20">
        <v>418000</v>
      </c>
      <c r="O33" s="20">
        <v>572000</v>
      </c>
      <c r="P33" s="21">
        <v>2117400</v>
      </c>
      <c r="Q33" s="20">
        <v>154000</v>
      </c>
      <c r="R33" s="20">
        <v>484000</v>
      </c>
      <c r="S33" s="20">
        <v>154000</v>
      </c>
      <c r="T33" s="20">
        <v>374000</v>
      </c>
      <c r="U33" s="20">
        <v>330000</v>
      </c>
      <c r="V33" s="20">
        <v>351633</v>
      </c>
      <c r="W33" s="20">
        <v>132000</v>
      </c>
      <c r="X33" s="20">
        <v>616000</v>
      </c>
      <c r="Y33" s="20">
        <v>126500</v>
      </c>
      <c r="Z33" s="20">
        <v>382660</v>
      </c>
      <c r="AA33" s="20">
        <v>475340</v>
      </c>
      <c r="AB33" s="20">
        <v>682000</v>
      </c>
      <c r="AC33" s="21">
        <v>4262133</v>
      </c>
      <c r="AD33" s="20">
        <v>352000</v>
      </c>
      <c r="AE33" s="20">
        <v>264000</v>
      </c>
      <c r="AF33" s="20">
        <v>352000</v>
      </c>
      <c r="AG33" s="20">
        <v>528000</v>
      </c>
      <c r="AH33" s="20"/>
      <c r="AI33" s="20"/>
      <c r="AJ33" s="20"/>
      <c r="AK33" s="20"/>
      <c r="AL33" s="20"/>
      <c r="AM33" s="20"/>
      <c r="AN33" s="20"/>
      <c r="AO33" s="20"/>
      <c r="AP33" s="21">
        <v>1496000</v>
      </c>
      <c r="AQ33" s="36"/>
      <c r="AR33" s="36"/>
      <c r="AS33" s="36"/>
      <c r="AT33" s="36"/>
      <c r="AU33" s="36"/>
      <c r="AV33" s="36">
        <v>1362.6053212365332</v>
      </c>
      <c r="AW33" s="36">
        <v>1367.2552844943357</v>
      </c>
      <c r="AX33" s="36">
        <v>1425.6234337313117</v>
      </c>
      <c r="AY33" s="36">
        <v>1407.8241643911729</v>
      </c>
      <c r="AZ33" s="36">
        <v>1444.0849293086319</v>
      </c>
      <c r="BA33" s="36">
        <v>1428.5148301956503</v>
      </c>
      <c r="BB33" s="36">
        <v>1442.9235560573923</v>
      </c>
      <c r="BC33" s="37">
        <v>1431.9705057608169</v>
      </c>
      <c r="BD33" s="36">
        <v>1446.9592788379882</v>
      </c>
      <c r="BE33" s="36">
        <v>1401.3250009843905</v>
      </c>
      <c r="BF33" s="36">
        <v>1364.2032212831964</v>
      </c>
      <c r="BG33" s="36">
        <v>1343.7074732422957</v>
      </c>
      <c r="BH33" s="36">
        <v>1374.0044183741813</v>
      </c>
      <c r="BI33" s="36">
        <v>1340.6906617227487</v>
      </c>
      <c r="BJ33" s="36">
        <v>1372.4129153203342</v>
      </c>
      <c r="BK33" s="36">
        <v>1340.9874929699076</v>
      </c>
      <c r="BL33" s="36">
        <v>1110.6500431335351</v>
      </c>
      <c r="BM33" s="36">
        <v>1286.0621022695966</v>
      </c>
      <c r="BN33" s="36">
        <v>1310.4912592717219</v>
      </c>
      <c r="BO33" s="36">
        <v>1321.4294281459133</v>
      </c>
      <c r="BP33" s="37">
        <v>1337.9525693320966</v>
      </c>
      <c r="BQ33" s="36">
        <v>1259.6401374778334</v>
      </c>
      <c r="BR33" s="36">
        <v>1237.5292940572613</v>
      </c>
      <c r="BS33" s="36">
        <v>1124.0657859393521</v>
      </c>
      <c r="BT33" s="36">
        <v>1129.489705785011</v>
      </c>
      <c r="BU33" s="36"/>
      <c r="BV33" s="36"/>
      <c r="BW33" s="36"/>
      <c r="BX33" s="36"/>
      <c r="BY33" s="36"/>
      <c r="BZ33" s="36"/>
      <c r="CA33" s="36"/>
      <c r="CB33" s="36"/>
      <c r="CC33" s="37">
        <v>1177.902930032388</v>
      </c>
    </row>
    <row r="34" spans="1:81" s="22" customFormat="1" ht="14.5" outlineLevel="1" x14ac:dyDescent="0.35">
      <c r="B34" s="25" t="s">
        <v>11</v>
      </c>
      <c r="C34" s="23" t="s">
        <v>33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1"/>
      <c r="AD34" s="20"/>
      <c r="AE34" s="20">
        <v>22000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1">
        <v>22000</v>
      </c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7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7"/>
      <c r="BQ34" s="36"/>
      <c r="BR34" s="36">
        <v>1270.8116981462833</v>
      </c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7">
        <v>1270.8116981462833</v>
      </c>
    </row>
    <row r="35" spans="1:81" s="22" customFormat="1" ht="14.5" outlineLevel="1" x14ac:dyDescent="0.35">
      <c r="B35" s="25" t="s">
        <v>11</v>
      </c>
      <c r="C35" s="23" t="s">
        <v>34</v>
      </c>
      <c r="D35" s="20"/>
      <c r="E35" s="20"/>
      <c r="F35" s="20"/>
      <c r="G35" s="20"/>
      <c r="H35" s="20"/>
      <c r="I35" s="20">
        <v>44000</v>
      </c>
      <c r="J35" s="20">
        <v>44000</v>
      </c>
      <c r="K35" s="20"/>
      <c r="L35" s="20"/>
      <c r="M35" s="20"/>
      <c r="N35" s="20"/>
      <c r="O35" s="20"/>
      <c r="P35" s="21">
        <v>88000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1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1"/>
      <c r="AQ35" s="36"/>
      <c r="AR35" s="36"/>
      <c r="AS35" s="36"/>
      <c r="AT35" s="36"/>
      <c r="AU35" s="36"/>
      <c r="AV35" s="36">
        <v>1316.5469747681962</v>
      </c>
      <c r="AW35" s="36">
        <v>1318.6047943682279</v>
      </c>
      <c r="AX35" s="36"/>
      <c r="AY35" s="36"/>
      <c r="AZ35" s="36"/>
      <c r="BA35" s="36"/>
      <c r="BB35" s="36"/>
      <c r="BC35" s="37">
        <v>1317.5758845682121</v>
      </c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7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7"/>
    </row>
    <row r="36" spans="1:81" ht="14.5" x14ac:dyDescent="0.35">
      <c r="A36" t="s">
        <v>362</v>
      </c>
      <c r="B36" s="15" t="s">
        <v>35</v>
      </c>
      <c r="C36" s="16"/>
      <c r="D36" s="17">
        <v>203525</v>
      </c>
      <c r="E36" s="17">
        <v>209000</v>
      </c>
      <c r="F36" s="17">
        <v>48400</v>
      </c>
      <c r="G36" s="17">
        <v>160600</v>
      </c>
      <c r="H36" s="17">
        <v>88000</v>
      </c>
      <c r="I36" s="17">
        <v>211700</v>
      </c>
      <c r="J36" s="17">
        <v>70400</v>
      </c>
      <c r="K36" s="17">
        <v>722418.2</v>
      </c>
      <c r="L36" s="17">
        <v>373900</v>
      </c>
      <c r="M36" s="17">
        <v>399300</v>
      </c>
      <c r="N36" s="17">
        <v>681600</v>
      </c>
      <c r="O36" s="17">
        <v>617100</v>
      </c>
      <c r="P36" s="18">
        <v>3785943.2</v>
      </c>
      <c r="Q36" s="17">
        <v>388849.3</v>
      </c>
      <c r="R36" s="17">
        <v>660000</v>
      </c>
      <c r="S36" s="17">
        <v>419100</v>
      </c>
      <c r="T36" s="17">
        <v>531300</v>
      </c>
      <c r="U36" s="17">
        <v>556160.30000000005</v>
      </c>
      <c r="V36" s="17">
        <v>486422.2</v>
      </c>
      <c r="W36" s="17">
        <v>248969.1</v>
      </c>
      <c r="X36" s="17">
        <v>835293</v>
      </c>
      <c r="Y36" s="17">
        <v>236500</v>
      </c>
      <c r="Z36" s="17">
        <v>382660</v>
      </c>
      <c r="AA36" s="17">
        <v>717340</v>
      </c>
      <c r="AB36" s="17">
        <v>946000</v>
      </c>
      <c r="AC36" s="18">
        <v>6408593.8999999994</v>
      </c>
      <c r="AD36" s="17">
        <v>616000</v>
      </c>
      <c r="AE36" s="17">
        <v>398200</v>
      </c>
      <c r="AF36" s="17">
        <v>772200</v>
      </c>
      <c r="AG36" s="17">
        <v>836000</v>
      </c>
      <c r="AH36" s="17"/>
      <c r="AI36" s="17"/>
      <c r="AJ36" s="17"/>
      <c r="AK36" s="17"/>
      <c r="AL36" s="17"/>
      <c r="AM36" s="17"/>
      <c r="AN36" s="17"/>
      <c r="AO36" s="17"/>
      <c r="AP36" s="18">
        <v>2622400</v>
      </c>
      <c r="AQ36" s="17">
        <v>1327.883595607746</v>
      </c>
      <c r="AR36" s="17">
        <v>1349.5033968356024</v>
      </c>
      <c r="AS36" s="17">
        <v>1407.6476117365219</v>
      </c>
      <c r="AT36" s="17">
        <v>1355.3278575212094</v>
      </c>
      <c r="AU36" s="17">
        <v>1354.130103736712</v>
      </c>
      <c r="AV36" s="17">
        <v>1327.1282617548486</v>
      </c>
      <c r="AW36" s="17">
        <v>1350.09536191757</v>
      </c>
      <c r="AX36" s="17">
        <v>1415.132869440866</v>
      </c>
      <c r="AY36" s="17">
        <v>1375.7433124666475</v>
      </c>
      <c r="AZ36" s="17">
        <v>1431.1249322987508</v>
      </c>
      <c r="BA36" s="17">
        <v>1404.2107220545186</v>
      </c>
      <c r="BB36" s="17">
        <v>1442.6826277717919</v>
      </c>
      <c r="BC36" s="19">
        <v>1396.9592995301152</v>
      </c>
      <c r="BD36" s="17">
        <v>1387.6579140000945</v>
      </c>
      <c r="BE36" s="17">
        <v>1391.0448203435699</v>
      </c>
      <c r="BF36" s="17">
        <v>1380.4574301843866</v>
      </c>
      <c r="BG36" s="17">
        <v>1353.3675450314595</v>
      </c>
      <c r="BH36" s="17">
        <v>1361.7839535303515</v>
      </c>
      <c r="BI36" s="17">
        <v>1338.1441594144567</v>
      </c>
      <c r="BJ36" s="17">
        <v>1371.4578271810799</v>
      </c>
      <c r="BK36" s="17">
        <v>1352.6897668444267</v>
      </c>
      <c r="BL36" s="17">
        <v>1203.8922647298652</v>
      </c>
      <c r="BM36" s="17">
        <v>1286.0621022695966</v>
      </c>
      <c r="BN36" s="17">
        <v>1311.185527550474</v>
      </c>
      <c r="BO36" s="17">
        <v>1341.4884127328585</v>
      </c>
      <c r="BP36" s="19">
        <v>1345.2792347226514</v>
      </c>
      <c r="BQ36" s="17">
        <v>1258.3455534087757</v>
      </c>
      <c r="BR36" s="17">
        <v>1249.913491542598</v>
      </c>
      <c r="BS36" s="17">
        <v>1156.4084054163484</v>
      </c>
      <c r="BT36" s="17">
        <v>1146.4335331051798</v>
      </c>
      <c r="BU36" s="17"/>
      <c r="BV36" s="17"/>
      <c r="BW36" s="17"/>
      <c r="BX36" s="17"/>
      <c r="BY36" s="17"/>
      <c r="BZ36" s="17"/>
      <c r="CA36" s="17"/>
      <c r="CB36" s="17"/>
      <c r="CC36" s="19">
        <v>1191.3718035274953</v>
      </c>
    </row>
    <row r="37" spans="1:81" s="22" customFormat="1" ht="14.5" outlineLevel="1" x14ac:dyDescent="0.35">
      <c r="B37" s="25" t="s">
        <v>36</v>
      </c>
      <c r="C37" s="23" t="s">
        <v>37</v>
      </c>
      <c r="D37" s="20"/>
      <c r="E37" s="20"/>
      <c r="F37" s="20"/>
      <c r="G37" s="20"/>
      <c r="H37" s="20">
        <v>25</v>
      </c>
      <c r="I37" s="20"/>
      <c r="J37" s="20"/>
      <c r="K37" s="20"/>
      <c r="L37" s="20"/>
      <c r="M37" s="20"/>
      <c r="N37" s="20"/>
      <c r="O37" s="20"/>
      <c r="P37" s="21">
        <v>25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1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36"/>
      <c r="AR37" s="36"/>
      <c r="AS37" s="36"/>
      <c r="AT37" s="36"/>
      <c r="AU37" s="36">
        <v>1267.3217003720949</v>
      </c>
      <c r="AV37" s="36"/>
      <c r="AW37" s="36"/>
      <c r="AX37" s="36"/>
      <c r="AY37" s="36"/>
      <c r="AZ37" s="36"/>
      <c r="BA37" s="36"/>
      <c r="BB37" s="36"/>
      <c r="BC37" s="37">
        <v>1267.3217003720949</v>
      </c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7"/>
    </row>
    <row r="38" spans="1:81" ht="14.5" x14ac:dyDescent="0.35">
      <c r="A38" t="s">
        <v>365</v>
      </c>
      <c r="B38" s="15" t="s">
        <v>38</v>
      </c>
      <c r="C38" s="16"/>
      <c r="D38" s="17"/>
      <c r="E38" s="17"/>
      <c r="F38" s="17"/>
      <c r="G38" s="17"/>
      <c r="H38" s="17">
        <v>25</v>
      </c>
      <c r="I38" s="17"/>
      <c r="J38" s="17"/>
      <c r="K38" s="17"/>
      <c r="L38" s="17"/>
      <c r="M38" s="17"/>
      <c r="N38" s="17"/>
      <c r="O38" s="17"/>
      <c r="P38" s="18">
        <v>25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8"/>
      <c r="AQ38" s="17"/>
      <c r="AR38" s="17"/>
      <c r="AS38" s="17"/>
      <c r="AT38" s="17"/>
      <c r="AU38" s="17">
        <v>1267.3217003720949</v>
      </c>
      <c r="AV38" s="17"/>
      <c r="AW38" s="17"/>
      <c r="AX38" s="17"/>
      <c r="AY38" s="17"/>
      <c r="AZ38" s="17"/>
      <c r="BA38" s="17"/>
      <c r="BB38" s="17"/>
      <c r="BC38" s="19">
        <v>1267.3217003720949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9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9"/>
    </row>
    <row r="39" spans="1:81" s="22" customFormat="1" ht="14.5" outlineLevel="1" x14ac:dyDescent="0.35">
      <c r="B39" s="25" t="s">
        <v>39</v>
      </c>
      <c r="C39" s="23" t="s">
        <v>40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  <c r="Q39" s="20"/>
      <c r="R39" s="20"/>
      <c r="S39" s="20"/>
      <c r="T39" s="20"/>
      <c r="U39" s="20"/>
      <c r="V39" s="20"/>
      <c r="W39" s="20"/>
      <c r="X39" s="20"/>
      <c r="Y39" s="20">
        <v>19800</v>
      </c>
      <c r="Z39" s="20">
        <v>9900</v>
      </c>
      <c r="AA39" s="20"/>
      <c r="AB39" s="20"/>
      <c r="AC39" s="21">
        <v>29700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7"/>
      <c r="BD39" s="36"/>
      <c r="BE39" s="36"/>
      <c r="BF39" s="36"/>
      <c r="BG39" s="36"/>
      <c r="BH39" s="36"/>
      <c r="BI39" s="36"/>
      <c r="BJ39" s="36"/>
      <c r="BK39" s="36"/>
      <c r="BL39" s="36">
        <v>728.82478438168664</v>
      </c>
      <c r="BM39" s="36">
        <v>736.84148877709674</v>
      </c>
      <c r="BN39" s="36"/>
      <c r="BO39" s="36"/>
      <c r="BP39" s="37">
        <v>731.49701918015671</v>
      </c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7"/>
    </row>
    <row r="40" spans="1:81" s="22" customFormat="1" ht="14.5" outlineLevel="1" x14ac:dyDescent="0.35">
      <c r="B40" s="25" t="s">
        <v>39</v>
      </c>
      <c r="C40" s="23" t="s">
        <v>41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  <c r="Q40" s="20"/>
      <c r="R40" s="20"/>
      <c r="S40" s="20"/>
      <c r="T40" s="20"/>
      <c r="U40" s="20"/>
      <c r="V40" s="20"/>
      <c r="W40" s="20"/>
      <c r="X40" s="20"/>
      <c r="Y40" s="20">
        <v>24200</v>
      </c>
      <c r="Z40" s="20">
        <v>12100</v>
      </c>
      <c r="AA40" s="20">
        <v>30800</v>
      </c>
      <c r="AB40" s="20"/>
      <c r="AC40" s="21">
        <v>67100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1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7"/>
      <c r="BD40" s="36"/>
      <c r="BE40" s="36"/>
      <c r="BF40" s="36"/>
      <c r="BG40" s="36"/>
      <c r="BH40" s="36"/>
      <c r="BI40" s="36"/>
      <c r="BJ40" s="36"/>
      <c r="BK40" s="36"/>
      <c r="BL40" s="36">
        <v>740.89419766965432</v>
      </c>
      <c r="BM40" s="36">
        <v>752.31395489004035</v>
      </c>
      <c r="BN40" s="36">
        <v>786.39437916337806</v>
      </c>
      <c r="BO40" s="36"/>
      <c r="BP40" s="37">
        <v>763.83882736225291</v>
      </c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7"/>
    </row>
    <row r="41" spans="1:81" ht="14.5" x14ac:dyDescent="0.35">
      <c r="B41" s="15" t="s">
        <v>42</v>
      </c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8"/>
      <c r="Q41" s="17"/>
      <c r="R41" s="17"/>
      <c r="S41" s="17"/>
      <c r="T41" s="17"/>
      <c r="U41" s="17"/>
      <c r="V41" s="17"/>
      <c r="W41" s="17"/>
      <c r="X41" s="17"/>
      <c r="Y41" s="17">
        <v>44000</v>
      </c>
      <c r="Z41" s="17">
        <v>22000</v>
      </c>
      <c r="AA41" s="17">
        <v>30800</v>
      </c>
      <c r="AB41" s="17"/>
      <c r="AC41" s="18">
        <v>96800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8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9"/>
      <c r="BD41" s="17"/>
      <c r="BE41" s="17"/>
      <c r="BF41" s="17"/>
      <c r="BG41" s="17"/>
      <c r="BH41" s="17"/>
      <c r="BI41" s="17"/>
      <c r="BJ41" s="17"/>
      <c r="BK41" s="17"/>
      <c r="BL41" s="17">
        <v>735.46296169006882</v>
      </c>
      <c r="BM41" s="17">
        <v>745.35134513921582</v>
      </c>
      <c r="BN41" s="17">
        <v>786.39437916337806</v>
      </c>
      <c r="BO41" s="17"/>
      <c r="BP41" s="19">
        <v>753.91577257910978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9"/>
    </row>
    <row r="42" spans="1:81" s="22" customFormat="1" ht="14.5" outlineLevel="1" x14ac:dyDescent="0.35">
      <c r="B42" s="25" t="s">
        <v>43</v>
      </c>
      <c r="C42" s="23" t="s">
        <v>5</v>
      </c>
      <c r="D42" s="20">
        <v>11000</v>
      </c>
      <c r="E42" s="20"/>
      <c r="F42" s="20">
        <v>300</v>
      </c>
      <c r="G42" s="20"/>
      <c r="H42" s="20"/>
      <c r="I42" s="20"/>
      <c r="J42" s="20"/>
      <c r="K42" s="20"/>
      <c r="L42" s="20"/>
      <c r="M42" s="20"/>
      <c r="N42" s="20"/>
      <c r="O42" s="20"/>
      <c r="P42" s="21">
        <v>11300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1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1"/>
      <c r="AQ42" s="36">
        <v>1462.0676534339896</v>
      </c>
      <c r="AR42" s="36"/>
      <c r="AS42" s="36">
        <v>1449.7285806412817</v>
      </c>
      <c r="AT42" s="36"/>
      <c r="AU42" s="36"/>
      <c r="AV42" s="36"/>
      <c r="AW42" s="36"/>
      <c r="AX42" s="36"/>
      <c r="AY42" s="36"/>
      <c r="AZ42" s="36"/>
      <c r="BA42" s="36"/>
      <c r="BB42" s="36"/>
      <c r="BC42" s="37">
        <v>1461.7400674306434</v>
      </c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7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7"/>
    </row>
    <row r="43" spans="1:81" s="22" customFormat="1" ht="14.5" outlineLevel="1" x14ac:dyDescent="0.35">
      <c r="B43" s="25" t="s">
        <v>43</v>
      </c>
      <c r="C43" s="23" t="s">
        <v>44</v>
      </c>
      <c r="D43" s="20"/>
      <c r="E43" s="20"/>
      <c r="F43" s="20">
        <v>1000</v>
      </c>
      <c r="G43" s="20"/>
      <c r="H43" s="20"/>
      <c r="I43" s="20"/>
      <c r="J43" s="20"/>
      <c r="K43" s="20"/>
      <c r="L43" s="20"/>
      <c r="M43" s="20"/>
      <c r="N43" s="20"/>
      <c r="O43" s="20"/>
      <c r="P43" s="21">
        <v>1000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1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1"/>
      <c r="AQ43" s="36"/>
      <c r="AR43" s="36"/>
      <c r="AS43" s="36">
        <v>1364.1393519059638</v>
      </c>
      <c r="AT43" s="36"/>
      <c r="AU43" s="36"/>
      <c r="AV43" s="36"/>
      <c r="AW43" s="36"/>
      <c r="AX43" s="36"/>
      <c r="AY43" s="36"/>
      <c r="AZ43" s="36"/>
      <c r="BA43" s="36"/>
      <c r="BB43" s="36"/>
      <c r="BC43" s="37">
        <v>1364.1393519059638</v>
      </c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7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7"/>
    </row>
    <row r="44" spans="1:81" s="22" customFormat="1" ht="14.5" outlineLevel="1" x14ac:dyDescent="0.35">
      <c r="B44" s="25" t="s">
        <v>43</v>
      </c>
      <c r="C44" s="23" t="s">
        <v>45</v>
      </c>
      <c r="D44" s="20"/>
      <c r="E44" s="20"/>
      <c r="F44" s="20"/>
      <c r="G44" s="20"/>
      <c r="H44" s="20"/>
      <c r="I44" s="20"/>
      <c r="J44" s="20"/>
      <c r="K44" s="20"/>
      <c r="L44" s="20">
        <v>25</v>
      </c>
      <c r="M44" s="20"/>
      <c r="N44" s="20"/>
      <c r="O44" s="20"/>
      <c r="P44" s="21">
        <v>25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1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1"/>
      <c r="AQ44" s="36"/>
      <c r="AR44" s="36"/>
      <c r="AS44" s="36"/>
      <c r="AT44" s="36"/>
      <c r="AU44" s="36"/>
      <c r="AV44" s="36"/>
      <c r="AW44" s="36"/>
      <c r="AX44" s="36"/>
      <c r="AY44" s="36">
        <v>1363.4656415603395</v>
      </c>
      <c r="AZ44" s="36"/>
      <c r="BA44" s="36"/>
      <c r="BB44" s="36"/>
      <c r="BC44" s="37">
        <v>1363.4656415603395</v>
      </c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7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7"/>
    </row>
    <row r="45" spans="1:81" s="22" customFormat="1" ht="14.5" outlineLevel="1" x14ac:dyDescent="0.35">
      <c r="B45" s="25" t="s">
        <v>43</v>
      </c>
      <c r="C45" s="23" t="s">
        <v>46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>
        <v>25</v>
      </c>
      <c r="O45" s="20"/>
      <c r="P45" s="21">
        <v>25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1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1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>
        <v>1366.8147510642539</v>
      </c>
      <c r="BB45" s="36"/>
      <c r="BC45" s="37">
        <v>1366.8147510642539</v>
      </c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7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7"/>
    </row>
    <row r="46" spans="1:81" ht="14.5" x14ac:dyDescent="0.35">
      <c r="B46" s="15" t="s">
        <v>47</v>
      </c>
      <c r="C46" s="16"/>
      <c r="D46" s="17">
        <v>11000</v>
      </c>
      <c r="E46" s="17"/>
      <c r="F46" s="17">
        <v>1300</v>
      </c>
      <c r="G46" s="17"/>
      <c r="H46" s="17"/>
      <c r="I46" s="17"/>
      <c r="J46" s="17"/>
      <c r="K46" s="17"/>
      <c r="L46" s="17">
        <v>25</v>
      </c>
      <c r="M46" s="17"/>
      <c r="N46" s="17">
        <v>25</v>
      </c>
      <c r="O46" s="17"/>
      <c r="P46" s="18">
        <v>12350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8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8"/>
      <c r="AQ46" s="17">
        <v>1462.0676534339896</v>
      </c>
      <c r="AR46" s="17"/>
      <c r="AS46" s="17">
        <v>1383.8907123833449</v>
      </c>
      <c r="AT46" s="17"/>
      <c r="AU46" s="17"/>
      <c r="AV46" s="17"/>
      <c r="AW46" s="17"/>
      <c r="AX46" s="17"/>
      <c r="AY46" s="17">
        <v>1363.4656415603395</v>
      </c>
      <c r="AZ46" s="17"/>
      <c r="BA46" s="17">
        <v>1366.8147510642539</v>
      </c>
      <c r="BB46" s="17"/>
      <c r="BC46" s="19">
        <v>1453.4460828897043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9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9"/>
    </row>
    <row r="47" spans="1:81" s="22" customFormat="1" ht="14.5" outlineLevel="1" x14ac:dyDescent="0.35">
      <c r="B47" s="25" t="s">
        <v>48</v>
      </c>
      <c r="C47" s="23" t="s">
        <v>49</v>
      </c>
      <c r="D47" s="20"/>
      <c r="E47" s="20"/>
      <c r="F47" s="20"/>
      <c r="G47" s="20">
        <v>2000</v>
      </c>
      <c r="H47" s="20">
        <v>1375</v>
      </c>
      <c r="I47" s="20"/>
      <c r="J47" s="20"/>
      <c r="K47" s="20"/>
      <c r="L47" s="20"/>
      <c r="M47" s="20"/>
      <c r="N47" s="20"/>
      <c r="O47" s="20"/>
      <c r="P47" s="21">
        <v>3375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1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1"/>
      <c r="AQ47" s="36"/>
      <c r="AR47" s="36"/>
      <c r="AS47" s="36"/>
      <c r="AT47" s="36">
        <v>1262.2525227973058</v>
      </c>
      <c r="AU47" s="36">
        <v>1215.2174968272511</v>
      </c>
      <c r="AV47" s="36"/>
      <c r="AW47" s="36"/>
      <c r="AX47" s="36"/>
      <c r="AY47" s="36"/>
      <c r="AZ47" s="36"/>
      <c r="BA47" s="36"/>
      <c r="BB47" s="36"/>
      <c r="BC47" s="37">
        <v>1243.0901048095059</v>
      </c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7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7"/>
    </row>
    <row r="48" spans="1:81" s="22" customFormat="1" ht="14.5" outlineLevel="1" x14ac:dyDescent="0.35">
      <c r="B48" s="25" t="s">
        <v>48</v>
      </c>
      <c r="C48" s="23" t="s">
        <v>5</v>
      </c>
      <c r="D48" s="20">
        <v>100000</v>
      </c>
      <c r="E48" s="20">
        <v>100000</v>
      </c>
      <c r="F48" s="20">
        <v>110300</v>
      </c>
      <c r="G48" s="20">
        <v>10000</v>
      </c>
      <c r="H48" s="20">
        <v>99700</v>
      </c>
      <c r="I48" s="20"/>
      <c r="J48" s="20"/>
      <c r="K48" s="20"/>
      <c r="L48" s="20"/>
      <c r="M48" s="20"/>
      <c r="N48" s="20"/>
      <c r="O48" s="20"/>
      <c r="P48" s="21">
        <v>420000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1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1"/>
      <c r="AQ48" s="36">
        <v>1510.7116182096975</v>
      </c>
      <c r="AR48" s="36">
        <v>1505.3425104470089</v>
      </c>
      <c r="AS48" s="36">
        <v>1498.5437301100942</v>
      </c>
      <c r="AT48" s="36">
        <v>1470.3196343022025</v>
      </c>
      <c r="AU48" s="36">
        <v>1387.6843723080322</v>
      </c>
      <c r="AV48" s="36"/>
      <c r="AW48" s="36"/>
      <c r="AX48" s="36"/>
      <c r="AY48" s="36"/>
      <c r="AZ48" s="36"/>
      <c r="BA48" s="36"/>
      <c r="BB48" s="36"/>
      <c r="BC48" s="37">
        <v>1476.0717013308249</v>
      </c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7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7"/>
    </row>
    <row r="49" spans="2:81" s="22" customFormat="1" ht="14.5" outlineLevel="1" x14ac:dyDescent="0.35">
      <c r="B49" s="25" t="s">
        <v>48</v>
      </c>
      <c r="C49" s="23" t="s">
        <v>50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/>
      <c r="Q49" s="20"/>
      <c r="R49" s="20"/>
      <c r="S49" s="20"/>
      <c r="T49" s="20"/>
      <c r="U49" s="20"/>
      <c r="V49" s="20"/>
      <c r="W49" s="20"/>
      <c r="X49" s="20"/>
      <c r="Y49" s="20"/>
      <c r="Z49" s="20">
        <v>5500</v>
      </c>
      <c r="AA49" s="20"/>
      <c r="AB49" s="20"/>
      <c r="AC49" s="21">
        <v>5500</v>
      </c>
      <c r="AD49" s="20"/>
      <c r="AE49" s="20"/>
      <c r="AF49" s="20"/>
      <c r="AG49" s="20">
        <v>5500</v>
      </c>
      <c r="AH49" s="20"/>
      <c r="AI49" s="20"/>
      <c r="AJ49" s="20"/>
      <c r="AK49" s="20"/>
      <c r="AL49" s="20"/>
      <c r="AM49" s="20"/>
      <c r="AN49" s="20"/>
      <c r="AO49" s="20"/>
      <c r="AP49" s="21">
        <v>5500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7"/>
      <c r="BD49" s="36"/>
      <c r="BE49" s="36"/>
      <c r="BF49" s="36"/>
      <c r="BG49" s="36"/>
      <c r="BH49" s="36"/>
      <c r="BI49" s="36"/>
      <c r="BJ49" s="36"/>
      <c r="BK49" s="36"/>
      <c r="BL49" s="36"/>
      <c r="BM49" s="36">
        <v>1389.2712517675734</v>
      </c>
      <c r="BN49" s="36"/>
      <c r="BO49" s="36"/>
      <c r="BP49" s="37">
        <v>1389.2712517675734</v>
      </c>
      <c r="BQ49" s="36"/>
      <c r="BR49" s="36"/>
      <c r="BS49" s="36"/>
      <c r="BT49" s="36">
        <v>1282.5417732484511</v>
      </c>
      <c r="BU49" s="36"/>
      <c r="BV49" s="36"/>
      <c r="BW49" s="36"/>
      <c r="BX49" s="36"/>
      <c r="BY49" s="36"/>
      <c r="BZ49" s="36"/>
      <c r="CA49" s="36"/>
      <c r="CB49" s="36"/>
      <c r="CC49" s="37">
        <v>1282.5417732484511</v>
      </c>
    </row>
    <row r="50" spans="2:81" s="22" customFormat="1" ht="14.5" outlineLevel="1" x14ac:dyDescent="0.35">
      <c r="B50" s="25" t="s">
        <v>48</v>
      </c>
      <c r="C50" s="23" t="s">
        <v>51</v>
      </c>
      <c r="D50" s="20">
        <v>60750</v>
      </c>
      <c r="E50" s="20"/>
      <c r="F50" s="20"/>
      <c r="G50" s="20">
        <v>11000</v>
      </c>
      <c r="H50" s="20">
        <v>25000</v>
      </c>
      <c r="I50" s="20"/>
      <c r="J50" s="20"/>
      <c r="K50" s="20">
        <v>11000</v>
      </c>
      <c r="L50" s="20">
        <v>11000</v>
      </c>
      <c r="M50" s="20"/>
      <c r="N50" s="20"/>
      <c r="O50" s="20">
        <v>24750</v>
      </c>
      <c r="P50" s="21">
        <v>143500</v>
      </c>
      <c r="Q50" s="20">
        <v>49500</v>
      </c>
      <c r="R50" s="20">
        <v>24750</v>
      </c>
      <c r="S50" s="20">
        <v>24750</v>
      </c>
      <c r="T50" s="20">
        <v>24750</v>
      </c>
      <c r="U50" s="20">
        <v>24750</v>
      </c>
      <c r="V50" s="20">
        <v>24750</v>
      </c>
      <c r="W50" s="20">
        <v>35750</v>
      </c>
      <c r="X50" s="20">
        <v>35725</v>
      </c>
      <c r="Y50" s="20">
        <v>35750</v>
      </c>
      <c r="Z50" s="20">
        <v>35750</v>
      </c>
      <c r="AA50" s="20">
        <v>11000</v>
      </c>
      <c r="AB50" s="20">
        <v>35750</v>
      </c>
      <c r="AC50" s="21">
        <v>362975</v>
      </c>
      <c r="AD50" s="20">
        <v>46750</v>
      </c>
      <c r="AE50" s="20">
        <v>24750</v>
      </c>
      <c r="AF50" s="20">
        <v>46750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1">
        <v>118250</v>
      </c>
      <c r="AQ50" s="36">
        <v>1517.9825736613361</v>
      </c>
      <c r="AR50" s="36"/>
      <c r="AS50" s="36"/>
      <c r="AT50" s="36">
        <v>1476.219251105312</v>
      </c>
      <c r="AU50" s="36">
        <v>1396.1132681724089</v>
      </c>
      <c r="AV50" s="36"/>
      <c r="AW50" s="36"/>
      <c r="AX50" s="36">
        <v>1414.9784795903677</v>
      </c>
      <c r="AY50" s="36">
        <v>1439.2766404303525</v>
      </c>
      <c r="AZ50" s="36"/>
      <c r="BA50" s="36"/>
      <c r="BB50" s="36">
        <v>1378.4042549271019</v>
      </c>
      <c r="BC50" s="37">
        <v>1455.547013561453</v>
      </c>
      <c r="BD50" s="36">
        <v>1394.0405487052608</v>
      </c>
      <c r="BE50" s="36">
        <v>1408.7094477073215</v>
      </c>
      <c r="BF50" s="36">
        <v>1402.2983600119544</v>
      </c>
      <c r="BG50" s="36">
        <v>1386.0856994705478</v>
      </c>
      <c r="BH50" s="36">
        <v>1346.6065599800852</v>
      </c>
      <c r="BI50" s="36">
        <v>1339.8249946616781</v>
      </c>
      <c r="BJ50" s="36">
        <v>1383.0530493300971</v>
      </c>
      <c r="BK50" s="36">
        <v>1375.0674669499708</v>
      </c>
      <c r="BL50" s="36">
        <v>1371.1182587056312</v>
      </c>
      <c r="BM50" s="36">
        <v>1392.3995865929737</v>
      </c>
      <c r="BN50" s="36">
        <v>1392.0923629372871</v>
      </c>
      <c r="BO50" s="36">
        <v>1394.6996424082872</v>
      </c>
      <c r="BP50" s="37">
        <v>1382.7673404212751</v>
      </c>
      <c r="BQ50" s="36">
        <v>1363.0906474048866</v>
      </c>
      <c r="BR50" s="36">
        <v>1321.890341906693</v>
      </c>
      <c r="BS50" s="36">
        <v>1351.7703053097762</v>
      </c>
      <c r="BT50" s="36"/>
      <c r="BU50" s="36"/>
      <c r="BV50" s="36"/>
      <c r="BW50" s="36"/>
      <c r="BX50" s="36"/>
      <c r="BY50" s="36"/>
      <c r="BZ50" s="36"/>
      <c r="CA50" s="36"/>
      <c r="CB50" s="36"/>
      <c r="CC50" s="37">
        <v>1349.9918435653374</v>
      </c>
    </row>
    <row r="51" spans="2:81" s="22" customFormat="1" ht="14.5" outlineLevel="1" x14ac:dyDescent="0.35">
      <c r="B51" s="25" t="s">
        <v>48</v>
      </c>
      <c r="C51" s="23" t="s">
        <v>52</v>
      </c>
      <c r="D51" s="20">
        <v>9625</v>
      </c>
      <c r="E51" s="20"/>
      <c r="F51" s="20"/>
      <c r="G51" s="20">
        <v>9625</v>
      </c>
      <c r="H51" s="20">
        <v>9625</v>
      </c>
      <c r="I51" s="20"/>
      <c r="J51" s="20">
        <v>9625</v>
      </c>
      <c r="K51" s="20">
        <v>9625</v>
      </c>
      <c r="L51" s="20"/>
      <c r="M51" s="20"/>
      <c r="N51" s="20"/>
      <c r="O51" s="20"/>
      <c r="P51" s="21">
        <v>48125</v>
      </c>
      <c r="Q51" s="20"/>
      <c r="R51" s="20">
        <v>2750</v>
      </c>
      <c r="S51" s="20">
        <v>9625</v>
      </c>
      <c r="T51" s="20"/>
      <c r="U51" s="20">
        <v>9600</v>
      </c>
      <c r="V51" s="20"/>
      <c r="W51" s="20"/>
      <c r="X51" s="20"/>
      <c r="Y51" s="20"/>
      <c r="Z51" s="20"/>
      <c r="AA51" s="20"/>
      <c r="AB51" s="20"/>
      <c r="AC51" s="21">
        <v>21975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1"/>
      <c r="AQ51" s="36">
        <v>1519.8315923765526</v>
      </c>
      <c r="AR51" s="36"/>
      <c r="AS51" s="36"/>
      <c r="AT51" s="36">
        <v>1478.6215639383081</v>
      </c>
      <c r="AU51" s="36">
        <v>1398.0934583292403</v>
      </c>
      <c r="AV51" s="36"/>
      <c r="AW51" s="36">
        <v>1401.5715778610293</v>
      </c>
      <c r="AX51" s="36">
        <v>1417.3950836911706</v>
      </c>
      <c r="AY51" s="36"/>
      <c r="AZ51" s="36"/>
      <c r="BA51" s="36"/>
      <c r="BB51" s="36"/>
      <c r="BC51" s="37">
        <v>1443.1026552392602</v>
      </c>
      <c r="BD51" s="36"/>
      <c r="BE51" s="36">
        <v>1415.3146932352581</v>
      </c>
      <c r="BF51" s="36">
        <v>1409.6141866621736</v>
      </c>
      <c r="BG51" s="36"/>
      <c r="BH51" s="36">
        <v>1351.3016949193343</v>
      </c>
      <c r="BI51" s="36"/>
      <c r="BJ51" s="36"/>
      <c r="BK51" s="36"/>
      <c r="BL51" s="36"/>
      <c r="BM51" s="36"/>
      <c r="BN51" s="36"/>
      <c r="BO51" s="36"/>
      <c r="BP51" s="37">
        <v>1384.8531615129004</v>
      </c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7"/>
    </row>
    <row r="52" spans="2:81" s="22" customFormat="1" ht="14.5" outlineLevel="1" x14ac:dyDescent="0.35">
      <c r="B52" s="25" t="s">
        <v>48</v>
      </c>
      <c r="C52" s="23" t="s">
        <v>53</v>
      </c>
      <c r="D52" s="20"/>
      <c r="E52" s="20"/>
      <c r="F52" s="20"/>
      <c r="G52" s="20"/>
      <c r="H52" s="20"/>
      <c r="I52" s="20"/>
      <c r="J52" s="20">
        <v>22000</v>
      </c>
      <c r="K52" s="20">
        <v>44000</v>
      </c>
      <c r="L52" s="20"/>
      <c r="M52" s="20">
        <v>22000</v>
      </c>
      <c r="N52" s="20">
        <v>22000</v>
      </c>
      <c r="O52" s="20"/>
      <c r="P52" s="21">
        <v>110000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1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1"/>
      <c r="AQ52" s="36"/>
      <c r="AR52" s="36"/>
      <c r="AS52" s="36"/>
      <c r="AT52" s="36"/>
      <c r="AU52" s="36"/>
      <c r="AV52" s="36"/>
      <c r="AW52" s="36">
        <v>1364.8231032004385</v>
      </c>
      <c r="AX52" s="36">
        <v>1379.743895664107</v>
      </c>
      <c r="AY52" s="36"/>
      <c r="AZ52" s="36">
        <v>1363.6930420641866</v>
      </c>
      <c r="BA52" s="36">
        <v>1364.2421250721325</v>
      </c>
      <c r="BB52" s="36"/>
      <c r="BC52" s="37">
        <v>1370.4492123329944</v>
      </c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7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7"/>
    </row>
    <row r="53" spans="2:81" s="22" customFormat="1" ht="14.5" outlineLevel="1" x14ac:dyDescent="0.35">
      <c r="B53" s="25" t="s">
        <v>48</v>
      </c>
      <c r="C53" s="23" t="s">
        <v>27</v>
      </c>
      <c r="D53" s="20"/>
      <c r="E53" s="20"/>
      <c r="F53" s="20">
        <v>12000</v>
      </c>
      <c r="G53" s="20"/>
      <c r="H53" s="20"/>
      <c r="I53" s="20"/>
      <c r="J53" s="20"/>
      <c r="K53" s="20"/>
      <c r="L53" s="20"/>
      <c r="M53" s="20"/>
      <c r="N53" s="20"/>
      <c r="O53" s="20"/>
      <c r="P53" s="21">
        <v>12000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1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1"/>
      <c r="AQ53" s="36"/>
      <c r="AR53" s="36"/>
      <c r="AS53" s="36">
        <v>1358.0223461798512</v>
      </c>
      <c r="AT53" s="36"/>
      <c r="AU53" s="36"/>
      <c r="AV53" s="36"/>
      <c r="AW53" s="36"/>
      <c r="AX53" s="36"/>
      <c r="AY53" s="36"/>
      <c r="AZ53" s="36"/>
      <c r="BA53" s="36"/>
      <c r="BB53" s="36"/>
      <c r="BC53" s="37">
        <v>1358.0223461798512</v>
      </c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7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7"/>
    </row>
    <row r="54" spans="2:81" s="22" customFormat="1" ht="14.5" outlineLevel="1" x14ac:dyDescent="0.35">
      <c r="B54" s="25" t="s">
        <v>48</v>
      </c>
      <c r="C54" s="23" t="s">
        <v>54</v>
      </c>
      <c r="D54" s="20"/>
      <c r="E54" s="20"/>
      <c r="F54" s="20"/>
      <c r="G54" s="20">
        <v>100000</v>
      </c>
      <c r="H54" s="20"/>
      <c r="I54" s="20">
        <v>88000</v>
      </c>
      <c r="J54" s="20">
        <v>66000</v>
      </c>
      <c r="K54" s="20">
        <v>22000</v>
      </c>
      <c r="L54" s="20">
        <v>77000</v>
      </c>
      <c r="M54" s="20">
        <v>88000</v>
      </c>
      <c r="N54" s="20">
        <v>66000</v>
      </c>
      <c r="O54" s="20">
        <v>77150</v>
      </c>
      <c r="P54" s="21">
        <v>584150</v>
      </c>
      <c r="Q54" s="20">
        <v>54850</v>
      </c>
      <c r="R54" s="20">
        <v>77000</v>
      </c>
      <c r="S54" s="20">
        <v>88000</v>
      </c>
      <c r="T54" s="20">
        <v>22000</v>
      </c>
      <c r="U54" s="20">
        <v>77000</v>
      </c>
      <c r="V54" s="20">
        <v>88000</v>
      </c>
      <c r="W54" s="20">
        <v>99000</v>
      </c>
      <c r="X54" s="20">
        <v>77000</v>
      </c>
      <c r="Y54" s="20">
        <v>77000</v>
      </c>
      <c r="Z54" s="20">
        <v>143000</v>
      </c>
      <c r="AA54" s="20">
        <v>55000</v>
      </c>
      <c r="AB54" s="20">
        <v>104500</v>
      </c>
      <c r="AC54" s="21">
        <v>962350</v>
      </c>
      <c r="AD54" s="20">
        <v>165000</v>
      </c>
      <c r="AE54" s="20">
        <v>176000</v>
      </c>
      <c r="AF54" s="20">
        <v>231000</v>
      </c>
      <c r="AG54" s="20">
        <v>220000</v>
      </c>
      <c r="AH54" s="20"/>
      <c r="AI54" s="20"/>
      <c r="AJ54" s="20"/>
      <c r="AK54" s="20"/>
      <c r="AL54" s="20"/>
      <c r="AM54" s="20"/>
      <c r="AN54" s="20"/>
      <c r="AO54" s="20"/>
      <c r="AP54" s="21">
        <v>792000</v>
      </c>
      <c r="AQ54" s="36"/>
      <c r="AR54" s="36"/>
      <c r="AS54" s="36"/>
      <c r="AT54" s="36">
        <v>1399.175032742211</v>
      </c>
      <c r="AU54" s="36"/>
      <c r="AV54" s="36">
        <v>1389.1522638709623</v>
      </c>
      <c r="AW54" s="36">
        <v>1393.3134936676383</v>
      </c>
      <c r="AX54" s="36">
        <v>1409.0437671253171</v>
      </c>
      <c r="AY54" s="36">
        <v>1433.240016178228</v>
      </c>
      <c r="AZ54" s="36">
        <v>1415.3075757041745</v>
      </c>
      <c r="BA54" s="36">
        <v>1393.2675396221337</v>
      </c>
      <c r="BB54" s="36">
        <v>1391.2212636206275</v>
      </c>
      <c r="BC54" s="37">
        <v>1402.577218119952</v>
      </c>
      <c r="BD54" s="36">
        <v>1392.4109717956405</v>
      </c>
      <c r="BE54" s="36">
        <v>1407.0842790048584</v>
      </c>
      <c r="BF54" s="36">
        <v>1401.4169223246172</v>
      </c>
      <c r="BG54" s="36">
        <v>1348.8895790310251</v>
      </c>
      <c r="BH54" s="36">
        <v>1343.2524599058197</v>
      </c>
      <c r="BI54" s="36">
        <v>1336.1997818860627</v>
      </c>
      <c r="BJ54" s="36">
        <v>1353.2218261105145</v>
      </c>
      <c r="BK54" s="36">
        <v>1371.5527028385241</v>
      </c>
      <c r="BL54" s="36">
        <v>1367.4959606229309</v>
      </c>
      <c r="BM54" s="36">
        <v>1381.6862771512674</v>
      </c>
      <c r="BN54" s="36">
        <v>1388.3654519417257</v>
      </c>
      <c r="BO54" s="36">
        <v>1391.0743293132111</v>
      </c>
      <c r="BP54" s="37">
        <v>1374.6762863640736</v>
      </c>
      <c r="BQ54" s="36">
        <v>1363.3487193673211</v>
      </c>
      <c r="BR54" s="36">
        <v>1361.2591153846445</v>
      </c>
      <c r="BS54" s="36">
        <v>1347.7061555560228</v>
      </c>
      <c r="BT54" s="36">
        <v>1347.3793322251602</v>
      </c>
      <c r="BU54" s="36"/>
      <c r="BV54" s="36"/>
      <c r="BW54" s="36"/>
      <c r="BX54" s="36"/>
      <c r="BY54" s="36"/>
      <c r="BZ54" s="36"/>
      <c r="CA54" s="36"/>
      <c r="CB54" s="36"/>
      <c r="CC54" s="37">
        <v>1353.8860076089413</v>
      </c>
    </row>
    <row r="55" spans="2:81" ht="14.5" x14ac:dyDescent="0.35">
      <c r="B55" s="15" t="s">
        <v>55</v>
      </c>
      <c r="C55" s="16"/>
      <c r="D55" s="17">
        <v>170375</v>
      </c>
      <c r="E55" s="17">
        <v>100000</v>
      </c>
      <c r="F55" s="17">
        <v>122300</v>
      </c>
      <c r="G55" s="17">
        <v>132625</v>
      </c>
      <c r="H55" s="17">
        <v>135700</v>
      </c>
      <c r="I55" s="17">
        <v>88000</v>
      </c>
      <c r="J55" s="17">
        <v>97625</v>
      </c>
      <c r="K55" s="17">
        <v>86625</v>
      </c>
      <c r="L55" s="17">
        <v>88000</v>
      </c>
      <c r="M55" s="17">
        <v>110000</v>
      </c>
      <c r="N55" s="17">
        <v>88000</v>
      </c>
      <c r="O55" s="17">
        <v>101900</v>
      </c>
      <c r="P55" s="18">
        <v>1321150</v>
      </c>
      <c r="Q55" s="17">
        <v>104350</v>
      </c>
      <c r="R55" s="17">
        <v>104500</v>
      </c>
      <c r="S55" s="17">
        <v>122375</v>
      </c>
      <c r="T55" s="17">
        <v>46750</v>
      </c>
      <c r="U55" s="17">
        <v>111350</v>
      </c>
      <c r="V55" s="17">
        <v>112750</v>
      </c>
      <c r="W55" s="17">
        <v>134750</v>
      </c>
      <c r="X55" s="17">
        <v>112725</v>
      </c>
      <c r="Y55" s="17">
        <v>112750</v>
      </c>
      <c r="Z55" s="17">
        <v>184250</v>
      </c>
      <c r="AA55" s="17">
        <v>66000</v>
      </c>
      <c r="AB55" s="17">
        <v>140250</v>
      </c>
      <c r="AC55" s="18">
        <v>1352800</v>
      </c>
      <c r="AD55" s="17">
        <v>211750</v>
      </c>
      <c r="AE55" s="17">
        <v>200750</v>
      </c>
      <c r="AF55" s="17">
        <v>277750</v>
      </c>
      <c r="AG55" s="17">
        <v>225500</v>
      </c>
      <c r="AH55" s="17"/>
      <c r="AI55" s="17"/>
      <c r="AJ55" s="17"/>
      <c r="AK55" s="17"/>
      <c r="AL55" s="17"/>
      <c r="AM55" s="17"/>
      <c r="AN55" s="17"/>
      <c r="AO55" s="17"/>
      <c r="AP55" s="18">
        <v>915750</v>
      </c>
      <c r="AQ55" s="17">
        <v>1513.8194115775216</v>
      </c>
      <c r="AR55" s="17">
        <v>1505.3425104470089</v>
      </c>
      <c r="AS55" s="17">
        <v>1484.7558592420407</v>
      </c>
      <c r="AT55" s="17">
        <v>1414.6303410209416</v>
      </c>
      <c r="AU55" s="17">
        <v>1388.2279824464072</v>
      </c>
      <c r="AV55" s="17">
        <v>1389.1522638709623</v>
      </c>
      <c r="AW55" s="17">
        <v>1387.7073012997305</v>
      </c>
      <c r="AX55" s="17">
        <v>1395.8428310764702</v>
      </c>
      <c r="AY55" s="17">
        <v>1433.9945942097434</v>
      </c>
      <c r="AZ55" s="17">
        <v>1404.9846689761766</v>
      </c>
      <c r="BA55" s="17">
        <v>1386.0111859846334</v>
      </c>
      <c r="BB55" s="17">
        <v>1388.108202137166</v>
      </c>
      <c r="BC55" s="19">
        <v>1429.6840017164568</v>
      </c>
      <c r="BD55" s="17">
        <v>1393.1839862376739</v>
      </c>
      <c r="BE55" s="17">
        <v>1407.6857772299259</v>
      </c>
      <c r="BF55" s="17">
        <v>1402.2399192766954</v>
      </c>
      <c r="BG55" s="17">
        <v>1368.5816427931252</v>
      </c>
      <c r="BH55" s="17">
        <v>1344.6919447102007</v>
      </c>
      <c r="BI55" s="17">
        <v>1336.9955603002227</v>
      </c>
      <c r="BJ55" s="17">
        <v>1361.1362322708117</v>
      </c>
      <c r="BK55" s="17">
        <v>1372.6666078984613</v>
      </c>
      <c r="BL55" s="17">
        <v>1368.6444941613481</v>
      </c>
      <c r="BM55" s="17">
        <v>1383.9913961359657</v>
      </c>
      <c r="BN55" s="17">
        <v>1388.9866037743193</v>
      </c>
      <c r="BO55" s="17">
        <v>1391.9984287296027</v>
      </c>
      <c r="BP55" s="19">
        <v>1377.0718803081356</v>
      </c>
      <c r="BQ55" s="17">
        <v>1363.2917424405498</v>
      </c>
      <c r="BR55" s="17">
        <v>1356.4054309832534</v>
      </c>
      <c r="BS55" s="17">
        <v>1348.3902203660602</v>
      </c>
      <c r="BT55" s="17">
        <v>1345.7979283476795</v>
      </c>
      <c r="BU55" s="17"/>
      <c r="BV55" s="17"/>
      <c r="BW55" s="17"/>
      <c r="BX55" s="17"/>
      <c r="BY55" s="17"/>
      <c r="BZ55" s="17"/>
      <c r="CA55" s="17"/>
      <c r="CB55" s="17"/>
      <c r="CC55" s="19">
        <v>1352.9546636972411</v>
      </c>
    </row>
    <row r="56" spans="2:81" s="22" customFormat="1" ht="14.5" outlineLevel="1" x14ac:dyDescent="0.35">
      <c r="B56" s="25" t="s">
        <v>56</v>
      </c>
      <c r="C56" s="23" t="s">
        <v>57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1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>
        <v>500</v>
      </c>
      <c r="AB56" s="20"/>
      <c r="AC56" s="21">
        <v>500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1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7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>
        <v>748.42728452041183</v>
      </c>
      <c r="BO56" s="36"/>
      <c r="BP56" s="37">
        <v>748.42728452041183</v>
      </c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7"/>
    </row>
    <row r="57" spans="2:81" s="22" customFormat="1" ht="14.5" outlineLevel="1" x14ac:dyDescent="0.35">
      <c r="B57" s="25" t="s">
        <v>56</v>
      </c>
      <c r="C57" s="23" t="s">
        <v>58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1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>
        <v>250</v>
      </c>
      <c r="AC57" s="21">
        <v>250</v>
      </c>
      <c r="AD57" s="20">
        <v>500</v>
      </c>
      <c r="AE57" s="20"/>
      <c r="AF57" s="20">
        <v>1000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1">
        <v>1500</v>
      </c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7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>
        <v>841.70899269928373</v>
      </c>
      <c r="BP57" s="37">
        <v>841.70899269928373</v>
      </c>
      <c r="BQ57" s="36">
        <v>952.99085654083672</v>
      </c>
      <c r="BR57" s="36"/>
      <c r="BS57" s="36">
        <v>953.86497139521862</v>
      </c>
      <c r="BT57" s="36"/>
      <c r="BU57" s="36"/>
      <c r="BV57" s="36"/>
      <c r="BW57" s="36"/>
      <c r="BX57" s="36"/>
      <c r="BY57" s="36"/>
      <c r="BZ57" s="36"/>
      <c r="CA57" s="36"/>
      <c r="CB57" s="36"/>
      <c r="CC57" s="37">
        <v>953.57359977709132</v>
      </c>
    </row>
    <row r="58" spans="2:81" s="22" customFormat="1" ht="14.5" outlineLevel="1" x14ac:dyDescent="0.35">
      <c r="B58" s="25" t="s">
        <v>56</v>
      </c>
      <c r="C58" s="23" t="s">
        <v>59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1"/>
      <c r="Q58" s="20"/>
      <c r="R58" s="20"/>
      <c r="S58" s="20">
        <v>100</v>
      </c>
      <c r="T58" s="20">
        <v>1000</v>
      </c>
      <c r="U58" s="20"/>
      <c r="V58" s="20"/>
      <c r="W58" s="20"/>
      <c r="X58" s="20"/>
      <c r="Y58" s="20"/>
      <c r="Z58" s="20"/>
      <c r="AA58" s="20"/>
      <c r="AB58" s="20"/>
      <c r="AC58" s="21">
        <v>1100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1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7"/>
      <c r="BD58" s="36"/>
      <c r="BE58" s="36"/>
      <c r="BF58" s="36">
        <v>669.96871989647047</v>
      </c>
      <c r="BG58" s="36">
        <v>662.22288191545522</v>
      </c>
      <c r="BH58" s="36"/>
      <c r="BI58" s="36"/>
      <c r="BJ58" s="36"/>
      <c r="BK58" s="36"/>
      <c r="BL58" s="36"/>
      <c r="BM58" s="36"/>
      <c r="BN58" s="36"/>
      <c r="BO58" s="36"/>
      <c r="BP58" s="37">
        <v>662.92704900463843</v>
      </c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7"/>
    </row>
    <row r="59" spans="2:81" s="22" customFormat="1" ht="14.5" outlineLevel="1" x14ac:dyDescent="0.35">
      <c r="B59" s="25" t="s">
        <v>56</v>
      </c>
      <c r="C59" s="23" t="s">
        <v>60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1"/>
      <c r="Q59" s="20"/>
      <c r="R59" s="20"/>
      <c r="S59" s="20"/>
      <c r="T59" s="20"/>
      <c r="U59" s="20"/>
      <c r="V59" s="20"/>
      <c r="W59" s="20"/>
      <c r="X59" s="20">
        <v>27000</v>
      </c>
      <c r="Y59" s="20"/>
      <c r="Z59" s="20"/>
      <c r="AA59" s="20">
        <v>108000</v>
      </c>
      <c r="AB59" s="20"/>
      <c r="AC59" s="21">
        <v>135000</v>
      </c>
      <c r="AD59" s="20"/>
      <c r="AE59" s="20"/>
      <c r="AF59" s="20">
        <v>108000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1">
        <v>108000</v>
      </c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7"/>
      <c r="BD59" s="36"/>
      <c r="BE59" s="36"/>
      <c r="BF59" s="36"/>
      <c r="BG59" s="36"/>
      <c r="BH59" s="36"/>
      <c r="BI59" s="36"/>
      <c r="BJ59" s="36"/>
      <c r="BK59" s="36">
        <v>645.02019033902366</v>
      </c>
      <c r="BL59" s="36"/>
      <c r="BM59" s="36"/>
      <c r="BN59" s="36">
        <v>667.46032301385355</v>
      </c>
      <c r="BO59" s="36"/>
      <c r="BP59" s="37">
        <v>662.97229647888753</v>
      </c>
      <c r="BQ59" s="36"/>
      <c r="BR59" s="36"/>
      <c r="BS59" s="36">
        <v>731.53213773567586</v>
      </c>
      <c r="BT59" s="36"/>
      <c r="BU59" s="36"/>
      <c r="BV59" s="36"/>
      <c r="BW59" s="36"/>
      <c r="BX59" s="36"/>
      <c r="BY59" s="36"/>
      <c r="BZ59" s="36"/>
      <c r="CA59" s="36"/>
      <c r="CB59" s="36"/>
      <c r="CC59" s="37">
        <v>731.53213773567586</v>
      </c>
    </row>
    <row r="60" spans="2:81" s="22" customFormat="1" ht="14.5" outlineLevel="1" x14ac:dyDescent="0.35">
      <c r="B60" s="25" t="s">
        <v>56</v>
      </c>
      <c r="C60" s="23" t="s">
        <v>61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1"/>
      <c r="Q60" s="20"/>
      <c r="R60" s="20"/>
      <c r="S60" s="20"/>
      <c r="T60" s="20">
        <v>1000</v>
      </c>
      <c r="U60" s="20"/>
      <c r="V60" s="20">
        <v>28125</v>
      </c>
      <c r="W60" s="20">
        <v>22000</v>
      </c>
      <c r="X60" s="20">
        <v>23375</v>
      </c>
      <c r="Y60" s="20">
        <v>48125</v>
      </c>
      <c r="Z60" s="20">
        <v>47350</v>
      </c>
      <c r="AA60" s="20">
        <v>20625</v>
      </c>
      <c r="AB60" s="20">
        <v>33000</v>
      </c>
      <c r="AC60" s="21">
        <v>223600</v>
      </c>
      <c r="AD60" s="20">
        <v>15125</v>
      </c>
      <c r="AE60" s="20">
        <v>4125</v>
      </c>
      <c r="AF60" s="20">
        <v>27500</v>
      </c>
      <c r="AG60" s="20">
        <v>11000</v>
      </c>
      <c r="AH60" s="20"/>
      <c r="AI60" s="20"/>
      <c r="AJ60" s="20"/>
      <c r="AK60" s="20"/>
      <c r="AL60" s="20"/>
      <c r="AM60" s="20"/>
      <c r="AN60" s="20"/>
      <c r="AO60" s="20"/>
      <c r="AP60" s="21">
        <v>57750</v>
      </c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7"/>
      <c r="BD60" s="36"/>
      <c r="BE60" s="36"/>
      <c r="BF60" s="36"/>
      <c r="BG60" s="36">
        <v>650.53659576400605</v>
      </c>
      <c r="BH60" s="36"/>
      <c r="BI60" s="36">
        <v>610.86379087555702</v>
      </c>
      <c r="BJ60" s="36">
        <v>598.69510100239165</v>
      </c>
      <c r="BK60" s="36">
        <v>602.33273888139058</v>
      </c>
      <c r="BL60" s="36">
        <v>600.55117209352761</v>
      </c>
      <c r="BM60" s="36">
        <v>601.45336455779329</v>
      </c>
      <c r="BN60" s="36">
        <v>598.95988331736487</v>
      </c>
      <c r="BO60" s="36">
        <v>600.72567569848138</v>
      </c>
      <c r="BP60" s="37">
        <v>602.14551685074787</v>
      </c>
      <c r="BQ60" s="36">
        <v>600.03128331129437</v>
      </c>
      <c r="BR60" s="36">
        <v>605.81942641606031</v>
      </c>
      <c r="BS60" s="36">
        <v>609.41373295800292</v>
      </c>
      <c r="BT60" s="36">
        <v>617.27884263445492</v>
      </c>
      <c r="BU60" s="36"/>
      <c r="BV60" s="36"/>
      <c r="BW60" s="36"/>
      <c r="BX60" s="36"/>
      <c r="BY60" s="36"/>
      <c r="BZ60" s="36"/>
      <c r="CA60" s="36"/>
      <c r="CB60" s="36"/>
      <c r="CC60" s="37">
        <v>608.19780466447889</v>
      </c>
    </row>
    <row r="61" spans="2:81" s="22" customFormat="1" ht="14.5" outlineLevel="1" x14ac:dyDescent="0.35">
      <c r="B61" s="25" t="s">
        <v>56</v>
      </c>
      <c r="C61" s="23" t="s">
        <v>62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1"/>
      <c r="Q61" s="20"/>
      <c r="R61" s="20"/>
      <c r="S61" s="20"/>
      <c r="T61" s="20"/>
      <c r="U61" s="20"/>
      <c r="V61" s="20"/>
      <c r="W61" s="20"/>
      <c r="X61" s="20"/>
      <c r="Y61" s="20"/>
      <c r="Z61" s="20">
        <v>3500</v>
      </c>
      <c r="AA61" s="20"/>
      <c r="AB61" s="20"/>
      <c r="AC61" s="21">
        <v>3500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1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7"/>
      <c r="BD61" s="36"/>
      <c r="BE61" s="36"/>
      <c r="BF61" s="36"/>
      <c r="BG61" s="36"/>
      <c r="BH61" s="36"/>
      <c r="BI61" s="36"/>
      <c r="BJ61" s="36"/>
      <c r="BK61" s="36"/>
      <c r="BL61" s="36"/>
      <c r="BM61" s="36">
        <v>760.84309241955793</v>
      </c>
      <c r="BN61" s="36"/>
      <c r="BO61" s="36"/>
      <c r="BP61" s="37">
        <v>760.84309241955793</v>
      </c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7"/>
    </row>
    <row r="62" spans="2:81" s="22" customFormat="1" ht="14.5" outlineLevel="1" x14ac:dyDescent="0.35">
      <c r="B62" s="25" t="s">
        <v>56</v>
      </c>
      <c r="C62" s="23" t="s">
        <v>63</v>
      </c>
      <c r="D62" s="20"/>
      <c r="E62" s="20"/>
      <c r="F62" s="20"/>
      <c r="G62" s="20"/>
      <c r="H62" s="20"/>
      <c r="I62" s="20"/>
      <c r="J62" s="20"/>
      <c r="K62" s="20"/>
      <c r="L62" s="20">
        <v>1000</v>
      </c>
      <c r="M62" s="20"/>
      <c r="N62" s="20"/>
      <c r="O62" s="20"/>
      <c r="P62" s="21">
        <v>1000</v>
      </c>
      <c r="Q62" s="20"/>
      <c r="R62" s="20">
        <v>11000</v>
      </c>
      <c r="S62" s="20">
        <v>11000</v>
      </c>
      <c r="T62" s="20">
        <v>28000</v>
      </c>
      <c r="U62" s="20"/>
      <c r="V62" s="20"/>
      <c r="W62" s="20"/>
      <c r="X62" s="20"/>
      <c r="Y62" s="20"/>
      <c r="Z62" s="20"/>
      <c r="AA62" s="20"/>
      <c r="AB62" s="20"/>
      <c r="AC62" s="21">
        <v>50000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1"/>
      <c r="AQ62" s="36"/>
      <c r="AR62" s="36"/>
      <c r="AS62" s="36"/>
      <c r="AT62" s="36"/>
      <c r="AU62" s="36"/>
      <c r="AV62" s="36"/>
      <c r="AW62" s="36"/>
      <c r="AX62" s="36"/>
      <c r="AY62" s="36">
        <v>857.64063200953979</v>
      </c>
      <c r="AZ62" s="36"/>
      <c r="BA62" s="36"/>
      <c r="BB62" s="36"/>
      <c r="BC62" s="37">
        <v>857.64063200953979</v>
      </c>
      <c r="BD62" s="36"/>
      <c r="BE62" s="36">
        <v>672.67808613843056</v>
      </c>
      <c r="BF62" s="36">
        <v>669.96871989647047</v>
      </c>
      <c r="BG62" s="36">
        <v>662.22288191545522</v>
      </c>
      <c r="BH62" s="36"/>
      <c r="BI62" s="36"/>
      <c r="BJ62" s="36"/>
      <c r="BK62" s="36"/>
      <c r="BL62" s="36"/>
      <c r="BM62" s="36"/>
      <c r="BN62" s="36"/>
      <c r="BO62" s="36"/>
      <c r="BP62" s="37">
        <v>666.22711120033318</v>
      </c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7"/>
    </row>
    <row r="63" spans="2:81" s="22" customFormat="1" ht="14.5" outlineLevel="1" x14ac:dyDescent="0.35">
      <c r="B63" s="25" t="s">
        <v>56</v>
      </c>
      <c r="C63" s="23" t="s">
        <v>64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1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1"/>
      <c r="AD63" s="20"/>
      <c r="AE63" s="20"/>
      <c r="AF63" s="20"/>
      <c r="AG63" s="20">
        <v>81000</v>
      </c>
      <c r="AH63" s="20"/>
      <c r="AI63" s="20"/>
      <c r="AJ63" s="20"/>
      <c r="AK63" s="20"/>
      <c r="AL63" s="20"/>
      <c r="AM63" s="20"/>
      <c r="AN63" s="20"/>
      <c r="AO63" s="20"/>
      <c r="AP63" s="21">
        <v>81000</v>
      </c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7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7"/>
      <c r="BQ63" s="36"/>
      <c r="BR63" s="36"/>
      <c r="BS63" s="36"/>
      <c r="BT63" s="36">
        <v>1030.0001654155276</v>
      </c>
      <c r="BU63" s="36"/>
      <c r="BV63" s="36"/>
      <c r="BW63" s="36"/>
      <c r="BX63" s="36"/>
      <c r="BY63" s="36"/>
      <c r="BZ63" s="36"/>
      <c r="CA63" s="36"/>
      <c r="CB63" s="36"/>
      <c r="CC63" s="37">
        <v>1030.0001654155276</v>
      </c>
    </row>
    <row r="64" spans="2:81" s="22" customFormat="1" ht="14.5" outlineLevel="1" x14ac:dyDescent="0.35">
      <c r="B64" s="25" t="s">
        <v>56</v>
      </c>
      <c r="C64" s="23" t="s">
        <v>65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1"/>
      <c r="Q64" s="20"/>
      <c r="R64" s="20"/>
      <c r="S64" s="20"/>
      <c r="T64" s="20"/>
      <c r="U64" s="20"/>
      <c r="V64" s="20"/>
      <c r="W64" s="20">
        <v>1375</v>
      </c>
      <c r="X64" s="20"/>
      <c r="Y64" s="20"/>
      <c r="Z64" s="20"/>
      <c r="AA64" s="20"/>
      <c r="AB64" s="20"/>
      <c r="AC64" s="21">
        <v>1375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1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7"/>
      <c r="BD64" s="36"/>
      <c r="BE64" s="36"/>
      <c r="BF64" s="36"/>
      <c r="BG64" s="36"/>
      <c r="BH64" s="36"/>
      <c r="BI64" s="36"/>
      <c r="BJ64" s="36">
        <v>692.6258332238682</v>
      </c>
      <c r="BK64" s="36"/>
      <c r="BL64" s="36"/>
      <c r="BM64" s="36"/>
      <c r="BN64" s="36"/>
      <c r="BO64" s="36"/>
      <c r="BP64" s="37">
        <v>692.6258332238682</v>
      </c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7"/>
    </row>
    <row r="65" spans="2:81" ht="14.5" x14ac:dyDescent="0.35">
      <c r="B65" s="15" t="s">
        <v>66</v>
      </c>
      <c r="C65" s="16"/>
      <c r="D65" s="17"/>
      <c r="E65" s="17"/>
      <c r="F65" s="17"/>
      <c r="G65" s="17"/>
      <c r="H65" s="17"/>
      <c r="I65" s="17"/>
      <c r="J65" s="17"/>
      <c r="K65" s="17"/>
      <c r="L65" s="17">
        <v>1000</v>
      </c>
      <c r="M65" s="17"/>
      <c r="N65" s="17"/>
      <c r="O65" s="17"/>
      <c r="P65" s="18">
        <v>1000</v>
      </c>
      <c r="Q65" s="17"/>
      <c r="R65" s="17">
        <v>11000</v>
      </c>
      <c r="S65" s="17">
        <v>11100</v>
      </c>
      <c r="T65" s="17">
        <v>30000</v>
      </c>
      <c r="U65" s="17"/>
      <c r="V65" s="17">
        <v>28125</v>
      </c>
      <c r="W65" s="17">
        <v>23375</v>
      </c>
      <c r="X65" s="17">
        <v>50375</v>
      </c>
      <c r="Y65" s="17">
        <v>48125</v>
      </c>
      <c r="Z65" s="17">
        <v>50850</v>
      </c>
      <c r="AA65" s="17">
        <v>129125</v>
      </c>
      <c r="AB65" s="17">
        <v>33250</v>
      </c>
      <c r="AC65" s="18">
        <v>415325</v>
      </c>
      <c r="AD65" s="17">
        <v>15625</v>
      </c>
      <c r="AE65" s="17">
        <v>4125</v>
      </c>
      <c r="AF65" s="17">
        <v>136500</v>
      </c>
      <c r="AG65" s="17">
        <v>92000</v>
      </c>
      <c r="AH65" s="17"/>
      <c r="AI65" s="17"/>
      <c r="AJ65" s="17"/>
      <c r="AK65" s="17"/>
      <c r="AL65" s="17"/>
      <c r="AM65" s="17"/>
      <c r="AN65" s="17"/>
      <c r="AO65" s="17"/>
      <c r="AP65" s="18">
        <v>248250</v>
      </c>
      <c r="AQ65" s="17"/>
      <c r="AR65" s="17"/>
      <c r="AS65" s="17"/>
      <c r="AT65" s="17"/>
      <c r="AU65" s="17"/>
      <c r="AV65" s="17"/>
      <c r="AW65" s="17"/>
      <c r="AX65" s="17"/>
      <c r="AY65" s="17">
        <v>857.64063200953979</v>
      </c>
      <c r="AZ65" s="17"/>
      <c r="BA65" s="17"/>
      <c r="BB65" s="17"/>
      <c r="BC65" s="19">
        <v>857.64063200953979</v>
      </c>
      <c r="BD65" s="17"/>
      <c r="BE65" s="17">
        <v>672.67808613843056</v>
      </c>
      <c r="BF65" s="17">
        <v>669.96871989647047</v>
      </c>
      <c r="BG65" s="17">
        <v>661.83333904374024</v>
      </c>
      <c r="BH65" s="17"/>
      <c r="BI65" s="17">
        <v>610.86379087555702</v>
      </c>
      <c r="BJ65" s="17">
        <v>604.22043819189025</v>
      </c>
      <c r="BK65" s="17">
        <v>625.21236546910461</v>
      </c>
      <c r="BL65" s="17">
        <v>600.55117209352761</v>
      </c>
      <c r="BM65" s="17">
        <v>612.42414228672487</v>
      </c>
      <c r="BN65" s="17">
        <v>656.83234169352977</v>
      </c>
      <c r="BO65" s="17">
        <v>602.53758033758504</v>
      </c>
      <c r="BP65" s="19">
        <v>631.74989500026527</v>
      </c>
      <c r="BQ65" s="17">
        <v>611.32598965463967</v>
      </c>
      <c r="BR65" s="17">
        <v>605.81942641606031</v>
      </c>
      <c r="BS65" s="17">
        <v>708.55834068273464</v>
      </c>
      <c r="BT65" s="17">
        <v>980.65305073518198</v>
      </c>
      <c r="BU65" s="17"/>
      <c r="BV65" s="17"/>
      <c r="BW65" s="17"/>
      <c r="BX65" s="17"/>
      <c r="BY65" s="17"/>
      <c r="BZ65" s="17"/>
      <c r="CA65" s="17"/>
      <c r="CB65" s="17"/>
      <c r="CC65" s="19">
        <v>801.56804790795582</v>
      </c>
    </row>
    <row r="66" spans="2:81" s="22" customFormat="1" ht="14.5" outlineLevel="1" x14ac:dyDescent="0.35">
      <c r="B66" s="25" t="s">
        <v>67</v>
      </c>
      <c r="C66" s="23" t="s">
        <v>44</v>
      </c>
      <c r="D66" s="20"/>
      <c r="E66" s="20"/>
      <c r="F66" s="20">
        <v>1000</v>
      </c>
      <c r="G66" s="20"/>
      <c r="H66" s="20"/>
      <c r="I66" s="20"/>
      <c r="J66" s="20"/>
      <c r="K66" s="20"/>
      <c r="L66" s="20"/>
      <c r="M66" s="20"/>
      <c r="N66" s="20"/>
      <c r="O66" s="20"/>
      <c r="P66" s="21">
        <v>1000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1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1"/>
      <c r="AQ66" s="36"/>
      <c r="AR66" s="36"/>
      <c r="AS66" s="36">
        <v>1364.1393519059638</v>
      </c>
      <c r="AT66" s="36"/>
      <c r="AU66" s="36"/>
      <c r="AV66" s="36"/>
      <c r="AW66" s="36"/>
      <c r="AX66" s="36"/>
      <c r="AY66" s="36"/>
      <c r="AZ66" s="36"/>
      <c r="BA66" s="36"/>
      <c r="BB66" s="36"/>
      <c r="BC66" s="37">
        <v>1364.1393519059638</v>
      </c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7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7"/>
    </row>
    <row r="67" spans="2:81" ht="14.5" x14ac:dyDescent="0.35">
      <c r="B67" s="15" t="s">
        <v>68</v>
      </c>
      <c r="C67" s="16"/>
      <c r="D67" s="17"/>
      <c r="E67" s="17"/>
      <c r="F67" s="17">
        <v>1000</v>
      </c>
      <c r="G67" s="17"/>
      <c r="H67" s="17"/>
      <c r="I67" s="17"/>
      <c r="J67" s="17"/>
      <c r="K67" s="17"/>
      <c r="L67" s="17"/>
      <c r="M67" s="17"/>
      <c r="N67" s="17"/>
      <c r="O67" s="17"/>
      <c r="P67" s="18">
        <v>1000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8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8"/>
      <c r="AQ67" s="17"/>
      <c r="AR67" s="17"/>
      <c r="AS67" s="17">
        <v>1364.1393519059638</v>
      </c>
      <c r="AT67" s="17"/>
      <c r="AU67" s="17"/>
      <c r="AV67" s="17"/>
      <c r="AW67" s="17"/>
      <c r="AX67" s="17"/>
      <c r="AY67" s="17"/>
      <c r="AZ67" s="17"/>
      <c r="BA67" s="17"/>
      <c r="BB67" s="17"/>
      <c r="BC67" s="19">
        <v>1364.1393519059638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9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9"/>
    </row>
    <row r="68" spans="2:81" s="22" customFormat="1" ht="14.5" outlineLevel="1" x14ac:dyDescent="0.35">
      <c r="B68" s="25" t="s">
        <v>69</v>
      </c>
      <c r="C68" s="23" t="s">
        <v>44</v>
      </c>
      <c r="D68" s="20"/>
      <c r="E68" s="20"/>
      <c r="F68" s="20">
        <v>1000</v>
      </c>
      <c r="G68" s="20"/>
      <c r="H68" s="20"/>
      <c r="I68" s="20"/>
      <c r="J68" s="20"/>
      <c r="K68" s="20"/>
      <c r="L68" s="20"/>
      <c r="M68" s="20"/>
      <c r="N68" s="20"/>
      <c r="O68" s="20"/>
      <c r="P68" s="21">
        <v>1000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1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1"/>
      <c r="AQ68" s="36"/>
      <c r="AR68" s="36"/>
      <c r="AS68" s="36">
        <v>1364.1393519059638</v>
      </c>
      <c r="AT68" s="36"/>
      <c r="AU68" s="36"/>
      <c r="AV68" s="36"/>
      <c r="AW68" s="36"/>
      <c r="AX68" s="36"/>
      <c r="AY68" s="36"/>
      <c r="AZ68" s="36"/>
      <c r="BA68" s="36"/>
      <c r="BB68" s="36"/>
      <c r="BC68" s="37">
        <v>1364.1393519059638</v>
      </c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7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7"/>
    </row>
    <row r="69" spans="2:81" ht="14.5" x14ac:dyDescent="0.35">
      <c r="B69" s="15" t="s">
        <v>70</v>
      </c>
      <c r="C69" s="16"/>
      <c r="D69" s="17"/>
      <c r="E69" s="17"/>
      <c r="F69" s="17">
        <v>1000</v>
      </c>
      <c r="G69" s="17"/>
      <c r="H69" s="17"/>
      <c r="I69" s="17"/>
      <c r="J69" s="17"/>
      <c r="K69" s="17"/>
      <c r="L69" s="17"/>
      <c r="M69" s="17"/>
      <c r="N69" s="17"/>
      <c r="O69" s="17"/>
      <c r="P69" s="18">
        <v>1000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8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8"/>
      <c r="AQ69" s="17"/>
      <c r="AR69" s="17"/>
      <c r="AS69" s="17">
        <v>1364.1393519059638</v>
      </c>
      <c r="AT69" s="17"/>
      <c r="AU69" s="17"/>
      <c r="AV69" s="17"/>
      <c r="AW69" s="17"/>
      <c r="AX69" s="17"/>
      <c r="AY69" s="17"/>
      <c r="AZ69" s="17"/>
      <c r="BA69" s="17"/>
      <c r="BB69" s="17"/>
      <c r="BC69" s="19">
        <v>1364.1393519059638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9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9"/>
    </row>
    <row r="70" spans="2:81" s="22" customFormat="1" ht="14.5" outlineLevel="1" x14ac:dyDescent="0.35">
      <c r="B70" s="25" t="s">
        <v>71</v>
      </c>
      <c r="C70" s="23" t="s">
        <v>72</v>
      </c>
      <c r="D70" s="20"/>
      <c r="E70" s="20"/>
      <c r="F70" s="20"/>
      <c r="G70" s="20"/>
      <c r="H70" s="20"/>
      <c r="I70" s="20"/>
      <c r="J70" s="20"/>
      <c r="K70" s="20">
        <v>100</v>
      </c>
      <c r="L70" s="20">
        <v>3300</v>
      </c>
      <c r="M70" s="20"/>
      <c r="N70" s="20">
        <v>3300</v>
      </c>
      <c r="O70" s="20"/>
      <c r="P70" s="21">
        <v>6700</v>
      </c>
      <c r="Q70" s="20">
        <v>3300</v>
      </c>
      <c r="R70" s="20">
        <v>3300</v>
      </c>
      <c r="S70" s="20"/>
      <c r="T70" s="20">
        <v>4400</v>
      </c>
      <c r="U70" s="20">
        <v>5500</v>
      </c>
      <c r="V70" s="20">
        <v>4400</v>
      </c>
      <c r="W70" s="20"/>
      <c r="X70" s="20"/>
      <c r="Y70" s="20"/>
      <c r="Z70" s="20"/>
      <c r="AA70" s="20"/>
      <c r="AB70" s="20"/>
      <c r="AC70" s="21">
        <v>20900</v>
      </c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1"/>
      <c r="AQ70" s="36"/>
      <c r="AR70" s="36"/>
      <c r="AS70" s="36"/>
      <c r="AT70" s="36"/>
      <c r="AU70" s="36"/>
      <c r="AV70" s="36"/>
      <c r="AW70" s="36"/>
      <c r="AX70" s="36">
        <v>1328.6221946185635</v>
      </c>
      <c r="AY70" s="36">
        <v>1360.5555174950605</v>
      </c>
      <c r="AZ70" s="36"/>
      <c r="BA70" s="36">
        <v>1332.9782436494897</v>
      </c>
      <c r="BB70" s="36"/>
      <c r="BC70" s="37">
        <v>1346.4960643640109</v>
      </c>
      <c r="BD70" s="36">
        <v>1292.5003606151533</v>
      </c>
      <c r="BE70" s="36">
        <v>1240.8022226697913</v>
      </c>
      <c r="BF70" s="36"/>
      <c r="BG70" s="36">
        <v>1258.323757478267</v>
      </c>
      <c r="BH70" s="36">
        <v>1285.883196844693</v>
      </c>
      <c r="BI70" s="36">
        <v>1279.1317279309935</v>
      </c>
      <c r="BJ70" s="36"/>
      <c r="BK70" s="36"/>
      <c r="BL70" s="36"/>
      <c r="BM70" s="36"/>
      <c r="BN70" s="36"/>
      <c r="BO70" s="36"/>
      <c r="BP70" s="37">
        <v>1272.5866145113339</v>
      </c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7"/>
    </row>
    <row r="71" spans="2:81" s="22" customFormat="1" ht="14.5" outlineLevel="1" x14ac:dyDescent="0.35">
      <c r="B71" s="25" t="s">
        <v>71</v>
      </c>
      <c r="C71" s="23" t="s">
        <v>17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1"/>
      <c r="Q71" s="20"/>
      <c r="R71" s="20"/>
      <c r="S71" s="20"/>
      <c r="T71" s="20"/>
      <c r="U71" s="20"/>
      <c r="V71" s="20"/>
      <c r="W71" s="20"/>
      <c r="X71" s="20"/>
      <c r="Y71" s="20">
        <v>500</v>
      </c>
      <c r="Z71" s="20"/>
      <c r="AA71" s="20"/>
      <c r="AB71" s="20"/>
      <c r="AC71" s="21">
        <v>500</v>
      </c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1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7"/>
      <c r="BD71" s="36"/>
      <c r="BE71" s="36"/>
      <c r="BF71" s="36"/>
      <c r="BG71" s="36"/>
      <c r="BH71" s="36"/>
      <c r="BI71" s="36"/>
      <c r="BJ71" s="36"/>
      <c r="BK71" s="36"/>
      <c r="BL71" s="36">
        <v>1255.822574766172</v>
      </c>
      <c r="BM71" s="36"/>
      <c r="BN71" s="36"/>
      <c r="BO71" s="36"/>
      <c r="BP71" s="37">
        <v>1255.822574766172</v>
      </c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7"/>
    </row>
    <row r="72" spans="2:81" s="22" customFormat="1" ht="14.5" outlineLevel="1" x14ac:dyDescent="0.35">
      <c r="B72" s="25" t="s">
        <v>71</v>
      </c>
      <c r="C72" s="23" t="s">
        <v>18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1"/>
      <c r="Q72" s="20"/>
      <c r="R72" s="20"/>
      <c r="S72" s="20">
        <v>11000</v>
      </c>
      <c r="T72" s="20"/>
      <c r="U72" s="20"/>
      <c r="V72" s="20"/>
      <c r="W72" s="20"/>
      <c r="X72" s="20"/>
      <c r="Y72" s="20"/>
      <c r="Z72" s="20"/>
      <c r="AA72" s="20"/>
      <c r="AB72" s="20"/>
      <c r="AC72" s="21">
        <v>11000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1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7"/>
      <c r="BD72" s="36"/>
      <c r="BE72" s="36"/>
      <c r="BF72" s="36">
        <v>1216.851081911019</v>
      </c>
      <c r="BG72" s="36"/>
      <c r="BH72" s="36"/>
      <c r="BI72" s="36"/>
      <c r="BJ72" s="36"/>
      <c r="BK72" s="36"/>
      <c r="BL72" s="36"/>
      <c r="BM72" s="36"/>
      <c r="BN72" s="36"/>
      <c r="BO72" s="36"/>
      <c r="BP72" s="37">
        <v>1216.851081911019</v>
      </c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7"/>
    </row>
    <row r="73" spans="2:81" s="22" customFormat="1" ht="14.5" outlineLevel="1" x14ac:dyDescent="0.35">
      <c r="B73" s="25" t="s">
        <v>71</v>
      </c>
      <c r="C73" s="23" t="s">
        <v>5</v>
      </c>
      <c r="D73" s="20"/>
      <c r="E73" s="20">
        <v>68200</v>
      </c>
      <c r="F73" s="20">
        <v>0</v>
      </c>
      <c r="G73" s="20"/>
      <c r="H73" s="20">
        <v>44000</v>
      </c>
      <c r="I73" s="20"/>
      <c r="J73" s="20">
        <v>16500</v>
      </c>
      <c r="K73" s="20">
        <v>33000</v>
      </c>
      <c r="L73" s="20"/>
      <c r="M73" s="20"/>
      <c r="N73" s="20"/>
      <c r="O73" s="20"/>
      <c r="P73" s="21">
        <v>161700</v>
      </c>
      <c r="Q73" s="20">
        <v>11000</v>
      </c>
      <c r="R73" s="20">
        <v>23100</v>
      </c>
      <c r="S73" s="20">
        <v>11000</v>
      </c>
      <c r="T73" s="20"/>
      <c r="U73" s="20">
        <v>11000</v>
      </c>
      <c r="V73" s="20">
        <v>22000</v>
      </c>
      <c r="W73" s="20"/>
      <c r="X73" s="20">
        <v>5500</v>
      </c>
      <c r="Y73" s="20">
        <v>16500</v>
      </c>
      <c r="Z73" s="20">
        <v>11000</v>
      </c>
      <c r="AA73" s="20">
        <v>24200</v>
      </c>
      <c r="AB73" s="20">
        <v>11000</v>
      </c>
      <c r="AC73" s="21">
        <v>146300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1"/>
      <c r="AQ73" s="36"/>
      <c r="AR73" s="36">
        <v>1319.5117009744438</v>
      </c>
      <c r="AS73" s="36"/>
      <c r="AT73" s="36"/>
      <c r="AU73" s="36">
        <v>1284.6595263448328</v>
      </c>
      <c r="AV73" s="36"/>
      <c r="AW73" s="36">
        <v>1306.5681378595161</v>
      </c>
      <c r="AX73" s="36">
        <v>1323.4469628917175</v>
      </c>
      <c r="AY73" s="36"/>
      <c r="AZ73" s="36"/>
      <c r="BA73" s="36"/>
      <c r="BB73" s="36"/>
      <c r="BC73" s="37">
        <v>1309.5104589717898</v>
      </c>
      <c r="BD73" s="36">
        <v>1332.620273158791</v>
      </c>
      <c r="BE73" s="36">
        <v>1237.0762590104546</v>
      </c>
      <c r="BF73" s="36">
        <v>1220.2734291398415</v>
      </c>
      <c r="BG73" s="36"/>
      <c r="BH73" s="36">
        <v>1243.1440194090862</v>
      </c>
      <c r="BI73" s="36">
        <v>1256.3932140259913</v>
      </c>
      <c r="BJ73" s="36"/>
      <c r="BK73" s="36">
        <v>1244.5702799185658</v>
      </c>
      <c r="BL73" s="36">
        <v>1232.4010670033704</v>
      </c>
      <c r="BM73" s="36">
        <v>1230.1842475397905</v>
      </c>
      <c r="BN73" s="36">
        <v>1165.8935622417109</v>
      </c>
      <c r="BO73" s="36">
        <v>1207.1781987400416</v>
      </c>
      <c r="BP73" s="37">
        <v>1231.5713772449317</v>
      </c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7"/>
    </row>
    <row r="74" spans="2:81" s="22" customFormat="1" ht="14.5" outlineLevel="1" x14ac:dyDescent="0.35">
      <c r="B74" s="25" t="s">
        <v>71</v>
      </c>
      <c r="C74" s="23" t="s">
        <v>73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1"/>
      <c r="Q74" s="20"/>
      <c r="R74" s="20"/>
      <c r="S74" s="20"/>
      <c r="T74" s="20"/>
      <c r="U74" s="20"/>
      <c r="V74" s="20"/>
      <c r="W74" s="20"/>
      <c r="X74" s="20"/>
      <c r="Y74" s="20">
        <v>13200</v>
      </c>
      <c r="Z74" s="20"/>
      <c r="AA74" s="20"/>
      <c r="AB74" s="20">
        <v>4400</v>
      </c>
      <c r="AC74" s="21">
        <v>17600</v>
      </c>
      <c r="AD74" s="20"/>
      <c r="AE74" s="20"/>
      <c r="AF74" s="20">
        <v>31900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1">
        <v>31900</v>
      </c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7"/>
      <c r="BD74" s="36"/>
      <c r="BE74" s="36"/>
      <c r="BF74" s="36"/>
      <c r="BG74" s="36"/>
      <c r="BH74" s="36"/>
      <c r="BI74" s="36"/>
      <c r="BJ74" s="36"/>
      <c r="BK74" s="36"/>
      <c r="BL74" s="36">
        <v>1219.9948385778753</v>
      </c>
      <c r="BM74" s="36"/>
      <c r="BN74" s="36"/>
      <c r="BO74" s="36">
        <v>1216.0542054301982</v>
      </c>
      <c r="BP74" s="37">
        <v>1219.0096802909559</v>
      </c>
      <c r="BQ74" s="36"/>
      <c r="BR74" s="36"/>
      <c r="BS74" s="36">
        <v>1160.92799680502</v>
      </c>
      <c r="BT74" s="36"/>
      <c r="BU74" s="36"/>
      <c r="BV74" s="36"/>
      <c r="BW74" s="36"/>
      <c r="BX74" s="36"/>
      <c r="BY74" s="36"/>
      <c r="BZ74" s="36"/>
      <c r="CA74" s="36"/>
      <c r="CB74" s="36"/>
      <c r="CC74" s="37">
        <v>1160.92799680502</v>
      </c>
    </row>
    <row r="75" spans="2:81" s="22" customFormat="1" ht="14.5" outlineLevel="1" x14ac:dyDescent="0.35">
      <c r="B75" s="25" t="s">
        <v>71</v>
      </c>
      <c r="C75" s="23" t="s">
        <v>19</v>
      </c>
      <c r="D75" s="20">
        <v>202400</v>
      </c>
      <c r="E75" s="20">
        <v>88000</v>
      </c>
      <c r="F75" s="20">
        <v>66000</v>
      </c>
      <c r="G75" s="20">
        <v>110000</v>
      </c>
      <c r="H75" s="20">
        <v>22000</v>
      </c>
      <c r="I75" s="20">
        <v>0</v>
      </c>
      <c r="J75" s="20"/>
      <c r="K75" s="20">
        <v>24200</v>
      </c>
      <c r="L75" s="20"/>
      <c r="M75" s="20">
        <v>42900</v>
      </c>
      <c r="N75" s="20">
        <v>71500</v>
      </c>
      <c r="O75" s="20">
        <v>0</v>
      </c>
      <c r="P75" s="21">
        <v>627000</v>
      </c>
      <c r="Q75" s="20">
        <v>24200</v>
      </c>
      <c r="R75" s="20">
        <v>33000</v>
      </c>
      <c r="S75" s="20">
        <v>45000</v>
      </c>
      <c r="T75" s="20">
        <v>11000</v>
      </c>
      <c r="U75" s="20">
        <v>28600</v>
      </c>
      <c r="V75" s="20"/>
      <c r="W75" s="20"/>
      <c r="X75" s="20"/>
      <c r="Y75" s="20">
        <v>66000</v>
      </c>
      <c r="Z75" s="20">
        <v>7700</v>
      </c>
      <c r="AA75" s="20"/>
      <c r="AB75" s="20"/>
      <c r="AC75" s="21">
        <v>215500</v>
      </c>
      <c r="AD75" s="20">
        <v>19800</v>
      </c>
      <c r="AE75" s="20">
        <v>20900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>
        <v>40700</v>
      </c>
      <c r="AQ75" s="36">
        <v>1189.7756763664713</v>
      </c>
      <c r="AR75" s="36">
        <v>1183.5365806304965</v>
      </c>
      <c r="AS75" s="36">
        <v>1197.6052352464333</v>
      </c>
      <c r="AT75" s="36">
        <v>1174.9785461759045</v>
      </c>
      <c r="AU75" s="36">
        <v>1236.618315538909</v>
      </c>
      <c r="AV75" s="36"/>
      <c r="AW75" s="36"/>
      <c r="AX75" s="36">
        <v>1262.7112979105179</v>
      </c>
      <c r="AY75" s="36"/>
      <c r="AZ75" s="36">
        <v>1257.2613147442737</v>
      </c>
      <c r="BA75" s="36">
        <v>1251.6589530594911</v>
      </c>
      <c r="BB75" s="36"/>
      <c r="BC75" s="37">
        <v>1202.3065099155986</v>
      </c>
      <c r="BD75" s="36">
        <v>1248.1488594019515</v>
      </c>
      <c r="BE75" s="36">
        <v>1221.377799047279</v>
      </c>
      <c r="BF75" s="36">
        <v>1249.1194453366834</v>
      </c>
      <c r="BG75" s="36">
        <v>1243.0242841267197</v>
      </c>
      <c r="BH75" s="36">
        <v>1310.9634868371295</v>
      </c>
      <c r="BI75" s="36"/>
      <c r="BJ75" s="36"/>
      <c r="BK75" s="36"/>
      <c r="BL75" s="36">
        <v>1217.7692666014302</v>
      </c>
      <c r="BM75" s="36">
        <v>1225.1497007984212</v>
      </c>
      <c r="BN75" s="36"/>
      <c r="BO75" s="36"/>
      <c r="BP75" s="37">
        <v>1242.2008907054117</v>
      </c>
      <c r="BQ75" s="36">
        <v>1175.8995001016456</v>
      </c>
      <c r="BR75" s="36">
        <v>1169.9323050688329</v>
      </c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7">
        <v>1172.8352648145255</v>
      </c>
    </row>
    <row r="76" spans="2:81" s="22" customFormat="1" ht="14.5" outlineLevel="1" x14ac:dyDescent="0.35">
      <c r="B76" s="25" t="s">
        <v>71</v>
      </c>
      <c r="C76" s="23" t="s">
        <v>74</v>
      </c>
      <c r="D76" s="20"/>
      <c r="E76" s="20">
        <v>2200</v>
      </c>
      <c r="F76" s="20"/>
      <c r="G76" s="20"/>
      <c r="H76" s="20">
        <v>1100</v>
      </c>
      <c r="I76" s="20"/>
      <c r="J76" s="20">
        <v>1100</v>
      </c>
      <c r="K76" s="20"/>
      <c r="L76" s="20"/>
      <c r="M76" s="20">
        <v>1100</v>
      </c>
      <c r="N76" s="20"/>
      <c r="O76" s="20"/>
      <c r="P76" s="21">
        <v>5500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1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1"/>
      <c r="AQ76" s="36"/>
      <c r="AR76" s="36">
        <v>1321.1609652196144</v>
      </c>
      <c r="AS76" s="36"/>
      <c r="AT76" s="36"/>
      <c r="AU76" s="36">
        <v>1303.9249789696082</v>
      </c>
      <c r="AV76" s="36"/>
      <c r="AW76" s="36">
        <v>1306.1036206236383</v>
      </c>
      <c r="AX76" s="36"/>
      <c r="AY76" s="36"/>
      <c r="AZ76" s="36">
        <v>1355.196352851942</v>
      </c>
      <c r="BA76" s="36"/>
      <c r="BB76" s="36"/>
      <c r="BC76" s="37">
        <v>1321.5093765768836</v>
      </c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7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7"/>
    </row>
    <row r="77" spans="2:81" s="22" customFormat="1" ht="14.5" outlineLevel="1" x14ac:dyDescent="0.35">
      <c r="B77" s="25" t="s">
        <v>71</v>
      </c>
      <c r="C77" s="23" t="s">
        <v>75</v>
      </c>
      <c r="D77" s="20"/>
      <c r="E77" s="20"/>
      <c r="F77" s="20"/>
      <c r="G77" s="20"/>
      <c r="H77" s="20"/>
      <c r="I77" s="20"/>
      <c r="J77" s="20"/>
      <c r="K77" s="20">
        <v>1100</v>
      </c>
      <c r="L77" s="20"/>
      <c r="M77" s="20"/>
      <c r="N77" s="20"/>
      <c r="O77" s="20"/>
      <c r="P77" s="21">
        <v>1100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1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1"/>
      <c r="AQ77" s="36"/>
      <c r="AR77" s="36"/>
      <c r="AS77" s="36"/>
      <c r="AT77" s="36"/>
      <c r="AU77" s="36"/>
      <c r="AV77" s="36"/>
      <c r="AW77" s="36"/>
      <c r="AX77" s="36">
        <v>1332.4166858431065</v>
      </c>
      <c r="AY77" s="36"/>
      <c r="AZ77" s="36"/>
      <c r="BA77" s="36"/>
      <c r="BB77" s="36"/>
      <c r="BC77" s="37">
        <v>1332.4166858431065</v>
      </c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7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7"/>
    </row>
    <row r="78" spans="2:81" s="22" customFormat="1" ht="14.5" outlineLevel="1" x14ac:dyDescent="0.35">
      <c r="B78" s="25" t="s">
        <v>71</v>
      </c>
      <c r="C78" s="23" t="s">
        <v>76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1"/>
      <c r="Q78" s="20"/>
      <c r="R78" s="20"/>
      <c r="S78" s="20"/>
      <c r="T78" s="20"/>
      <c r="U78" s="20">
        <v>3300</v>
      </c>
      <c r="V78" s="20"/>
      <c r="W78" s="20"/>
      <c r="X78" s="20"/>
      <c r="Y78" s="20"/>
      <c r="Z78" s="20"/>
      <c r="AA78" s="20"/>
      <c r="AB78" s="20">
        <v>5500</v>
      </c>
      <c r="AC78" s="21">
        <v>8800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1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7"/>
      <c r="BD78" s="36"/>
      <c r="BE78" s="36"/>
      <c r="BF78" s="36"/>
      <c r="BG78" s="36"/>
      <c r="BH78" s="36">
        <v>1301.4749300585636</v>
      </c>
      <c r="BI78" s="36"/>
      <c r="BJ78" s="36"/>
      <c r="BK78" s="36"/>
      <c r="BL78" s="36"/>
      <c r="BM78" s="36"/>
      <c r="BN78" s="36"/>
      <c r="BO78" s="36">
        <v>1238.5892479675922</v>
      </c>
      <c r="BP78" s="37">
        <v>1262.1713787517065</v>
      </c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7"/>
    </row>
    <row r="79" spans="2:81" s="22" customFormat="1" ht="14.5" outlineLevel="1" x14ac:dyDescent="0.35">
      <c r="B79" s="25" t="s">
        <v>71</v>
      </c>
      <c r="C79" s="23" t="s">
        <v>77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1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>
        <v>2200</v>
      </c>
      <c r="AB79" s="20"/>
      <c r="AC79" s="21">
        <v>2200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7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>
        <v>1178.2349754231902</v>
      </c>
      <c r="BO79" s="36"/>
      <c r="BP79" s="37">
        <v>1178.2349754231902</v>
      </c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7"/>
    </row>
    <row r="80" spans="2:81" s="22" customFormat="1" ht="14.5" outlineLevel="1" x14ac:dyDescent="0.35">
      <c r="B80" s="25" t="s">
        <v>71</v>
      </c>
      <c r="C80" s="23" t="s">
        <v>44</v>
      </c>
      <c r="D80" s="20"/>
      <c r="E80" s="20"/>
      <c r="F80" s="20">
        <v>300</v>
      </c>
      <c r="G80" s="20"/>
      <c r="H80" s="20"/>
      <c r="I80" s="20"/>
      <c r="J80" s="20"/>
      <c r="K80" s="20"/>
      <c r="L80" s="20"/>
      <c r="M80" s="20"/>
      <c r="N80" s="20"/>
      <c r="O80" s="20"/>
      <c r="P80" s="21">
        <v>300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1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1"/>
      <c r="AQ80" s="36"/>
      <c r="AR80" s="36"/>
      <c r="AS80" s="36">
        <v>1263.0919925055221</v>
      </c>
      <c r="AT80" s="36"/>
      <c r="AU80" s="36"/>
      <c r="AV80" s="36"/>
      <c r="AW80" s="36"/>
      <c r="AX80" s="36"/>
      <c r="AY80" s="36"/>
      <c r="AZ80" s="36"/>
      <c r="BA80" s="36"/>
      <c r="BB80" s="36"/>
      <c r="BC80" s="37">
        <v>1263.0919925055221</v>
      </c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7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7"/>
    </row>
    <row r="81" spans="2:81" s="22" customFormat="1" ht="14.5" outlineLevel="1" x14ac:dyDescent="0.35">
      <c r="B81" s="25" t="s">
        <v>71</v>
      </c>
      <c r="C81" s="23" t="s">
        <v>78</v>
      </c>
      <c r="D81" s="20"/>
      <c r="E81" s="20"/>
      <c r="F81" s="20"/>
      <c r="G81" s="20"/>
      <c r="H81" s="20"/>
      <c r="I81" s="20"/>
      <c r="J81" s="20">
        <v>200</v>
      </c>
      <c r="K81" s="20">
        <v>300</v>
      </c>
      <c r="L81" s="20"/>
      <c r="M81" s="20"/>
      <c r="N81" s="20"/>
      <c r="O81" s="20"/>
      <c r="P81" s="21">
        <v>500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>
        <v>1100</v>
      </c>
      <c r="AC81" s="21">
        <v>1100</v>
      </c>
      <c r="AD81" s="20">
        <v>13200</v>
      </c>
      <c r="AE81" s="20"/>
      <c r="AF81" s="20">
        <v>45100</v>
      </c>
      <c r="AG81" s="20">
        <v>24200</v>
      </c>
      <c r="AH81" s="20"/>
      <c r="AI81" s="20"/>
      <c r="AJ81" s="20"/>
      <c r="AK81" s="20"/>
      <c r="AL81" s="20"/>
      <c r="AM81" s="20"/>
      <c r="AN81" s="20"/>
      <c r="AO81" s="20"/>
      <c r="AP81" s="21">
        <v>82500</v>
      </c>
      <c r="AQ81" s="36"/>
      <c r="AR81" s="36"/>
      <c r="AS81" s="36"/>
      <c r="AT81" s="36"/>
      <c r="AU81" s="36"/>
      <c r="AV81" s="36"/>
      <c r="AW81" s="36">
        <v>1318.1172847143553</v>
      </c>
      <c r="AX81" s="36">
        <v>1304.4244171647651</v>
      </c>
      <c r="AY81" s="36"/>
      <c r="AZ81" s="36"/>
      <c r="BA81" s="36"/>
      <c r="BB81" s="36"/>
      <c r="BC81" s="37">
        <v>1309.9015641846013</v>
      </c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>
        <v>1207.0251607413691</v>
      </c>
      <c r="BP81" s="37">
        <v>1207.0251607413691</v>
      </c>
      <c r="BQ81" s="36">
        <v>1100.9181795090128</v>
      </c>
      <c r="BR81" s="36"/>
      <c r="BS81" s="36">
        <v>1094.2452256805846</v>
      </c>
      <c r="BT81" s="36">
        <v>1102.4670721421621</v>
      </c>
      <c r="BU81" s="36"/>
      <c r="BV81" s="36"/>
      <c r="BW81" s="36"/>
      <c r="BX81" s="36"/>
      <c r="BY81" s="36"/>
      <c r="BZ81" s="36"/>
      <c r="CA81" s="36"/>
      <c r="CB81" s="36"/>
      <c r="CC81" s="37">
        <v>1097.7246399218625</v>
      </c>
    </row>
    <row r="82" spans="2:81" s="22" customFormat="1" ht="14.5" outlineLevel="1" x14ac:dyDescent="0.35">
      <c r="B82" s="25" t="s">
        <v>71</v>
      </c>
      <c r="C82" s="23" t="s">
        <v>79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>
        <v>11000</v>
      </c>
      <c r="P82" s="21">
        <v>11000</v>
      </c>
      <c r="Q82" s="20">
        <v>22000</v>
      </c>
      <c r="R82" s="20"/>
      <c r="S82" s="20">
        <v>22000</v>
      </c>
      <c r="T82" s="20"/>
      <c r="U82" s="20"/>
      <c r="V82" s="20">
        <v>22000</v>
      </c>
      <c r="W82" s="20">
        <v>11000</v>
      </c>
      <c r="X82" s="20">
        <v>11000</v>
      </c>
      <c r="Y82" s="20"/>
      <c r="Z82" s="20"/>
      <c r="AA82" s="20">
        <v>22000</v>
      </c>
      <c r="AB82" s="20"/>
      <c r="AC82" s="21">
        <v>110000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1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>
        <v>1276.5510477175533</v>
      </c>
      <c r="BC82" s="37">
        <v>1276.5510477175533</v>
      </c>
      <c r="BD82" s="36">
        <v>1275.8654606996674</v>
      </c>
      <c r="BE82" s="36"/>
      <c r="BF82" s="36">
        <v>1273.3113058008219</v>
      </c>
      <c r="BG82" s="36"/>
      <c r="BH82" s="36"/>
      <c r="BI82" s="36">
        <v>1269.9877034681533</v>
      </c>
      <c r="BJ82" s="36">
        <v>1279.3855015293859</v>
      </c>
      <c r="BK82" s="36">
        <v>1272.3818954486019</v>
      </c>
      <c r="BL82" s="36"/>
      <c r="BM82" s="36"/>
      <c r="BN82" s="36">
        <v>1179.0435441859311</v>
      </c>
      <c r="BO82" s="36"/>
      <c r="BP82" s="37">
        <v>1254.8183425287136</v>
      </c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7"/>
    </row>
    <row r="83" spans="2:81" s="22" customFormat="1" ht="14.5" outlineLevel="1" x14ac:dyDescent="0.35">
      <c r="B83" s="25" t="s">
        <v>71</v>
      </c>
      <c r="C83" s="23" t="s">
        <v>80</v>
      </c>
      <c r="D83" s="20"/>
      <c r="E83" s="20"/>
      <c r="F83" s="20">
        <v>6600</v>
      </c>
      <c r="G83" s="20"/>
      <c r="H83" s="20">
        <v>11000</v>
      </c>
      <c r="I83" s="20"/>
      <c r="J83" s="20"/>
      <c r="K83" s="20"/>
      <c r="L83" s="20"/>
      <c r="M83" s="20">
        <v>5500</v>
      </c>
      <c r="N83" s="20"/>
      <c r="O83" s="20"/>
      <c r="P83" s="21">
        <v>23100</v>
      </c>
      <c r="Q83" s="20">
        <v>5500</v>
      </c>
      <c r="R83" s="20">
        <v>1100</v>
      </c>
      <c r="S83" s="20"/>
      <c r="T83" s="20"/>
      <c r="U83" s="20"/>
      <c r="V83" s="20">
        <v>3300</v>
      </c>
      <c r="W83" s="20"/>
      <c r="X83" s="20"/>
      <c r="Y83" s="20"/>
      <c r="Z83" s="20"/>
      <c r="AA83" s="20"/>
      <c r="AB83" s="20">
        <v>3300</v>
      </c>
      <c r="AC83" s="21">
        <v>13200</v>
      </c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1"/>
      <c r="AQ83" s="36"/>
      <c r="AR83" s="36"/>
      <c r="AS83" s="36">
        <v>1253.7629967811797</v>
      </c>
      <c r="AT83" s="36"/>
      <c r="AU83" s="36">
        <v>1302.9982499762109</v>
      </c>
      <c r="AV83" s="36"/>
      <c r="AW83" s="36"/>
      <c r="AX83" s="36"/>
      <c r="AY83" s="36"/>
      <c r="AZ83" s="36">
        <v>1316.6793543066096</v>
      </c>
      <c r="BA83" s="36"/>
      <c r="BB83" s="36"/>
      <c r="BC83" s="37">
        <v>1292.1884405705825</v>
      </c>
      <c r="BD83" s="36">
        <v>1332.620276765756</v>
      </c>
      <c r="BE83" s="36">
        <v>1225.0709336378427</v>
      </c>
      <c r="BF83" s="36"/>
      <c r="BG83" s="36"/>
      <c r="BH83" s="36"/>
      <c r="BI83" s="36">
        <v>1256.3932140259913</v>
      </c>
      <c r="BJ83" s="36"/>
      <c r="BK83" s="36"/>
      <c r="BL83" s="36"/>
      <c r="BM83" s="36"/>
      <c r="BN83" s="36"/>
      <c r="BO83" s="36">
        <v>1221.9079746237096</v>
      </c>
      <c r="BP83" s="37">
        <v>1276.9229902846437</v>
      </c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7"/>
    </row>
    <row r="84" spans="2:81" s="22" customFormat="1" ht="14.5" outlineLevel="1" x14ac:dyDescent="0.35">
      <c r="B84" s="25" t="s">
        <v>71</v>
      </c>
      <c r="C84" s="23" t="s">
        <v>81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1"/>
      <c r="Q84" s="20"/>
      <c r="R84" s="20"/>
      <c r="S84" s="20"/>
      <c r="T84" s="20"/>
      <c r="U84" s="20">
        <v>22000</v>
      </c>
      <c r="V84" s="20"/>
      <c r="W84" s="20"/>
      <c r="X84" s="20">
        <v>44000</v>
      </c>
      <c r="Y84" s="20">
        <v>64900</v>
      </c>
      <c r="Z84" s="20">
        <v>44000</v>
      </c>
      <c r="AA84" s="20"/>
      <c r="AB84" s="20"/>
      <c r="AC84" s="21">
        <v>174900</v>
      </c>
      <c r="AD84" s="20"/>
      <c r="AE84" s="20">
        <v>22000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1">
        <v>22000</v>
      </c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7"/>
      <c r="BD84" s="36"/>
      <c r="BE84" s="36"/>
      <c r="BF84" s="36"/>
      <c r="BG84" s="36"/>
      <c r="BH84" s="36">
        <v>1244.0077721228922</v>
      </c>
      <c r="BI84" s="36"/>
      <c r="BJ84" s="36"/>
      <c r="BK84" s="36">
        <v>1218.7746612088354</v>
      </c>
      <c r="BL84" s="36">
        <v>1188.5205125584887</v>
      </c>
      <c r="BM84" s="36">
        <v>1151.3639073675233</v>
      </c>
      <c r="BN84" s="36"/>
      <c r="BO84" s="36"/>
      <c r="BP84" s="37">
        <v>1193.7635750092013</v>
      </c>
      <c r="BQ84" s="36"/>
      <c r="BR84" s="36">
        <v>1134.2436195522071</v>
      </c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7">
        <v>1134.2436195522071</v>
      </c>
    </row>
    <row r="85" spans="2:81" s="22" customFormat="1" ht="14.5" outlineLevel="1" x14ac:dyDescent="0.35">
      <c r="B85" s="25" t="s">
        <v>71</v>
      </c>
      <c r="C85" s="23" t="s">
        <v>82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1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1"/>
      <c r="AD85" s="20"/>
      <c r="AE85" s="20"/>
      <c r="AF85" s="20">
        <v>22000</v>
      </c>
      <c r="AG85" s="20">
        <v>22000</v>
      </c>
      <c r="AH85" s="20"/>
      <c r="AI85" s="20"/>
      <c r="AJ85" s="20"/>
      <c r="AK85" s="20"/>
      <c r="AL85" s="20"/>
      <c r="AM85" s="20"/>
      <c r="AN85" s="20"/>
      <c r="AO85" s="20"/>
      <c r="AP85" s="21">
        <v>44000</v>
      </c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7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7"/>
      <c r="BQ85" s="36"/>
      <c r="BR85" s="36"/>
      <c r="BS85" s="36">
        <v>1176.1720711939367</v>
      </c>
      <c r="BT85" s="36">
        <v>1210.0001654155276</v>
      </c>
      <c r="BU85" s="36"/>
      <c r="BV85" s="36"/>
      <c r="BW85" s="36"/>
      <c r="BX85" s="36"/>
      <c r="BY85" s="36"/>
      <c r="BZ85" s="36"/>
      <c r="CA85" s="36"/>
      <c r="CB85" s="36"/>
      <c r="CC85" s="37">
        <v>1193.0861183047323</v>
      </c>
    </row>
    <row r="86" spans="2:81" s="22" customFormat="1" ht="14.5" outlineLevel="1" x14ac:dyDescent="0.35">
      <c r="B86" s="25" t="s">
        <v>71</v>
      </c>
      <c r="C86" s="23" t="s">
        <v>25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>
        <v>1100</v>
      </c>
      <c r="P86" s="21">
        <v>1100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1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1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>
        <v>1214.5181351594649</v>
      </c>
      <c r="BC86" s="37">
        <v>1214.5181351594649</v>
      </c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7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7"/>
    </row>
    <row r="87" spans="2:81" s="22" customFormat="1" ht="14.5" outlineLevel="1" x14ac:dyDescent="0.35">
      <c r="B87" s="25" t="s">
        <v>71</v>
      </c>
      <c r="C87" s="23" t="s">
        <v>83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1"/>
      <c r="Q87" s="20"/>
      <c r="R87" s="20"/>
      <c r="S87" s="20"/>
      <c r="T87" s="20"/>
      <c r="U87" s="20"/>
      <c r="V87" s="20">
        <v>25</v>
      </c>
      <c r="W87" s="20">
        <v>1100</v>
      </c>
      <c r="X87" s="20"/>
      <c r="Y87" s="20"/>
      <c r="Z87" s="20"/>
      <c r="AA87" s="20"/>
      <c r="AB87" s="20"/>
      <c r="AC87" s="21">
        <v>1125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1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7"/>
      <c r="BD87" s="36"/>
      <c r="BE87" s="36"/>
      <c r="BF87" s="36"/>
      <c r="BG87" s="36"/>
      <c r="BH87" s="36"/>
      <c r="BI87" s="36">
        <v>1289.6049876725785</v>
      </c>
      <c r="BJ87" s="36">
        <v>1280.085823205201</v>
      </c>
      <c r="BK87" s="36"/>
      <c r="BL87" s="36"/>
      <c r="BM87" s="36"/>
      <c r="BN87" s="36"/>
      <c r="BO87" s="36"/>
      <c r="BP87" s="37">
        <v>1280.2973601933652</v>
      </c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7"/>
    </row>
    <row r="88" spans="2:81" s="22" customFormat="1" ht="14.5" outlineLevel="1" x14ac:dyDescent="0.35">
      <c r="B88" s="25" t="s">
        <v>71</v>
      </c>
      <c r="C88" s="23" t="s">
        <v>84</v>
      </c>
      <c r="D88" s="20"/>
      <c r="E88" s="20">
        <v>220000</v>
      </c>
      <c r="F88" s="20">
        <v>220000</v>
      </c>
      <c r="G88" s="20"/>
      <c r="H88" s="20">
        <v>220000</v>
      </c>
      <c r="I88" s="20"/>
      <c r="J88" s="20"/>
      <c r="K88" s="20"/>
      <c r="L88" s="20"/>
      <c r="M88" s="20"/>
      <c r="N88" s="20"/>
      <c r="O88" s="20"/>
      <c r="P88" s="21">
        <v>660000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1"/>
      <c r="AD88" s="20"/>
      <c r="AE88" s="20">
        <v>154000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1">
        <v>154000</v>
      </c>
      <c r="AQ88" s="36"/>
      <c r="AR88" s="36">
        <v>1162.7527847376668</v>
      </c>
      <c r="AS88" s="36">
        <v>1164.0621475198232</v>
      </c>
      <c r="AT88" s="36"/>
      <c r="AU88" s="36">
        <v>1164.5324655775796</v>
      </c>
      <c r="AV88" s="36"/>
      <c r="AW88" s="36"/>
      <c r="AX88" s="36"/>
      <c r="AY88" s="36"/>
      <c r="AZ88" s="36"/>
      <c r="BA88" s="36"/>
      <c r="BB88" s="36"/>
      <c r="BC88" s="37">
        <v>1163.782465945023</v>
      </c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7"/>
      <c r="BQ88" s="36"/>
      <c r="BR88" s="36">
        <v>1083.9521783268983</v>
      </c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7">
        <v>1083.9521783268983</v>
      </c>
    </row>
    <row r="89" spans="2:81" s="22" customFormat="1" ht="14.5" outlineLevel="1" x14ac:dyDescent="0.35">
      <c r="B89" s="25" t="s">
        <v>71</v>
      </c>
      <c r="C89" s="23" t="s">
        <v>85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1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>
        <v>374000</v>
      </c>
      <c r="AC89" s="21">
        <v>374000</v>
      </c>
      <c r="AD89" s="20">
        <v>66000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1">
        <v>66000</v>
      </c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7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>
        <v>1163.1146144533998</v>
      </c>
      <c r="BP89" s="37">
        <v>1163.1146144533998</v>
      </c>
      <c r="BQ89" s="36">
        <v>1165.3777141982237</v>
      </c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7">
        <v>1165.3777141982237</v>
      </c>
    </row>
    <row r="90" spans="2:81" s="22" customFormat="1" ht="14.5" outlineLevel="1" x14ac:dyDescent="0.35">
      <c r="B90" s="25" t="s">
        <v>71</v>
      </c>
      <c r="C90" s="23" t="s">
        <v>86</v>
      </c>
      <c r="D90" s="20">
        <v>616000</v>
      </c>
      <c r="E90" s="20">
        <v>704000</v>
      </c>
      <c r="F90" s="20">
        <v>594000</v>
      </c>
      <c r="G90" s="20">
        <v>924000</v>
      </c>
      <c r="H90" s="20">
        <v>352000</v>
      </c>
      <c r="I90" s="20">
        <v>88000</v>
      </c>
      <c r="J90" s="20">
        <v>836000</v>
      </c>
      <c r="K90" s="20">
        <v>1540000</v>
      </c>
      <c r="L90" s="20">
        <v>1650000</v>
      </c>
      <c r="M90" s="20">
        <v>968000</v>
      </c>
      <c r="N90" s="20">
        <v>374000</v>
      </c>
      <c r="O90" s="20">
        <v>1012000</v>
      </c>
      <c r="P90" s="21">
        <v>9658000</v>
      </c>
      <c r="Q90" s="20">
        <v>2464000</v>
      </c>
      <c r="R90" s="20">
        <v>1672000</v>
      </c>
      <c r="S90" s="20">
        <v>1078000</v>
      </c>
      <c r="T90" s="20">
        <v>1408000</v>
      </c>
      <c r="U90" s="20">
        <v>1320000</v>
      </c>
      <c r="V90" s="20">
        <v>748000</v>
      </c>
      <c r="W90" s="20">
        <v>1672000</v>
      </c>
      <c r="X90" s="20">
        <v>1210000</v>
      </c>
      <c r="Y90" s="20">
        <v>638000</v>
      </c>
      <c r="Z90" s="20">
        <v>660000</v>
      </c>
      <c r="AA90" s="20">
        <v>330000</v>
      </c>
      <c r="AB90" s="20">
        <v>330000</v>
      </c>
      <c r="AC90" s="21">
        <v>13530000</v>
      </c>
      <c r="AD90" s="20">
        <v>1232000</v>
      </c>
      <c r="AE90" s="20">
        <v>704000</v>
      </c>
      <c r="AF90" s="20">
        <v>572000</v>
      </c>
      <c r="AG90" s="20">
        <v>660000</v>
      </c>
      <c r="AH90" s="20"/>
      <c r="AI90" s="20"/>
      <c r="AJ90" s="20"/>
      <c r="AK90" s="20"/>
      <c r="AL90" s="20"/>
      <c r="AM90" s="20"/>
      <c r="AN90" s="20"/>
      <c r="AO90" s="20"/>
      <c r="AP90" s="21">
        <v>3168000</v>
      </c>
      <c r="AQ90" s="36">
        <v>1163.8757473340731</v>
      </c>
      <c r="AR90" s="36">
        <v>1163.7732096684476</v>
      </c>
      <c r="AS90" s="36">
        <v>1163.7610674397292</v>
      </c>
      <c r="AT90" s="36">
        <v>1163.6572574984773</v>
      </c>
      <c r="AU90" s="36">
        <v>1163.1067973519771</v>
      </c>
      <c r="AV90" s="36">
        <v>1163.3364262905454</v>
      </c>
      <c r="AW90" s="36">
        <v>1166.6156119539896</v>
      </c>
      <c r="AX90" s="36">
        <v>1175.5497302329773</v>
      </c>
      <c r="AY90" s="36">
        <v>1200.8189418189356</v>
      </c>
      <c r="AZ90" s="36">
        <v>1224.3715826519508</v>
      </c>
      <c r="BA90" s="36">
        <v>1230.470160414467</v>
      </c>
      <c r="BB90" s="36">
        <v>1245.4707695765178</v>
      </c>
      <c r="BC90" s="37">
        <v>1189.4094863430059</v>
      </c>
      <c r="BD90" s="36">
        <v>1185.2369506289488</v>
      </c>
      <c r="BE90" s="36">
        <v>1241.658448154129</v>
      </c>
      <c r="BF90" s="36">
        <v>1214.3585887667361</v>
      </c>
      <c r="BG90" s="36">
        <v>1188.9136319730985</v>
      </c>
      <c r="BH90" s="36">
        <v>1184.9669641700186</v>
      </c>
      <c r="BI90" s="36">
        <v>1186.5499595466033</v>
      </c>
      <c r="BJ90" s="36">
        <v>1187.1824297039229</v>
      </c>
      <c r="BK90" s="36">
        <v>1129.8111164027769</v>
      </c>
      <c r="BL90" s="36">
        <v>1172.0444810921606</v>
      </c>
      <c r="BM90" s="36">
        <v>1161.6713821196977</v>
      </c>
      <c r="BN90" s="36">
        <v>1164.0046430967943</v>
      </c>
      <c r="BO90" s="36">
        <v>1097.3801070952882</v>
      </c>
      <c r="BP90" s="37">
        <v>1185.8097870383506</v>
      </c>
      <c r="BQ90" s="36">
        <v>1054.2302447047648</v>
      </c>
      <c r="BR90" s="36">
        <v>1015.6955082074375</v>
      </c>
      <c r="BS90" s="36">
        <v>1024.3150954846358</v>
      </c>
      <c r="BT90" s="36">
        <v>1182.6853168947969</v>
      </c>
      <c r="BU90" s="36"/>
      <c r="BV90" s="36"/>
      <c r="BW90" s="36"/>
      <c r="BX90" s="36"/>
      <c r="BY90" s="36"/>
      <c r="BZ90" s="36"/>
      <c r="CA90" s="36"/>
      <c r="CB90" s="36"/>
      <c r="CC90" s="37">
        <v>1067.0270969135349</v>
      </c>
    </row>
    <row r="91" spans="2:81" s="22" customFormat="1" ht="14.5" outlineLevel="1" x14ac:dyDescent="0.35">
      <c r="B91" s="25" t="s">
        <v>71</v>
      </c>
      <c r="C91" s="23" t="s">
        <v>87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1"/>
      <c r="Q91" s="20"/>
      <c r="R91" s="20"/>
      <c r="S91" s="20">
        <v>11000</v>
      </c>
      <c r="T91" s="20"/>
      <c r="U91" s="20"/>
      <c r="V91" s="20"/>
      <c r="W91" s="20"/>
      <c r="X91" s="20"/>
      <c r="Y91" s="20"/>
      <c r="Z91" s="20"/>
      <c r="AA91" s="20"/>
      <c r="AB91" s="20"/>
      <c r="AC91" s="21">
        <v>11000</v>
      </c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1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7"/>
      <c r="BD91" s="36"/>
      <c r="BE91" s="36"/>
      <c r="BF91" s="36">
        <v>1141.8663981588036</v>
      </c>
      <c r="BG91" s="36"/>
      <c r="BH91" s="36"/>
      <c r="BI91" s="36"/>
      <c r="BJ91" s="36"/>
      <c r="BK91" s="36"/>
      <c r="BL91" s="36"/>
      <c r="BM91" s="36"/>
      <c r="BN91" s="36"/>
      <c r="BO91" s="36"/>
      <c r="BP91" s="37">
        <v>1141.8663981588036</v>
      </c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7"/>
    </row>
    <row r="92" spans="2:81" s="22" customFormat="1" ht="14.5" outlineLevel="1" x14ac:dyDescent="0.35">
      <c r="B92" s="25" t="s">
        <v>71</v>
      </c>
      <c r="C92" s="23" t="s">
        <v>88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1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1"/>
      <c r="AD92" s="20">
        <v>55000</v>
      </c>
      <c r="AE92" s="20">
        <v>44000</v>
      </c>
      <c r="AF92" s="20">
        <v>33000</v>
      </c>
      <c r="AG92" s="20">
        <v>200</v>
      </c>
      <c r="AH92" s="20"/>
      <c r="AI92" s="20"/>
      <c r="AJ92" s="20"/>
      <c r="AK92" s="20"/>
      <c r="AL92" s="20"/>
      <c r="AM92" s="20"/>
      <c r="AN92" s="20"/>
      <c r="AO92" s="20"/>
      <c r="AP92" s="21">
        <v>132200</v>
      </c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7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7"/>
      <c r="BQ92" s="36">
        <v>1251.7956919165581</v>
      </c>
      <c r="BR92" s="36">
        <v>1229.0969853008169</v>
      </c>
      <c r="BS92" s="36">
        <v>1205.570193142139</v>
      </c>
      <c r="BT92" s="36">
        <v>1209.0566667466462</v>
      </c>
      <c r="BU92" s="36"/>
      <c r="BV92" s="36"/>
      <c r="BW92" s="36"/>
      <c r="BX92" s="36"/>
      <c r="BY92" s="36"/>
      <c r="BZ92" s="36"/>
      <c r="CA92" s="36"/>
      <c r="CB92" s="36"/>
      <c r="CC92" s="37">
        <v>1232.6373533713049</v>
      </c>
    </row>
    <row r="93" spans="2:81" s="22" customFormat="1" ht="14.5" outlineLevel="1" x14ac:dyDescent="0.35">
      <c r="B93" s="25" t="s">
        <v>71</v>
      </c>
      <c r="C93" s="23" t="s">
        <v>89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1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1"/>
      <c r="AD93" s="20">
        <v>1100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1">
        <v>1100</v>
      </c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7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7"/>
      <c r="BQ93" s="36">
        <v>1222.0290398396114</v>
      </c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7">
        <v>1222.0290398396114</v>
      </c>
    </row>
    <row r="94" spans="2:81" s="22" customFormat="1" ht="14.5" outlineLevel="1" x14ac:dyDescent="0.35">
      <c r="B94" s="25" t="s">
        <v>71</v>
      </c>
      <c r="C94" s="23" t="s">
        <v>90</v>
      </c>
      <c r="D94" s="20"/>
      <c r="E94" s="20"/>
      <c r="F94" s="20"/>
      <c r="G94" s="20"/>
      <c r="H94" s="20"/>
      <c r="I94" s="20"/>
      <c r="J94" s="20"/>
      <c r="K94" s="20"/>
      <c r="L94" s="20"/>
      <c r="M94" s="20">
        <v>44000</v>
      </c>
      <c r="N94" s="20">
        <v>44000</v>
      </c>
      <c r="O94" s="20"/>
      <c r="P94" s="21">
        <v>88000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1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1"/>
      <c r="AQ94" s="36"/>
      <c r="AR94" s="36"/>
      <c r="AS94" s="36"/>
      <c r="AT94" s="36"/>
      <c r="AU94" s="36"/>
      <c r="AV94" s="36"/>
      <c r="AW94" s="36"/>
      <c r="AX94" s="36"/>
      <c r="AY94" s="36"/>
      <c r="AZ94" s="36">
        <v>1331.3702947023294</v>
      </c>
      <c r="BA94" s="36">
        <v>1335.8056782831834</v>
      </c>
      <c r="BB94" s="36"/>
      <c r="BC94" s="37">
        <v>1333.5879864927563</v>
      </c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7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7"/>
    </row>
    <row r="95" spans="2:81" s="22" customFormat="1" ht="14.5" outlineLevel="1" x14ac:dyDescent="0.35">
      <c r="B95" s="25" t="s">
        <v>71</v>
      </c>
      <c r="C95" s="23" t="s">
        <v>8</v>
      </c>
      <c r="D95" s="20"/>
      <c r="E95" s="20"/>
      <c r="F95" s="20"/>
      <c r="G95" s="20"/>
      <c r="H95" s="20"/>
      <c r="I95" s="20">
        <v>99000</v>
      </c>
      <c r="J95" s="20">
        <v>67100</v>
      </c>
      <c r="K95" s="20">
        <v>99000</v>
      </c>
      <c r="L95" s="20">
        <v>66000</v>
      </c>
      <c r="M95" s="20">
        <v>55000</v>
      </c>
      <c r="N95" s="20">
        <v>77000</v>
      </c>
      <c r="O95" s="20">
        <v>22000</v>
      </c>
      <c r="P95" s="21">
        <v>485100</v>
      </c>
      <c r="Q95" s="20">
        <v>44000</v>
      </c>
      <c r="R95" s="20">
        <v>77000</v>
      </c>
      <c r="S95" s="20">
        <v>110000</v>
      </c>
      <c r="T95" s="20">
        <v>56100</v>
      </c>
      <c r="U95" s="20">
        <v>64900</v>
      </c>
      <c r="V95" s="20">
        <v>66000</v>
      </c>
      <c r="W95" s="20">
        <v>99000</v>
      </c>
      <c r="X95" s="20"/>
      <c r="Y95" s="20"/>
      <c r="Z95" s="20">
        <v>55000</v>
      </c>
      <c r="AA95" s="20">
        <v>22000</v>
      </c>
      <c r="AB95" s="20">
        <v>55000</v>
      </c>
      <c r="AC95" s="21">
        <v>649000</v>
      </c>
      <c r="AD95" s="20">
        <v>66000</v>
      </c>
      <c r="AE95" s="20">
        <v>44000</v>
      </c>
      <c r="AF95" s="20">
        <v>110000</v>
      </c>
      <c r="AG95" s="20">
        <v>77000</v>
      </c>
      <c r="AH95" s="20"/>
      <c r="AI95" s="20"/>
      <c r="AJ95" s="20"/>
      <c r="AK95" s="20"/>
      <c r="AL95" s="20"/>
      <c r="AM95" s="20"/>
      <c r="AN95" s="20"/>
      <c r="AO95" s="20"/>
      <c r="AP95" s="21">
        <v>297000</v>
      </c>
      <c r="AQ95" s="36"/>
      <c r="AR95" s="36"/>
      <c r="AS95" s="36"/>
      <c r="AT95" s="36"/>
      <c r="AU95" s="36"/>
      <c r="AV95" s="36">
        <v>1252.7959344253759</v>
      </c>
      <c r="AW95" s="36">
        <v>1276.2673212422274</v>
      </c>
      <c r="AX95" s="36">
        <v>1290.1883339289889</v>
      </c>
      <c r="AY95" s="36">
        <v>1313.5833568804999</v>
      </c>
      <c r="AZ95" s="36">
        <v>1276.2736345417445</v>
      </c>
      <c r="BA95" s="36">
        <v>1254.1643490852946</v>
      </c>
      <c r="BB95" s="36">
        <v>1288.1103069463129</v>
      </c>
      <c r="BC95" s="37">
        <v>1276.4246813208226</v>
      </c>
      <c r="BD95" s="36">
        <v>1289.1609341995484</v>
      </c>
      <c r="BE95" s="36">
        <v>1232.2741288614097</v>
      </c>
      <c r="BF95" s="36">
        <v>1224.4422109745854</v>
      </c>
      <c r="BG95" s="36">
        <v>1248.2440209701363</v>
      </c>
      <c r="BH95" s="36">
        <v>1253.2528197629988</v>
      </c>
      <c r="BI95" s="36">
        <v>1256.3932140259913</v>
      </c>
      <c r="BJ95" s="36">
        <v>1251.4188095523248</v>
      </c>
      <c r="BK95" s="36"/>
      <c r="BL95" s="36"/>
      <c r="BM95" s="36">
        <v>1260.5703506864691</v>
      </c>
      <c r="BN95" s="36">
        <v>1156.0360875733975</v>
      </c>
      <c r="BO95" s="36">
        <v>1156.9483310710061</v>
      </c>
      <c r="BP95" s="37">
        <v>1237.0850007827855</v>
      </c>
      <c r="BQ95" s="36">
        <v>1109.5078037626338</v>
      </c>
      <c r="BR95" s="36">
        <v>1111.5469936933766</v>
      </c>
      <c r="BS95" s="36">
        <v>1096.3755466767</v>
      </c>
      <c r="BT95" s="36">
        <v>1148.8503619825592</v>
      </c>
      <c r="BU95" s="36"/>
      <c r="BV95" s="36"/>
      <c r="BW95" s="36"/>
      <c r="BX95" s="36"/>
      <c r="BY95" s="36"/>
      <c r="BZ95" s="36"/>
      <c r="CA95" s="36"/>
      <c r="CB95" s="36"/>
      <c r="CC95" s="37">
        <v>1115.1460295553413</v>
      </c>
    </row>
    <row r="96" spans="2:81" s="22" customFormat="1" ht="14.5" outlineLevel="1" x14ac:dyDescent="0.35">
      <c r="B96" s="25" t="s">
        <v>71</v>
      </c>
      <c r="C96" s="23" t="s">
        <v>91</v>
      </c>
      <c r="D96" s="20">
        <v>154000</v>
      </c>
      <c r="E96" s="20">
        <v>66000</v>
      </c>
      <c r="F96" s="20">
        <v>110000</v>
      </c>
      <c r="G96" s="20">
        <v>110000</v>
      </c>
      <c r="H96" s="20">
        <v>88000</v>
      </c>
      <c r="I96" s="20">
        <v>88000</v>
      </c>
      <c r="J96" s="20"/>
      <c r="K96" s="20">
        <v>132000</v>
      </c>
      <c r="L96" s="20">
        <v>88000</v>
      </c>
      <c r="M96" s="20"/>
      <c r="N96" s="20">
        <v>22000</v>
      </c>
      <c r="O96" s="20">
        <v>110000</v>
      </c>
      <c r="P96" s="21">
        <v>968000</v>
      </c>
      <c r="Q96" s="20"/>
      <c r="R96" s="20"/>
      <c r="S96" s="20">
        <v>44000</v>
      </c>
      <c r="T96" s="20">
        <v>44000</v>
      </c>
      <c r="U96" s="20">
        <v>88000</v>
      </c>
      <c r="V96" s="20">
        <v>44000</v>
      </c>
      <c r="W96" s="20">
        <v>64900</v>
      </c>
      <c r="X96" s="20">
        <v>66000</v>
      </c>
      <c r="Y96" s="20"/>
      <c r="Z96" s="20">
        <v>88000</v>
      </c>
      <c r="AA96" s="20">
        <v>66000</v>
      </c>
      <c r="AB96" s="20"/>
      <c r="AC96" s="21">
        <v>504900</v>
      </c>
      <c r="AD96" s="20"/>
      <c r="AE96" s="20"/>
      <c r="AF96" s="20">
        <v>88000</v>
      </c>
      <c r="AG96" s="20">
        <v>44000</v>
      </c>
      <c r="AH96" s="20"/>
      <c r="AI96" s="20"/>
      <c r="AJ96" s="20"/>
      <c r="AK96" s="20"/>
      <c r="AL96" s="20"/>
      <c r="AM96" s="20"/>
      <c r="AN96" s="20"/>
      <c r="AO96" s="20"/>
      <c r="AP96" s="21">
        <v>132000</v>
      </c>
      <c r="AQ96" s="36">
        <v>1259.3806905923079</v>
      </c>
      <c r="AR96" s="36">
        <v>1228.8864471925128</v>
      </c>
      <c r="AS96" s="36">
        <v>1200.9591283464499</v>
      </c>
      <c r="AT96" s="36">
        <v>1170.0707841975477</v>
      </c>
      <c r="AU96" s="36">
        <v>1187.741459510019</v>
      </c>
      <c r="AV96" s="36">
        <v>1196.5573568667464</v>
      </c>
      <c r="AW96" s="36"/>
      <c r="AX96" s="36">
        <v>1194.7480315440548</v>
      </c>
      <c r="AY96" s="36">
        <v>1194.8101727736052</v>
      </c>
      <c r="AZ96" s="36"/>
      <c r="BA96" s="36">
        <v>1259.974551929675</v>
      </c>
      <c r="BB96" s="36">
        <v>1260.8351793874861</v>
      </c>
      <c r="BC96" s="37">
        <v>1213.7851893903774</v>
      </c>
      <c r="BD96" s="36"/>
      <c r="BE96" s="36"/>
      <c r="BF96" s="36">
        <v>1229.2802952755906</v>
      </c>
      <c r="BG96" s="36">
        <v>1237.2183847688284</v>
      </c>
      <c r="BH96" s="36">
        <v>1228.9231313719947</v>
      </c>
      <c r="BI96" s="36">
        <v>1228.7999671283278</v>
      </c>
      <c r="BJ96" s="36">
        <v>1228.2011136852559</v>
      </c>
      <c r="BK96" s="36">
        <v>1215.2246131069878</v>
      </c>
      <c r="BL96" s="36"/>
      <c r="BM96" s="36">
        <v>1079.5743837517957</v>
      </c>
      <c r="BN96" s="36">
        <v>1080.5383265646155</v>
      </c>
      <c r="BO96" s="36"/>
      <c r="BP96" s="37">
        <v>1182.3559677223079</v>
      </c>
      <c r="BQ96" s="36"/>
      <c r="BR96" s="36"/>
      <c r="BS96" s="36">
        <v>1078.0528979427872</v>
      </c>
      <c r="BT96" s="36">
        <v>1080.0001654155274</v>
      </c>
      <c r="BU96" s="36"/>
      <c r="BV96" s="36"/>
      <c r="BW96" s="36"/>
      <c r="BX96" s="36"/>
      <c r="BY96" s="36"/>
      <c r="BZ96" s="36"/>
      <c r="CA96" s="36"/>
      <c r="CB96" s="36"/>
      <c r="CC96" s="37">
        <v>1078.7019871003674</v>
      </c>
    </row>
    <row r="97" spans="1:81" s="22" customFormat="1" ht="14.5" outlineLevel="1" x14ac:dyDescent="0.35">
      <c r="B97" s="25" t="s">
        <v>71</v>
      </c>
      <c r="C97" s="23" t="s">
        <v>92</v>
      </c>
      <c r="D97" s="20"/>
      <c r="E97" s="20"/>
      <c r="F97" s="20">
        <v>44000</v>
      </c>
      <c r="G97" s="20"/>
      <c r="H97" s="20">
        <v>44000</v>
      </c>
      <c r="I97" s="20"/>
      <c r="J97" s="20"/>
      <c r="K97" s="20"/>
      <c r="L97" s="20">
        <v>44000</v>
      </c>
      <c r="M97" s="20"/>
      <c r="N97" s="20"/>
      <c r="O97" s="20"/>
      <c r="P97" s="21">
        <v>132000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1"/>
      <c r="AD97" s="20"/>
      <c r="AE97" s="20"/>
      <c r="AF97" s="20">
        <v>22000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1">
        <v>22000</v>
      </c>
      <c r="AQ97" s="36"/>
      <c r="AR97" s="36"/>
      <c r="AS97" s="36">
        <v>1222.4057726350727</v>
      </c>
      <c r="AT97" s="36"/>
      <c r="AU97" s="36">
        <v>1210.275713467252</v>
      </c>
      <c r="AV97" s="36"/>
      <c r="AW97" s="36"/>
      <c r="AX97" s="36"/>
      <c r="AY97" s="36">
        <v>1190.4656199115509</v>
      </c>
      <c r="AZ97" s="36"/>
      <c r="BA97" s="36"/>
      <c r="BB97" s="36"/>
      <c r="BC97" s="37">
        <v>1207.7157020046252</v>
      </c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7"/>
      <c r="BQ97" s="36"/>
      <c r="BR97" s="36"/>
      <c r="BS97" s="36">
        <v>1134.58594551282</v>
      </c>
      <c r="BT97" s="36"/>
      <c r="BU97" s="36"/>
      <c r="BV97" s="36"/>
      <c r="BW97" s="36"/>
      <c r="BX97" s="36"/>
      <c r="BY97" s="36"/>
      <c r="BZ97" s="36"/>
      <c r="CA97" s="36"/>
      <c r="CB97" s="36"/>
      <c r="CC97" s="37">
        <v>1134.58594551282</v>
      </c>
    </row>
    <row r="98" spans="1:81" s="22" customFormat="1" ht="14.5" outlineLevel="1" x14ac:dyDescent="0.35">
      <c r="B98" s="25" t="s">
        <v>71</v>
      </c>
      <c r="C98" s="23" t="s">
        <v>93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1"/>
      <c r="Q98" s="20"/>
      <c r="R98" s="20"/>
      <c r="S98" s="20"/>
      <c r="T98" s="20"/>
      <c r="U98" s="20"/>
      <c r="V98" s="20"/>
      <c r="W98" s="20"/>
      <c r="X98" s="20">
        <v>300</v>
      </c>
      <c r="Y98" s="20"/>
      <c r="Z98" s="20"/>
      <c r="AA98" s="20"/>
      <c r="AB98" s="20"/>
      <c r="AC98" s="21">
        <v>300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1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7"/>
      <c r="BD98" s="36"/>
      <c r="BE98" s="36"/>
      <c r="BF98" s="36"/>
      <c r="BG98" s="36"/>
      <c r="BH98" s="36"/>
      <c r="BI98" s="36"/>
      <c r="BJ98" s="36"/>
      <c r="BK98" s="36">
        <v>723.18643092728337</v>
      </c>
      <c r="BL98" s="36"/>
      <c r="BM98" s="36"/>
      <c r="BN98" s="36"/>
      <c r="BO98" s="36"/>
      <c r="BP98" s="37">
        <v>723.18643092728337</v>
      </c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7"/>
    </row>
    <row r="99" spans="1:81" s="22" customFormat="1" ht="14.5" outlineLevel="1" x14ac:dyDescent="0.35">
      <c r="B99" s="25" t="s">
        <v>71</v>
      </c>
      <c r="C99" s="23" t="s">
        <v>94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1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1"/>
      <c r="AD99" s="20">
        <v>880000</v>
      </c>
      <c r="AE99" s="20">
        <v>616000</v>
      </c>
      <c r="AF99" s="20">
        <v>726000</v>
      </c>
      <c r="AG99" s="20">
        <v>440000</v>
      </c>
      <c r="AH99" s="20"/>
      <c r="AI99" s="20"/>
      <c r="AJ99" s="20"/>
      <c r="AK99" s="20"/>
      <c r="AL99" s="20"/>
      <c r="AM99" s="20"/>
      <c r="AN99" s="20"/>
      <c r="AO99" s="20"/>
      <c r="AP99" s="21">
        <v>2662000</v>
      </c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7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7"/>
      <c r="BQ99" s="36">
        <v>1091.160699295317</v>
      </c>
      <c r="BR99" s="36">
        <v>1077.5681948054455</v>
      </c>
      <c r="BS99" s="36">
        <v>1061.3386178321873</v>
      </c>
      <c r="BT99" s="36">
        <v>1100.7456190744183</v>
      </c>
      <c r="BU99" s="36"/>
      <c r="BV99" s="36"/>
      <c r="BW99" s="36"/>
      <c r="BX99" s="36"/>
      <c r="BY99" s="36"/>
      <c r="BZ99" s="36"/>
      <c r="CA99" s="36"/>
      <c r="CB99" s="36"/>
      <c r="CC99" s="37">
        <v>1081.4663156720303</v>
      </c>
    </row>
    <row r="100" spans="1:81" s="22" customFormat="1" ht="14.5" outlineLevel="1" x14ac:dyDescent="0.35">
      <c r="B100" s="25" t="s">
        <v>71</v>
      </c>
      <c r="C100" s="23" t="s">
        <v>9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>
        <v>9900</v>
      </c>
      <c r="P100" s="21">
        <v>9900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1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1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>
        <v>1277.6531150546666</v>
      </c>
      <c r="BC100" s="37">
        <v>1277.6531150546666</v>
      </c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7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7"/>
    </row>
    <row r="101" spans="1:81" s="22" customFormat="1" ht="14.5" outlineLevel="1" x14ac:dyDescent="0.35">
      <c r="B101" s="25" t="s">
        <v>71</v>
      </c>
      <c r="C101" s="23" t="s">
        <v>95</v>
      </c>
      <c r="D101" s="20"/>
      <c r="E101" s="20"/>
      <c r="F101" s="20"/>
      <c r="G101" s="20"/>
      <c r="H101" s="20"/>
      <c r="I101" s="20"/>
      <c r="J101" s="20"/>
      <c r="K101" s="20"/>
      <c r="L101" s="20">
        <v>500</v>
      </c>
      <c r="M101" s="20"/>
      <c r="N101" s="20"/>
      <c r="O101" s="20"/>
      <c r="P101" s="21">
        <v>500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1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1"/>
      <c r="AQ101" s="36"/>
      <c r="AR101" s="36"/>
      <c r="AS101" s="36"/>
      <c r="AT101" s="36"/>
      <c r="AU101" s="36"/>
      <c r="AV101" s="36"/>
      <c r="AW101" s="36"/>
      <c r="AX101" s="36"/>
      <c r="AY101" s="36">
        <v>1307.8194404880624</v>
      </c>
      <c r="AZ101" s="36"/>
      <c r="BA101" s="36"/>
      <c r="BB101" s="36"/>
      <c r="BC101" s="37">
        <v>1307.8194404880624</v>
      </c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7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7"/>
    </row>
    <row r="102" spans="1:81" s="22" customFormat="1" ht="14.5" outlineLevel="1" x14ac:dyDescent="0.35">
      <c r="B102" s="25" t="s">
        <v>71</v>
      </c>
      <c r="C102" s="23" t="s">
        <v>96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1"/>
      <c r="Q102" s="20">
        <v>1100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1">
        <v>1100</v>
      </c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1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7"/>
      <c r="BD102" s="36">
        <v>1372.4458937377678</v>
      </c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7">
        <v>1372.4458937377678</v>
      </c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7"/>
    </row>
    <row r="103" spans="1:81" s="22" customFormat="1" ht="14.5" outlineLevel="1" x14ac:dyDescent="0.35">
      <c r="B103" s="25" t="s">
        <v>71</v>
      </c>
      <c r="C103" s="23" t="s">
        <v>33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1"/>
      <c r="Q103" s="20"/>
      <c r="R103" s="20"/>
      <c r="S103" s="20"/>
      <c r="T103" s="20"/>
      <c r="U103" s="20"/>
      <c r="V103" s="20">
        <v>22000</v>
      </c>
      <c r="W103" s="20"/>
      <c r="X103" s="20"/>
      <c r="Y103" s="20"/>
      <c r="Z103" s="20"/>
      <c r="AA103" s="20"/>
      <c r="AB103" s="20"/>
      <c r="AC103" s="21">
        <v>22000</v>
      </c>
      <c r="AD103" s="20"/>
      <c r="AE103" s="20">
        <v>22000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1">
        <v>22000</v>
      </c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7"/>
      <c r="BD103" s="36"/>
      <c r="BE103" s="36"/>
      <c r="BF103" s="36"/>
      <c r="BG103" s="36"/>
      <c r="BH103" s="36"/>
      <c r="BI103" s="36">
        <v>1231.0046600280355</v>
      </c>
      <c r="BJ103" s="36"/>
      <c r="BK103" s="36"/>
      <c r="BL103" s="36"/>
      <c r="BM103" s="36"/>
      <c r="BN103" s="36"/>
      <c r="BO103" s="36"/>
      <c r="BP103" s="37">
        <v>1231.0046600280355</v>
      </c>
      <c r="BQ103" s="36"/>
      <c r="BR103" s="36">
        <v>1180.8116981462836</v>
      </c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7">
        <v>1180.8116981462836</v>
      </c>
    </row>
    <row r="104" spans="1:81" s="22" customFormat="1" ht="14.5" outlineLevel="1" x14ac:dyDescent="0.35">
      <c r="B104" s="25" t="s">
        <v>71</v>
      </c>
      <c r="C104" s="23" t="s">
        <v>97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1"/>
      <c r="Q104" s="20"/>
      <c r="R104" s="20"/>
      <c r="S104" s="20"/>
      <c r="T104" s="20"/>
      <c r="U104" s="20"/>
      <c r="V104" s="20">
        <v>44000</v>
      </c>
      <c r="W104" s="20">
        <v>44000</v>
      </c>
      <c r="X104" s="20">
        <v>88000</v>
      </c>
      <c r="Y104" s="20">
        <v>66000</v>
      </c>
      <c r="Z104" s="20">
        <v>132000</v>
      </c>
      <c r="AA104" s="20">
        <v>66000</v>
      </c>
      <c r="AB104" s="20"/>
      <c r="AC104" s="21">
        <v>440000</v>
      </c>
      <c r="AD104" s="20">
        <v>66000</v>
      </c>
      <c r="AE104" s="20">
        <v>44000</v>
      </c>
      <c r="AF104" s="20">
        <v>88000</v>
      </c>
      <c r="AG104" s="20">
        <v>132000</v>
      </c>
      <c r="AH104" s="20"/>
      <c r="AI104" s="20"/>
      <c r="AJ104" s="20"/>
      <c r="AK104" s="20"/>
      <c r="AL104" s="20"/>
      <c r="AM104" s="20"/>
      <c r="AN104" s="20"/>
      <c r="AO104" s="20"/>
      <c r="AP104" s="21">
        <v>330000</v>
      </c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7"/>
      <c r="BD104" s="36"/>
      <c r="BE104" s="36"/>
      <c r="BF104" s="36"/>
      <c r="BG104" s="36"/>
      <c r="BH104" s="36"/>
      <c r="BI104" s="36">
        <v>1225.9281291137384</v>
      </c>
      <c r="BJ104" s="36">
        <v>1222.4824414087495</v>
      </c>
      <c r="BK104" s="36">
        <v>1257.0066792681278</v>
      </c>
      <c r="BL104" s="36">
        <v>1257.3335775655466</v>
      </c>
      <c r="BM104" s="36">
        <v>1267.2379919005623</v>
      </c>
      <c r="BN104" s="36">
        <v>1276.9051847701671</v>
      </c>
      <c r="BO104" s="36"/>
      <c r="BP104" s="37">
        <v>1256.5496048264001</v>
      </c>
      <c r="BQ104" s="36">
        <v>1256.4081676622154</v>
      </c>
      <c r="BR104" s="36">
        <v>1268.5368981762279</v>
      </c>
      <c r="BS104" s="36">
        <v>1257.1742880946199</v>
      </c>
      <c r="BT104" s="36">
        <v>1220.7024588595714</v>
      </c>
      <c r="BU104" s="36"/>
      <c r="BV104" s="36"/>
      <c r="BW104" s="36"/>
      <c r="BX104" s="36"/>
      <c r="BY104" s="36"/>
      <c r="BZ104" s="36"/>
      <c r="CA104" s="36"/>
      <c r="CB104" s="36"/>
      <c r="CC104" s="37">
        <v>1243.947346991667</v>
      </c>
    </row>
    <row r="105" spans="1:81" s="22" customFormat="1" ht="14.5" outlineLevel="1" x14ac:dyDescent="0.35">
      <c r="B105" s="25" t="s">
        <v>71</v>
      </c>
      <c r="C105" s="23" t="s">
        <v>54</v>
      </c>
      <c r="D105" s="20"/>
      <c r="E105" s="20"/>
      <c r="F105" s="20">
        <v>33000</v>
      </c>
      <c r="G105" s="20">
        <v>33000</v>
      </c>
      <c r="H105" s="20"/>
      <c r="I105" s="20"/>
      <c r="J105" s="20">
        <v>11000</v>
      </c>
      <c r="K105" s="20">
        <v>22000</v>
      </c>
      <c r="L105" s="20"/>
      <c r="M105" s="20">
        <v>22000</v>
      </c>
      <c r="N105" s="20"/>
      <c r="O105" s="20"/>
      <c r="P105" s="21">
        <v>121000</v>
      </c>
      <c r="Q105" s="20">
        <v>11000</v>
      </c>
      <c r="R105" s="20">
        <v>11000</v>
      </c>
      <c r="S105" s="20">
        <v>22000</v>
      </c>
      <c r="T105" s="20"/>
      <c r="U105" s="20">
        <v>22000</v>
      </c>
      <c r="V105" s="20">
        <v>11000</v>
      </c>
      <c r="W105" s="20"/>
      <c r="X105" s="20">
        <v>16500</v>
      </c>
      <c r="Y105" s="20"/>
      <c r="Z105" s="20">
        <v>11000</v>
      </c>
      <c r="AA105" s="20">
        <v>11000</v>
      </c>
      <c r="AB105" s="20"/>
      <c r="AC105" s="21">
        <v>115500</v>
      </c>
      <c r="AD105" s="20">
        <v>11000</v>
      </c>
      <c r="AE105" s="20">
        <v>11000</v>
      </c>
      <c r="AF105" s="20"/>
      <c r="AG105" s="20">
        <v>22000</v>
      </c>
      <c r="AH105" s="20"/>
      <c r="AI105" s="20"/>
      <c r="AJ105" s="20"/>
      <c r="AK105" s="20"/>
      <c r="AL105" s="20"/>
      <c r="AM105" s="20"/>
      <c r="AN105" s="20"/>
      <c r="AO105" s="20"/>
      <c r="AP105" s="21">
        <v>44000</v>
      </c>
      <c r="AQ105" s="36"/>
      <c r="AR105" s="36"/>
      <c r="AS105" s="36">
        <v>1315.6158590872872</v>
      </c>
      <c r="AT105" s="36">
        <v>1295.3609991676408</v>
      </c>
      <c r="AU105" s="36"/>
      <c r="AV105" s="36"/>
      <c r="AW105" s="36">
        <v>1286.1947581630538</v>
      </c>
      <c r="AX105" s="36">
        <v>1296.8191989811558</v>
      </c>
      <c r="AY105" s="36"/>
      <c r="AZ105" s="36">
        <v>1310.0078633728433</v>
      </c>
      <c r="BA105" s="36"/>
      <c r="BB105" s="36"/>
      <c r="BC105" s="37">
        <v>1302.9799506941663</v>
      </c>
      <c r="BD105" s="36">
        <v>1286.5985972028811</v>
      </c>
      <c r="BE105" s="36">
        <v>1300.2921713877931</v>
      </c>
      <c r="BF105" s="36">
        <v>1295.1916959941468</v>
      </c>
      <c r="BG105" s="36"/>
      <c r="BH105" s="36">
        <v>1237.8295847254649</v>
      </c>
      <c r="BI105" s="36">
        <v>1231.3111301843642</v>
      </c>
      <c r="BJ105" s="36"/>
      <c r="BK105" s="36">
        <v>1236.2211829357459</v>
      </c>
      <c r="BL105" s="36"/>
      <c r="BM105" s="36">
        <v>1264.7902606903913</v>
      </c>
      <c r="BN105" s="36">
        <v>1282.2572035557992</v>
      </c>
      <c r="BO105" s="36"/>
      <c r="BP105" s="37">
        <v>1265.2974951299113</v>
      </c>
      <c r="BQ105" s="36">
        <v>1261.744916458844</v>
      </c>
      <c r="BR105" s="36">
        <v>1273.9251273077796</v>
      </c>
      <c r="BS105" s="36"/>
      <c r="BT105" s="36">
        <v>1266.3133360427648</v>
      </c>
      <c r="BU105" s="36"/>
      <c r="BV105" s="36"/>
      <c r="BW105" s="36"/>
      <c r="BX105" s="36"/>
      <c r="BY105" s="36"/>
      <c r="BZ105" s="36"/>
      <c r="CA105" s="36"/>
      <c r="CB105" s="36"/>
      <c r="CC105" s="37">
        <v>1267.0741789630383</v>
      </c>
    </row>
    <row r="106" spans="1:81" s="22" customFormat="1" ht="14.5" outlineLevel="1" x14ac:dyDescent="0.35">
      <c r="B106" s="25" t="s">
        <v>71</v>
      </c>
      <c r="C106" s="23" t="s">
        <v>98</v>
      </c>
      <c r="D106" s="20">
        <v>242000</v>
      </c>
      <c r="E106" s="20">
        <v>352000</v>
      </c>
      <c r="F106" s="20">
        <v>330000</v>
      </c>
      <c r="G106" s="20">
        <v>198000</v>
      </c>
      <c r="H106" s="20">
        <v>264000</v>
      </c>
      <c r="I106" s="20">
        <v>220000</v>
      </c>
      <c r="J106" s="20">
        <v>198000</v>
      </c>
      <c r="K106" s="20">
        <v>176000</v>
      </c>
      <c r="L106" s="20">
        <v>220000</v>
      </c>
      <c r="M106" s="20">
        <v>242000</v>
      </c>
      <c r="N106" s="20">
        <v>242000</v>
      </c>
      <c r="O106" s="20">
        <v>286000</v>
      </c>
      <c r="P106" s="21">
        <v>2970000</v>
      </c>
      <c r="Q106" s="20">
        <v>242000</v>
      </c>
      <c r="R106" s="20">
        <v>352000</v>
      </c>
      <c r="S106" s="20">
        <v>227700</v>
      </c>
      <c r="T106" s="20">
        <v>176000</v>
      </c>
      <c r="U106" s="20">
        <v>220000</v>
      </c>
      <c r="V106" s="20">
        <v>286000</v>
      </c>
      <c r="W106" s="20">
        <v>176000</v>
      </c>
      <c r="X106" s="20">
        <v>330000</v>
      </c>
      <c r="Y106" s="20">
        <v>330000</v>
      </c>
      <c r="Z106" s="20">
        <v>330000</v>
      </c>
      <c r="AA106" s="20">
        <v>176000</v>
      </c>
      <c r="AB106" s="20">
        <v>198000</v>
      </c>
      <c r="AC106" s="21">
        <v>3043700</v>
      </c>
      <c r="AD106" s="20">
        <v>264000</v>
      </c>
      <c r="AE106" s="20">
        <v>154000</v>
      </c>
      <c r="AF106" s="20">
        <v>242000</v>
      </c>
      <c r="AG106" s="20">
        <v>242000</v>
      </c>
      <c r="AH106" s="20"/>
      <c r="AI106" s="20"/>
      <c r="AJ106" s="20"/>
      <c r="AK106" s="20"/>
      <c r="AL106" s="20"/>
      <c r="AM106" s="20"/>
      <c r="AN106" s="20"/>
      <c r="AO106" s="20"/>
      <c r="AP106" s="21">
        <v>902000</v>
      </c>
      <c r="AQ106" s="36">
        <v>1319.5669564081086</v>
      </c>
      <c r="AR106" s="36">
        <v>1315.9763188453496</v>
      </c>
      <c r="AS106" s="36">
        <v>1309.9207583159257</v>
      </c>
      <c r="AT106" s="36">
        <v>1285.6079640251753</v>
      </c>
      <c r="AU106" s="36">
        <v>1273.6478714716559</v>
      </c>
      <c r="AV106" s="36">
        <v>1273.003440856849</v>
      </c>
      <c r="AW106" s="36">
        <v>1276.7834515043146</v>
      </c>
      <c r="AX106" s="36">
        <v>1291.1981205233697</v>
      </c>
      <c r="AY106" s="36">
        <v>1314.3246034267365</v>
      </c>
      <c r="AZ106" s="36">
        <v>1298.5578299871929</v>
      </c>
      <c r="BA106" s="36">
        <v>1277.9208713366165</v>
      </c>
      <c r="BB106" s="36">
        <v>1275.4428815019837</v>
      </c>
      <c r="BC106" s="37">
        <v>1293.9989242614015</v>
      </c>
      <c r="BD106" s="36">
        <v>1281.2223365337693</v>
      </c>
      <c r="BE106" s="36">
        <v>1294.7524695019474</v>
      </c>
      <c r="BF106" s="36">
        <v>1287.3274169623865</v>
      </c>
      <c r="BG106" s="36">
        <v>1234.8117947426431</v>
      </c>
      <c r="BH106" s="36">
        <v>1232.3987755597204</v>
      </c>
      <c r="BI106" s="36">
        <v>1225.9281291137379</v>
      </c>
      <c r="BJ106" s="36">
        <v>1233.8530488375081</v>
      </c>
      <c r="BK106" s="36">
        <v>1261.0245929041403</v>
      </c>
      <c r="BL106" s="36">
        <v>1257.3335775655469</v>
      </c>
      <c r="BM106" s="36">
        <v>1274.0661150235333</v>
      </c>
      <c r="BN106" s="36">
        <v>1276.9051847701671</v>
      </c>
      <c r="BO106" s="36">
        <v>1279.4247777062558</v>
      </c>
      <c r="BP106" s="37">
        <v>1263.1740146158038</v>
      </c>
      <c r="BQ106" s="36">
        <v>1256.4883520261994</v>
      </c>
      <c r="BR106" s="36">
        <v>1268.5368981762279</v>
      </c>
      <c r="BS106" s="36">
        <v>1256.7667276068421</v>
      </c>
      <c r="BT106" s="36">
        <v>1206.0314619110761</v>
      </c>
      <c r="BU106" s="36"/>
      <c r="BV106" s="36"/>
      <c r="BW106" s="36"/>
      <c r="BX106" s="36"/>
      <c r="BY106" s="36"/>
      <c r="BZ106" s="36"/>
      <c r="CA106" s="36"/>
      <c r="CB106" s="36"/>
      <c r="CC106" s="37">
        <v>1245.0828925913438</v>
      </c>
    </row>
    <row r="107" spans="1:81" ht="14.5" x14ac:dyDescent="0.35">
      <c r="A107" t="s">
        <v>364</v>
      </c>
      <c r="B107" s="15" t="s">
        <v>99</v>
      </c>
      <c r="C107" s="16"/>
      <c r="D107" s="17">
        <v>1214400</v>
      </c>
      <c r="E107" s="17">
        <v>1500400</v>
      </c>
      <c r="F107" s="17">
        <v>1403900</v>
      </c>
      <c r="G107" s="17">
        <v>1375000</v>
      </c>
      <c r="H107" s="17">
        <v>1046100</v>
      </c>
      <c r="I107" s="17">
        <v>495000</v>
      </c>
      <c r="J107" s="17">
        <v>1129900</v>
      </c>
      <c r="K107" s="17">
        <v>2027700</v>
      </c>
      <c r="L107" s="17">
        <v>2071800</v>
      </c>
      <c r="M107" s="17">
        <v>1380500</v>
      </c>
      <c r="N107" s="17">
        <v>833800</v>
      </c>
      <c r="O107" s="17">
        <v>1452000</v>
      </c>
      <c r="P107" s="18">
        <v>15930500</v>
      </c>
      <c r="Q107" s="17">
        <v>2828100</v>
      </c>
      <c r="R107" s="17">
        <v>2172500</v>
      </c>
      <c r="S107" s="17">
        <v>1581700</v>
      </c>
      <c r="T107" s="17">
        <v>1699500</v>
      </c>
      <c r="U107" s="17">
        <v>1785300</v>
      </c>
      <c r="V107" s="17">
        <v>1272725</v>
      </c>
      <c r="W107" s="17">
        <v>2068000</v>
      </c>
      <c r="X107" s="17">
        <v>1771300</v>
      </c>
      <c r="Y107" s="17">
        <v>1195100</v>
      </c>
      <c r="Z107" s="17">
        <v>1338700</v>
      </c>
      <c r="AA107" s="17">
        <v>719400</v>
      </c>
      <c r="AB107" s="17">
        <v>982300</v>
      </c>
      <c r="AC107" s="18">
        <v>19414625</v>
      </c>
      <c r="AD107" s="17">
        <v>2674100</v>
      </c>
      <c r="AE107" s="17">
        <v>1835900</v>
      </c>
      <c r="AF107" s="17">
        <v>1980000</v>
      </c>
      <c r="AG107" s="17">
        <v>1663400</v>
      </c>
      <c r="AH107" s="17"/>
      <c r="AI107" s="17"/>
      <c r="AJ107" s="17"/>
      <c r="AK107" s="17"/>
      <c r="AL107" s="17"/>
      <c r="AM107" s="17"/>
      <c r="AN107" s="17"/>
      <c r="AO107" s="17"/>
      <c r="AP107" s="18">
        <v>8153400</v>
      </c>
      <c r="AQ107" s="17">
        <v>1211.3289583797268</v>
      </c>
      <c r="AR107" s="17">
        <v>1210.6642183568151</v>
      </c>
      <c r="AS107" s="17">
        <v>1208.5219653283855</v>
      </c>
      <c r="AT107" s="17">
        <v>1185.7978342685017</v>
      </c>
      <c r="AU107" s="17">
        <v>1203.6373896573514</v>
      </c>
      <c r="AV107" s="17">
        <v>1234.6659507803954</v>
      </c>
      <c r="AW107" s="17">
        <v>1195.8033156039014</v>
      </c>
      <c r="AX107" s="17">
        <v>1197.3093023894901</v>
      </c>
      <c r="AY107" s="17">
        <v>1216.2692797168647</v>
      </c>
      <c r="AZ107" s="17">
        <v>1245.7132673409944</v>
      </c>
      <c r="BA107" s="17">
        <v>1254.9900204758326</v>
      </c>
      <c r="BB107" s="17">
        <v>1253.6158241866776</v>
      </c>
      <c r="BC107" s="19">
        <v>1215.9113751802458</v>
      </c>
      <c r="BD107" s="17">
        <v>1197.7627156741044</v>
      </c>
      <c r="BE107" s="17">
        <v>1249.8588127500557</v>
      </c>
      <c r="BF107" s="17">
        <v>1228.4670473624285</v>
      </c>
      <c r="BG107" s="17">
        <v>1197.405860463301</v>
      </c>
      <c r="BH107" s="17">
        <v>1199.7430423628871</v>
      </c>
      <c r="BI107" s="17">
        <v>1206.1507595899711</v>
      </c>
      <c r="BJ107" s="17">
        <v>1196.8077542691235</v>
      </c>
      <c r="BK107" s="17">
        <v>1168.1324488662431</v>
      </c>
      <c r="BL107" s="17">
        <v>1205.1231606356473</v>
      </c>
      <c r="BM107" s="17">
        <v>1199.8899263138908</v>
      </c>
      <c r="BN107" s="17">
        <v>1196.457379454527</v>
      </c>
      <c r="BO107" s="17">
        <v>1165.5303154725543</v>
      </c>
      <c r="BP107" s="19">
        <v>1202.910008223346</v>
      </c>
      <c r="BQ107" s="17">
        <v>1101.5663229475329</v>
      </c>
      <c r="BR107" s="17">
        <v>1083.5638655269145</v>
      </c>
      <c r="BS107" s="17">
        <v>1092.7694329633728</v>
      </c>
      <c r="BT107" s="17">
        <v>1163.4451223743338</v>
      </c>
      <c r="BU107" s="17"/>
      <c r="BV107" s="17"/>
      <c r="BW107" s="17"/>
      <c r="BX107" s="17"/>
      <c r="BY107" s="17"/>
      <c r="BZ107" s="17"/>
      <c r="CA107" s="17"/>
      <c r="CB107" s="17"/>
      <c r="CC107" s="19">
        <v>1108.0005272327867</v>
      </c>
    </row>
    <row r="108" spans="1:81" s="22" customFormat="1" ht="14.5" outlineLevel="1" x14ac:dyDescent="0.35">
      <c r="B108" s="25" t="s">
        <v>100</v>
      </c>
      <c r="C108" s="23" t="s">
        <v>101</v>
      </c>
      <c r="D108" s="20">
        <v>330000</v>
      </c>
      <c r="E108" s="20"/>
      <c r="F108" s="20">
        <v>660000</v>
      </c>
      <c r="G108" s="20"/>
      <c r="H108" s="20"/>
      <c r="I108" s="20"/>
      <c r="J108" s="20"/>
      <c r="K108" s="20">
        <v>660000</v>
      </c>
      <c r="L108" s="20"/>
      <c r="M108" s="20"/>
      <c r="N108" s="20"/>
      <c r="O108" s="20"/>
      <c r="P108" s="21">
        <v>1650000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1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1"/>
      <c r="AQ108" s="36">
        <v>1158.1534670383226</v>
      </c>
      <c r="AR108" s="36"/>
      <c r="AS108" s="36">
        <v>1265.4244027033942</v>
      </c>
      <c r="AT108" s="36"/>
      <c r="AU108" s="36"/>
      <c r="AV108" s="36"/>
      <c r="AW108" s="36"/>
      <c r="AX108" s="36">
        <v>1221.6203651561091</v>
      </c>
      <c r="AY108" s="36"/>
      <c r="AZ108" s="36"/>
      <c r="BA108" s="36"/>
      <c r="BB108" s="36"/>
      <c r="BC108" s="37">
        <v>1226.4486005514639</v>
      </c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7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7"/>
    </row>
    <row r="109" spans="1:81" s="22" customFormat="1" ht="14.5" outlineLevel="1" x14ac:dyDescent="0.35">
      <c r="B109" s="25" t="s">
        <v>100</v>
      </c>
      <c r="C109" s="23" t="s">
        <v>102</v>
      </c>
      <c r="D109" s="20"/>
      <c r="E109" s="20"/>
      <c r="F109" s="20"/>
      <c r="G109" s="20"/>
      <c r="H109" s="20"/>
      <c r="I109" s="20"/>
      <c r="J109" s="20"/>
      <c r="K109" s="20">
        <v>2200</v>
      </c>
      <c r="L109" s="20"/>
      <c r="M109" s="20"/>
      <c r="N109" s="20"/>
      <c r="O109" s="20"/>
      <c r="P109" s="21">
        <v>2200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1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1"/>
      <c r="AQ109" s="36"/>
      <c r="AR109" s="36"/>
      <c r="AS109" s="36"/>
      <c r="AT109" s="36"/>
      <c r="AU109" s="36"/>
      <c r="AV109" s="36"/>
      <c r="AW109" s="36"/>
      <c r="AX109" s="36">
        <v>1337.2508133168026</v>
      </c>
      <c r="AY109" s="36"/>
      <c r="AZ109" s="36"/>
      <c r="BA109" s="36"/>
      <c r="BB109" s="36"/>
      <c r="BC109" s="37">
        <v>1337.2508133168026</v>
      </c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7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7"/>
    </row>
    <row r="110" spans="1:81" s="22" customFormat="1" ht="14.5" outlineLevel="1" x14ac:dyDescent="0.35">
      <c r="B110" s="25" t="s">
        <v>100</v>
      </c>
      <c r="C110" s="23" t="s">
        <v>17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2200</v>
      </c>
      <c r="O110" s="20"/>
      <c r="P110" s="21">
        <v>2200</v>
      </c>
      <c r="Q110" s="20">
        <v>3300</v>
      </c>
      <c r="R110" s="20"/>
      <c r="S110" s="20"/>
      <c r="T110" s="20"/>
      <c r="U110" s="20"/>
      <c r="V110" s="20">
        <v>-589.20000000000005</v>
      </c>
      <c r="W110" s="20"/>
      <c r="X110" s="20"/>
      <c r="Y110" s="20"/>
      <c r="Z110" s="20"/>
      <c r="AA110" s="20"/>
      <c r="AB110" s="20"/>
      <c r="AC110" s="21">
        <v>2710.8</v>
      </c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1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>
        <v>1419.8917131240657</v>
      </c>
      <c r="BB110" s="36"/>
      <c r="BC110" s="37">
        <v>1419.8917131240657</v>
      </c>
      <c r="BD110" s="36">
        <v>1388.6942349803128</v>
      </c>
      <c r="BE110" s="36"/>
      <c r="BF110" s="36"/>
      <c r="BG110" s="36"/>
      <c r="BH110" s="36"/>
      <c r="BI110" s="36">
        <v>1356.9407358320234</v>
      </c>
      <c r="BJ110" s="36"/>
      <c r="BK110" s="36"/>
      <c r="BL110" s="36"/>
      <c r="BM110" s="36"/>
      <c r="BN110" s="36"/>
      <c r="BO110" s="36"/>
      <c r="BP110" s="37">
        <v>1395.595947278591</v>
      </c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7"/>
    </row>
    <row r="111" spans="1:81" s="22" customFormat="1" ht="14.5" outlineLevel="1" x14ac:dyDescent="0.35">
      <c r="B111" s="25" t="s">
        <v>100</v>
      </c>
      <c r="C111" s="23" t="s">
        <v>103</v>
      </c>
      <c r="D111" s="20"/>
      <c r="E111" s="20"/>
      <c r="F111" s="20"/>
      <c r="G111" s="20"/>
      <c r="H111" s="20">
        <v>1100</v>
      </c>
      <c r="I111" s="20"/>
      <c r="J111" s="20">
        <v>4400</v>
      </c>
      <c r="K111" s="20"/>
      <c r="L111" s="20"/>
      <c r="M111" s="20"/>
      <c r="N111" s="20"/>
      <c r="O111" s="20"/>
      <c r="P111" s="21">
        <v>5500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1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1"/>
      <c r="AQ111" s="36"/>
      <c r="AR111" s="36"/>
      <c r="AS111" s="36"/>
      <c r="AT111" s="36"/>
      <c r="AU111" s="36">
        <v>1302.1230059268917</v>
      </c>
      <c r="AV111" s="36"/>
      <c r="AW111" s="36">
        <v>1337.2103944963399</v>
      </c>
      <c r="AX111" s="36"/>
      <c r="AY111" s="36"/>
      <c r="AZ111" s="36"/>
      <c r="BA111" s="36"/>
      <c r="BB111" s="36"/>
      <c r="BC111" s="37">
        <v>1330.1929167824503</v>
      </c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7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7"/>
    </row>
    <row r="112" spans="1:81" s="22" customFormat="1" ht="14.5" outlineLevel="1" x14ac:dyDescent="0.35">
      <c r="B112" s="25" t="s">
        <v>100</v>
      </c>
      <c r="C112" s="23" t="s">
        <v>18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1"/>
      <c r="Q112" s="20"/>
      <c r="R112" s="20"/>
      <c r="S112" s="20">
        <v>9900</v>
      </c>
      <c r="T112" s="20"/>
      <c r="U112" s="20"/>
      <c r="V112" s="20"/>
      <c r="W112" s="20"/>
      <c r="X112" s="20"/>
      <c r="Y112" s="20"/>
      <c r="Z112" s="20"/>
      <c r="AA112" s="20"/>
      <c r="AB112" s="20"/>
      <c r="AC112" s="21">
        <v>9900</v>
      </c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1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7"/>
      <c r="BD112" s="36"/>
      <c r="BE112" s="36"/>
      <c r="BF112" s="36">
        <v>1256.851081911019</v>
      </c>
      <c r="BG112" s="36"/>
      <c r="BH112" s="36"/>
      <c r="BI112" s="36"/>
      <c r="BJ112" s="36"/>
      <c r="BK112" s="36"/>
      <c r="BL112" s="36"/>
      <c r="BM112" s="36"/>
      <c r="BN112" s="36"/>
      <c r="BO112" s="36"/>
      <c r="BP112" s="37">
        <v>1256.851081911019</v>
      </c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7"/>
    </row>
    <row r="113" spans="2:81" s="22" customFormat="1" ht="14.5" outlineLevel="1" x14ac:dyDescent="0.35">
      <c r="B113" s="25" t="s">
        <v>100</v>
      </c>
      <c r="C113" s="23" t="s">
        <v>19</v>
      </c>
      <c r="D113" s="20"/>
      <c r="E113" s="20"/>
      <c r="F113" s="20">
        <v>6600</v>
      </c>
      <c r="G113" s="20"/>
      <c r="H113" s="20"/>
      <c r="I113" s="20"/>
      <c r="J113" s="20"/>
      <c r="K113" s="20"/>
      <c r="L113" s="20"/>
      <c r="M113" s="20"/>
      <c r="N113" s="20">
        <v>2200</v>
      </c>
      <c r="O113" s="20">
        <v>1100</v>
      </c>
      <c r="P113" s="21">
        <v>9900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1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1"/>
      <c r="AQ113" s="36"/>
      <c r="AR113" s="36"/>
      <c r="AS113" s="36">
        <v>1343.6845700318545</v>
      </c>
      <c r="AT113" s="36"/>
      <c r="AU113" s="36"/>
      <c r="AV113" s="36"/>
      <c r="AW113" s="36"/>
      <c r="AX113" s="36"/>
      <c r="AY113" s="36"/>
      <c r="AZ113" s="36"/>
      <c r="BA113" s="36">
        <v>1419.8520121056688</v>
      </c>
      <c r="BB113" s="36">
        <v>1417.8059518759001</v>
      </c>
      <c r="BC113" s="37">
        <v>1368.8463773642629</v>
      </c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7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7"/>
    </row>
    <row r="114" spans="2:81" s="22" customFormat="1" ht="14.5" outlineLevel="1" x14ac:dyDescent="0.35">
      <c r="B114" s="25" t="s">
        <v>100</v>
      </c>
      <c r="C114" s="23" t="s">
        <v>104</v>
      </c>
      <c r="D114" s="20"/>
      <c r="E114" s="20">
        <v>44000</v>
      </c>
      <c r="F114" s="20"/>
      <c r="G114" s="20"/>
      <c r="H114" s="20"/>
      <c r="I114" s="20"/>
      <c r="J114" s="20"/>
      <c r="K114" s="20"/>
      <c r="L114" s="20">
        <v>22000</v>
      </c>
      <c r="M114" s="20"/>
      <c r="N114" s="20"/>
      <c r="O114" s="20"/>
      <c r="P114" s="21">
        <v>66000</v>
      </c>
      <c r="Q114" s="20"/>
      <c r="R114" s="20"/>
      <c r="S114" s="20"/>
      <c r="T114" s="20"/>
      <c r="U114" s="20"/>
      <c r="V114" s="20"/>
      <c r="W114" s="20"/>
      <c r="X114" s="20">
        <v>22000</v>
      </c>
      <c r="Y114" s="20"/>
      <c r="Z114" s="20"/>
      <c r="AA114" s="20"/>
      <c r="AB114" s="20"/>
      <c r="AC114" s="21">
        <v>22000</v>
      </c>
      <c r="AD114" s="20"/>
      <c r="AE114" s="20"/>
      <c r="AF114" s="20"/>
      <c r="AG114" s="20">
        <v>88000</v>
      </c>
      <c r="AH114" s="20"/>
      <c r="AI114" s="20"/>
      <c r="AJ114" s="20"/>
      <c r="AK114" s="20"/>
      <c r="AL114" s="20"/>
      <c r="AM114" s="20"/>
      <c r="AN114" s="20"/>
      <c r="AO114" s="20"/>
      <c r="AP114" s="21">
        <v>88000</v>
      </c>
      <c r="AQ114" s="36"/>
      <c r="AR114" s="36">
        <v>1252.8995509362153</v>
      </c>
      <c r="AS114" s="36"/>
      <c r="AT114" s="36"/>
      <c r="AU114" s="36"/>
      <c r="AV114" s="36"/>
      <c r="AW114" s="36"/>
      <c r="AX114" s="36"/>
      <c r="AY114" s="36">
        <v>1254.4263174578593</v>
      </c>
      <c r="AZ114" s="36"/>
      <c r="BA114" s="36"/>
      <c r="BB114" s="36"/>
      <c r="BC114" s="37">
        <v>1253.4084731100966</v>
      </c>
      <c r="BD114" s="36"/>
      <c r="BE114" s="36"/>
      <c r="BF114" s="36"/>
      <c r="BG114" s="36"/>
      <c r="BH114" s="36"/>
      <c r="BI114" s="36"/>
      <c r="BJ114" s="36"/>
      <c r="BK114" s="36">
        <v>1244.3039518107066</v>
      </c>
      <c r="BL114" s="36"/>
      <c r="BM114" s="36"/>
      <c r="BN114" s="36"/>
      <c r="BO114" s="36"/>
      <c r="BP114" s="37">
        <v>1244.3039518107066</v>
      </c>
      <c r="BQ114" s="36"/>
      <c r="BR114" s="36"/>
      <c r="BS114" s="36"/>
      <c r="BT114" s="36">
        <v>1280.0001654155276</v>
      </c>
      <c r="BU114" s="36"/>
      <c r="BV114" s="36"/>
      <c r="BW114" s="36"/>
      <c r="BX114" s="36"/>
      <c r="BY114" s="36"/>
      <c r="BZ114" s="36"/>
      <c r="CA114" s="36"/>
      <c r="CB114" s="36"/>
      <c r="CC114" s="37">
        <v>1280.0001654155276</v>
      </c>
    </row>
    <row r="115" spans="2:81" s="22" customFormat="1" ht="14.5" outlineLevel="1" x14ac:dyDescent="0.35">
      <c r="B115" s="25" t="s">
        <v>100</v>
      </c>
      <c r="C115" s="23" t="s">
        <v>21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1"/>
      <c r="Q115" s="20"/>
      <c r="R115" s="20"/>
      <c r="S115" s="20"/>
      <c r="T115" s="20"/>
      <c r="U115" s="20">
        <v>22000</v>
      </c>
      <c r="V115" s="20"/>
      <c r="W115" s="20"/>
      <c r="X115" s="20">
        <v>44000</v>
      </c>
      <c r="Y115" s="20"/>
      <c r="Z115" s="20"/>
      <c r="AA115" s="20"/>
      <c r="AB115" s="20"/>
      <c r="AC115" s="21">
        <v>66000</v>
      </c>
      <c r="AD115" s="20">
        <v>22000</v>
      </c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>
        <v>22000</v>
      </c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7"/>
      <c r="BD115" s="36"/>
      <c r="BE115" s="36"/>
      <c r="BF115" s="36"/>
      <c r="BG115" s="36"/>
      <c r="BH115" s="36">
        <v>1291.3123630379257</v>
      </c>
      <c r="BI115" s="36"/>
      <c r="BJ115" s="36"/>
      <c r="BK115" s="36">
        <v>1241.1652001836273</v>
      </c>
      <c r="BL115" s="36"/>
      <c r="BM115" s="36"/>
      <c r="BN115" s="36"/>
      <c r="BO115" s="36"/>
      <c r="BP115" s="37">
        <v>1257.8809211350601</v>
      </c>
      <c r="BQ115" s="36">
        <v>1177.4928689984342</v>
      </c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7">
        <v>1177.4928689984342</v>
      </c>
    </row>
    <row r="116" spans="2:81" s="22" customFormat="1" ht="14.5" outlineLevel="1" x14ac:dyDescent="0.35">
      <c r="B116" s="25" t="s">
        <v>100</v>
      </c>
      <c r="C116" s="23" t="s">
        <v>105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1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1"/>
      <c r="AD116" s="20"/>
      <c r="AE116" s="20"/>
      <c r="AF116" s="20">
        <v>50</v>
      </c>
      <c r="AG116" s="20"/>
      <c r="AH116" s="20"/>
      <c r="AI116" s="20"/>
      <c r="AJ116" s="20"/>
      <c r="AK116" s="20"/>
      <c r="AL116" s="20"/>
      <c r="AM116" s="20"/>
      <c r="AN116" s="20"/>
      <c r="AO116" s="20"/>
      <c r="AP116" s="21">
        <v>50</v>
      </c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7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7"/>
      <c r="BQ116" s="36"/>
      <c r="BR116" s="36"/>
      <c r="BS116" s="36">
        <v>1317.4019892933643</v>
      </c>
      <c r="BT116" s="36"/>
      <c r="BU116" s="36"/>
      <c r="BV116" s="36"/>
      <c r="BW116" s="36"/>
      <c r="BX116" s="36"/>
      <c r="BY116" s="36"/>
      <c r="BZ116" s="36"/>
      <c r="CA116" s="36"/>
      <c r="CB116" s="36"/>
      <c r="CC116" s="37">
        <v>1317.4019892933643</v>
      </c>
    </row>
    <row r="117" spans="2:81" s="22" customFormat="1" ht="14.5" outlineLevel="1" x14ac:dyDescent="0.35">
      <c r="B117" s="25" t="s">
        <v>100</v>
      </c>
      <c r="C117" s="23" t="s">
        <v>106</v>
      </c>
      <c r="D117" s="20"/>
      <c r="E117" s="20"/>
      <c r="F117" s="20"/>
      <c r="G117" s="20"/>
      <c r="H117" s="20">
        <v>22000</v>
      </c>
      <c r="I117" s="20"/>
      <c r="J117" s="20"/>
      <c r="K117" s="20"/>
      <c r="L117" s="20">
        <v>88000</v>
      </c>
      <c r="M117" s="20"/>
      <c r="N117" s="20"/>
      <c r="O117" s="20"/>
      <c r="P117" s="21">
        <v>110000</v>
      </c>
      <c r="Q117" s="20"/>
      <c r="R117" s="20">
        <v>110000</v>
      </c>
      <c r="S117" s="20"/>
      <c r="T117" s="20">
        <v>22000</v>
      </c>
      <c r="U117" s="20"/>
      <c r="V117" s="20"/>
      <c r="W117" s="20">
        <v>44000</v>
      </c>
      <c r="X117" s="20"/>
      <c r="Y117" s="20"/>
      <c r="Z117" s="20"/>
      <c r="AA117" s="20"/>
      <c r="AB117" s="20"/>
      <c r="AC117" s="21">
        <v>176000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36"/>
      <c r="AR117" s="36"/>
      <c r="AS117" s="36"/>
      <c r="AT117" s="36"/>
      <c r="AU117" s="36">
        <v>1221.7219690966722</v>
      </c>
      <c r="AV117" s="36"/>
      <c r="AW117" s="36"/>
      <c r="AX117" s="36"/>
      <c r="AY117" s="36">
        <v>1257.0682429506926</v>
      </c>
      <c r="AZ117" s="36"/>
      <c r="BA117" s="36"/>
      <c r="BB117" s="36"/>
      <c r="BC117" s="37">
        <v>1249.9989881798886</v>
      </c>
      <c r="BD117" s="36"/>
      <c r="BE117" s="36">
        <v>1266.1129784707186</v>
      </c>
      <c r="BF117" s="36"/>
      <c r="BG117" s="36">
        <v>1262.4112572247498</v>
      </c>
      <c r="BH117" s="36"/>
      <c r="BI117" s="36"/>
      <c r="BJ117" s="36">
        <v>1254.1755496606872</v>
      </c>
      <c r="BK117" s="36"/>
      <c r="BL117" s="36"/>
      <c r="BM117" s="36"/>
      <c r="BN117" s="36"/>
      <c r="BO117" s="36"/>
      <c r="BP117" s="37">
        <v>1262.6659061124647</v>
      </c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7"/>
    </row>
    <row r="118" spans="2:81" s="22" customFormat="1" ht="14.5" outlineLevel="1" x14ac:dyDescent="0.35">
      <c r="B118" s="25" t="s">
        <v>100</v>
      </c>
      <c r="C118" s="23" t="s">
        <v>107</v>
      </c>
      <c r="D118" s="20"/>
      <c r="E118" s="20"/>
      <c r="F118" s="20"/>
      <c r="G118" s="20"/>
      <c r="H118" s="20"/>
      <c r="I118" s="20"/>
      <c r="J118" s="20"/>
      <c r="K118" s="20"/>
      <c r="L118" s="20">
        <v>4400</v>
      </c>
      <c r="M118" s="20"/>
      <c r="N118" s="20"/>
      <c r="O118" s="20"/>
      <c r="P118" s="21">
        <v>4400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1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1"/>
      <c r="AQ118" s="36"/>
      <c r="AR118" s="36"/>
      <c r="AS118" s="36"/>
      <c r="AT118" s="36"/>
      <c r="AU118" s="36"/>
      <c r="AV118" s="36"/>
      <c r="AW118" s="36"/>
      <c r="AX118" s="36"/>
      <c r="AY118" s="36">
        <v>1156.7488251677869</v>
      </c>
      <c r="AZ118" s="36"/>
      <c r="BA118" s="36"/>
      <c r="BB118" s="36"/>
      <c r="BC118" s="37">
        <v>1156.7488251677869</v>
      </c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7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7"/>
    </row>
    <row r="119" spans="2:81" s="22" customFormat="1" ht="14.5" outlineLevel="1" x14ac:dyDescent="0.35">
      <c r="B119" s="25" t="s">
        <v>100</v>
      </c>
      <c r="C119" s="23" t="s">
        <v>108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>
        <v>100</v>
      </c>
      <c r="O119" s="20"/>
      <c r="P119" s="21">
        <v>100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1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1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>
        <v>1371.6701856141995</v>
      </c>
      <c r="BB119" s="36"/>
      <c r="BC119" s="37">
        <v>1371.6701856141995</v>
      </c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7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7"/>
    </row>
    <row r="120" spans="2:81" s="22" customFormat="1" ht="14.5" outlineLevel="1" x14ac:dyDescent="0.35">
      <c r="B120" s="25" t="s">
        <v>100</v>
      </c>
      <c r="C120" s="23" t="s">
        <v>22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1"/>
      <c r="Q120" s="20"/>
      <c r="R120" s="20">
        <v>440000</v>
      </c>
      <c r="S120" s="20">
        <v>66000</v>
      </c>
      <c r="T120" s="20">
        <v>88000</v>
      </c>
      <c r="U120" s="20">
        <v>374000</v>
      </c>
      <c r="V120" s="20"/>
      <c r="W120" s="20"/>
      <c r="X120" s="20"/>
      <c r="Y120" s="20"/>
      <c r="Z120" s="20"/>
      <c r="AA120" s="20"/>
      <c r="AB120" s="20">
        <v>154000</v>
      </c>
      <c r="AC120" s="21">
        <v>1122000</v>
      </c>
      <c r="AD120" s="20"/>
      <c r="AE120" s="20">
        <v>154000</v>
      </c>
      <c r="AF120" s="20">
        <v>44000</v>
      </c>
      <c r="AG120" s="20"/>
      <c r="AH120" s="20"/>
      <c r="AI120" s="20"/>
      <c r="AJ120" s="20"/>
      <c r="AK120" s="20"/>
      <c r="AL120" s="20"/>
      <c r="AM120" s="20"/>
      <c r="AN120" s="20"/>
      <c r="AO120" s="20"/>
      <c r="AP120" s="21">
        <v>198000</v>
      </c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7"/>
      <c r="BD120" s="36"/>
      <c r="BE120" s="36">
        <v>1245.4717091567677</v>
      </c>
      <c r="BF120" s="36">
        <v>1292.9466553328562</v>
      </c>
      <c r="BG120" s="36">
        <v>1315.2899738733297</v>
      </c>
      <c r="BH120" s="36">
        <v>1300.1185376241542</v>
      </c>
      <c r="BI120" s="36"/>
      <c r="BJ120" s="36"/>
      <c r="BK120" s="36"/>
      <c r="BL120" s="36"/>
      <c r="BM120" s="36"/>
      <c r="BN120" s="36"/>
      <c r="BO120" s="36">
        <v>1171.1735776239934</v>
      </c>
      <c r="BP120" s="37">
        <v>1261.7581221099178</v>
      </c>
      <c r="BQ120" s="36"/>
      <c r="BR120" s="36">
        <v>1180.7220621935953</v>
      </c>
      <c r="BS120" s="36">
        <v>1171.8424589326698</v>
      </c>
      <c r="BT120" s="36"/>
      <c r="BU120" s="36"/>
      <c r="BV120" s="36"/>
      <c r="BW120" s="36"/>
      <c r="BX120" s="36"/>
      <c r="BY120" s="36"/>
      <c r="BZ120" s="36"/>
      <c r="CA120" s="36"/>
      <c r="CB120" s="36"/>
      <c r="CC120" s="37">
        <v>1178.7488170245006</v>
      </c>
    </row>
    <row r="121" spans="2:81" s="22" customFormat="1" ht="14.5" outlineLevel="1" x14ac:dyDescent="0.35">
      <c r="B121" s="25" t="s">
        <v>100</v>
      </c>
      <c r="C121" s="23" t="s">
        <v>109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1"/>
      <c r="Q121" s="20"/>
      <c r="R121" s="20"/>
      <c r="S121" s="20"/>
      <c r="T121" s="20">
        <v>105000</v>
      </c>
      <c r="U121" s="20">
        <v>105000</v>
      </c>
      <c r="V121" s="20"/>
      <c r="W121" s="20"/>
      <c r="X121" s="20"/>
      <c r="Y121" s="20"/>
      <c r="Z121" s="20"/>
      <c r="AA121" s="20"/>
      <c r="AB121" s="20"/>
      <c r="AC121" s="21">
        <v>210000</v>
      </c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7"/>
      <c r="BD121" s="36"/>
      <c r="BE121" s="36"/>
      <c r="BF121" s="36"/>
      <c r="BG121" s="36">
        <v>1259.2054628579406</v>
      </c>
      <c r="BH121" s="36">
        <v>1259.9119784338702</v>
      </c>
      <c r="BI121" s="36"/>
      <c r="BJ121" s="36"/>
      <c r="BK121" s="36"/>
      <c r="BL121" s="36"/>
      <c r="BM121" s="36"/>
      <c r="BN121" s="36"/>
      <c r="BO121" s="36"/>
      <c r="BP121" s="37">
        <v>1259.5587206459056</v>
      </c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7"/>
    </row>
    <row r="122" spans="2:81" s="22" customFormat="1" ht="14.5" outlineLevel="1" x14ac:dyDescent="0.35">
      <c r="B122" s="25" t="s">
        <v>100</v>
      </c>
      <c r="C122" s="23" t="s">
        <v>110</v>
      </c>
      <c r="D122" s="20"/>
      <c r="E122" s="20"/>
      <c r="F122" s="20"/>
      <c r="G122" s="20"/>
      <c r="H122" s="20"/>
      <c r="I122" s="20"/>
      <c r="J122" s="20"/>
      <c r="K122" s="20">
        <v>44000</v>
      </c>
      <c r="L122" s="20"/>
      <c r="M122" s="20"/>
      <c r="N122" s="20"/>
      <c r="O122" s="20"/>
      <c r="P122" s="21">
        <v>44000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1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1"/>
      <c r="AQ122" s="36"/>
      <c r="AR122" s="36"/>
      <c r="AS122" s="36"/>
      <c r="AT122" s="36"/>
      <c r="AU122" s="36"/>
      <c r="AV122" s="36"/>
      <c r="AW122" s="36"/>
      <c r="AX122" s="36">
        <v>1236.6683756430734</v>
      </c>
      <c r="AY122" s="36"/>
      <c r="AZ122" s="36"/>
      <c r="BA122" s="36"/>
      <c r="BB122" s="36"/>
      <c r="BC122" s="37">
        <v>1236.6683756430734</v>
      </c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7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7"/>
    </row>
    <row r="123" spans="2:81" s="22" customFormat="1" ht="14.5" outlineLevel="1" x14ac:dyDescent="0.35">
      <c r="B123" s="25" t="s">
        <v>100</v>
      </c>
      <c r="C123" s="23" t="s">
        <v>111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>
        <v>88000</v>
      </c>
      <c r="O123" s="20"/>
      <c r="P123" s="21">
        <v>88000</v>
      </c>
      <c r="Q123" s="20">
        <v>132000</v>
      </c>
      <c r="R123" s="20"/>
      <c r="S123" s="20">
        <v>44000</v>
      </c>
      <c r="T123" s="20">
        <v>88000</v>
      </c>
      <c r="U123" s="20"/>
      <c r="V123" s="20"/>
      <c r="W123" s="20"/>
      <c r="X123" s="20"/>
      <c r="Y123" s="20"/>
      <c r="Z123" s="20"/>
      <c r="AA123" s="20"/>
      <c r="AB123" s="20"/>
      <c r="AC123" s="21">
        <v>264000</v>
      </c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>
        <v>1264.982702392969</v>
      </c>
      <c r="BB123" s="36"/>
      <c r="BC123" s="37">
        <v>1264.982702392969</v>
      </c>
      <c r="BD123" s="36">
        <v>1261.0360089846019</v>
      </c>
      <c r="BE123" s="36"/>
      <c r="BF123" s="36">
        <v>1283.5179080171797</v>
      </c>
      <c r="BG123" s="36">
        <v>1288.8727917190358</v>
      </c>
      <c r="BH123" s="36"/>
      <c r="BI123" s="36"/>
      <c r="BJ123" s="36"/>
      <c r="BK123" s="36"/>
      <c r="BL123" s="36"/>
      <c r="BM123" s="36"/>
      <c r="BN123" s="36"/>
      <c r="BO123" s="36"/>
      <c r="BP123" s="37">
        <v>1274.0619197348431</v>
      </c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7"/>
    </row>
    <row r="124" spans="2:81" s="22" customFormat="1" ht="14.5" outlineLevel="1" x14ac:dyDescent="0.35">
      <c r="B124" s="25" t="s">
        <v>100</v>
      </c>
      <c r="C124" s="23" t="s">
        <v>112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1"/>
      <c r="Q124" s="20"/>
      <c r="R124" s="20">
        <v>220000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1">
        <v>220000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1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7"/>
      <c r="BD124" s="36"/>
      <c r="BE124" s="36">
        <v>1225.2796428908123</v>
      </c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7">
        <v>1225.2796428908123</v>
      </c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7"/>
    </row>
    <row r="125" spans="2:81" s="22" customFormat="1" ht="14.5" outlineLevel="1" x14ac:dyDescent="0.35">
      <c r="B125" s="25" t="s">
        <v>100</v>
      </c>
      <c r="C125" s="23" t="s">
        <v>113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>
        <v>4400</v>
      </c>
      <c r="O125" s="20">
        <v>5500</v>
      </c>
      <c r="P125" s="21">
        <v>9900</v>
      </c>
      <c r="Q125" s="20"/>
      <c r="R125" s="20">
        <v>4400</v>
      </c>
      <c r="S125" s="20">
        <v>12100</v>
      </c>
      <c r="T125" s="20">
        <v>6600</v>
      </c>
      <c r="U125" s="20">
        <v>11000</v>
      </c>
      <c r="V125" s="20">
        <v>44000</v>
      </c>
      <c r="W125" s="20">
        <v>33000</v>
      </c>
      <c r="X125" s="20">
        <v>11000</v>
      </c>
      <c r="Y125" s="20">
        <v>3300</v>
      </c>
      <c r="Z125" s="20">
        <v>27500</v>
      </c>
      <c r="AA125" s="20">
        <v>20900</v>
      </c>
      <c r="AB125" s="20">
        <v>13200</v>
      </c>
      <c r="AC125" s="21">
        <v>187000</v>
      </c>
      <c r="AD125" s="20">
        <v>3300</v>
      </c>
      <c r="AE125" s="20">
        <v>8800</v>
      </c>
      <c r="AF125" s="20">
        <v>31900</v>
      </c>
      <c r="AG125" s="20">
        <v>17600</v>
      </c>
      <c r="AH125" s="20"/>
      <c r="AI125" s="20"/>
      <c r="AJ125" s="20"/>
      <c r="AK125" s="20"/>
      <c r="AL125" s="20"/>
      <c r="AM125" s="20"/>
      <c r="AN125" s="20"/>
      <c r="AO125" s="20"/>
      <c r="AP125" s="21">
        <v>61600</v>
      </c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>
        <v>1365.7395240306428</v>
      </c>
      <c r="BB125" s="36">
        <v>1368.8868477752603</v>
      </c>
      <c r="BC125" s="37">
        <v>1367.4880372220969</v>
      </c>
      <c r="BD125" s="36"/>
      <c r="BE125" s="36">
        <v>1298.3580240436493</v>
      </c>
      <c r="BF125" s="36">
        <v>1293.2653388748206</v>
      </c>
      <c r="BG125" s="36">
        <v>1297.719479353724</v>
      </c>
      <c r="BH125" s="36">
        <v>1312.2161536985468</v>
      </c>
      <c r="BI125" s="36">
        <v>1296.9072692001641</v>
      </c>
      <c r="BJ125" s="36">
        <v>1296.1064103124475</v>
      </c>
      <c r="BK125" s="36">
        <v>1289.1018081797254</v>
      </c>
      <c r="BL125" s="36">
        <v>1273.3614070094804</v>
      </c>
      <c r="BM125" s="36">
        <v>1273.3906251325327</v>
      </c>
      <c r="BN125" s="36">
        <v>1265.0085764451653</v>
      </c>
      <c r="BO125" s="36">
        <v>1273.3789114304809</v>
      </c>
      <c r="BP125" s="37">
        <v>1287.9346478532257</v>
      </c>
      <c r="BQ125" s="36">
        <v>1268.7802761581713</v>
      </c>
      <c r="BR125" s="36">
        <v>1277.1796177032368</v>
      </c>
      <c r="BS125" s="36">
        <v>1269.9583679872476</v>
      </c>
      <c r="BT125" s="36">
        <v>1267.7207604286543</v>
      </c>
      <c r="BU125" s="36"/>
      <c r="BV125" s="36"/>
      <c r="BW125" s="36"/>
      <c r="BX125" s="36"/>
      <c r="BY125" s="36"/>
      <c r="BZ125" s="36"/>
      <c r="CA125" s="36"/>
      <c r="CB125" s="36"/>
      <c r="CC125" s="37">
        <v>1270.2875465819475</v>
      </c>
    </row>
    <row r="126" spans="2:81" s="22" customFormat="1" ht="14.5" outlineLevel="1" x14ac:dyDescent="0.35">
      <c r="B126" s="25" t="s">
        <v>100</v>
      </c>
      <c r="C126" s="23" t="s">
        <v>114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1"/>
      <c r="Q126" s="20"/>
      <c r="R126" s="20"/>
      <c r="S126" s="20"/>
      <c r="T126" s="20"/>
      <c r="U126" s="20">
        <v>22000</v>
      </c>
      <c r="V126" s="20"/>
      <c r="W126" s="20"/>
      <c r="X126" s="20"/>
      <c r="Y126" s="20"/>
      <c r="Z126" s="20"/>
      <c r="AA126" s="20"/>
      <c r="AB126" s="20"/>
      <c r="AC126" s="21">
        <v>22000</v>
      </c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1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7"/>
      <c r="BD126" s="36"/>
      <c r="BE126" s="36"/>
      <c r="BF126" s="36"/>
      <c r="BG126" s="36"/>
      <c r="BH126" s="36">
        <v>1298.2807963483913</v>
      </c>
      <c r="BI126" s="36"/>
      <c r="BJ126" s="36"/>
      <c r="BK126" s="36"/>
      <c r="BL126" s="36"/>
      <c r="BM126" s="36"/>
      <c r="BN126" s="36"/>
      <c r="BO126" s="36"/>
      <c r="BP126" s="37">
        <v>1298.2807963483913</v>
      </c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7"/>
    </row>
    <row r="127" spans="2:81" s="22" customFormat="1" ht="14.5" outlineLevel="1" x14ac:dyDescent="0.35">
      <c r="B127" s="25" t="s">
        <v>100</v>
      </c>
      <c r="C127" s="23" t="s">
        <v>25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>
        <v>1100</v>
      </c>
      <c r="P127" s="21">
        <v>1100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1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>
        <v>1242.2680321371374</v>
      </c>
      <c r="BC127" s="37">
        <v>1242.2680321371374</v>
      </c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7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7"/>
    </row>
    <row r="128" spans="2:81" s="22" customFormat="1" ht="14.5" outlineLevel="1" x14ac:dyDescent="0.35">
      <c r="B128" s="25" t="s">
        <v>100</v>
      </c>
      <c r="C128" s="23" t="s">
        <v>83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1"/>
      <c r="Q128" s="20"/>
      <c r="R128" s="20"/>
      <c r="S128" s="20"/>
      <c r="T128" s="20"/>
      <c r="U128" s="20"/>
      <c r="V128" s="20">
        <v>25</v>
      </c>
      <c r="W128" s="20"/>
      <c r="X128" s="20"/>
      <c r="Y128" s="20"/>
      <c r="Z128" s="20"/>
      <c r="AA128" s="20"/>
      <c r="AB128" s="20"/>
      <c r="AC128" s="21">
        <v>25</v>
      </c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1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7"/>
      <c r="BD128" s="36"/>
      <c r="BE128" s="36"/>
      <c r="BF128" s="36"/>
      <c r="BG128" s="36"/>
      <c r="BH128" s="36"/>
      <c r="BI128" s="36">
        <v>1319.703488282531</v>
      </c>
      <c r="BJ128" s="36"/>
      <c r="BK128" s="36"/>
      <c r="BL128" s="36"/>
      <c r="BM128" s="36"/>
      <c r="BN128" s="36"/>
      <c r="BO128" s="36"/>
      <c r="BP128" s="37">
        <v>1319.703488282531</v>
      </c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7"/>
    </row>
    <row r="129" spans="1:81" s="22" customFormat="1" ht="14.5" outlineLevel="1" x14ac:dyDescent="0.35">
      <c r="B129" s="25" t="s">
        <v>100</v>
      </c>
      <c r="C129" s="23" t="s">
        <v>86</v>
      </c>
      <c r="D129" s="20">
        <v>572000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1">
        <v>572000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1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/>
      <c r="AQ129" s="36">
        <v>1111.2346601931972</v>
      </c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7">
        <v>1111.2346601931972</v>
      </c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7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7"/>
    </row>
    <row r="130" spans="1:81" s="22" customFormat="1" ht="14.5" outlineLevel="1" x14ac:dyDescent="0.35">
      <c r="B130" s="25" t="s">
        <v>100</v>
      </c>
      <c r="C130" s="23" t="s">
        <v>115</v>
      </c>
      <c r="D130" s="20"/>
      <c r="E130" s="20"/>
      <c r="F130" s="20"/>
      <c r="G130" s="20">
        <v>660000</v>
      </c>
      <c r="H130" s="20"/>
      <c r="I130" s="20"/>
      <c r="J130" s="20"/>
      <c r="K130" s="20"/>
      <c r="L130" s="20">
        <v>770000</v>
      </c>
      <c r="M130" s="20">
        <v>220000</v>
      </c>
      <c r="N130" s="20"/>
      <c r="O130" s="20"/>
      <c r="P130" s="21">
        <v>1650000</v>
      </c>
      <c r="Q130" s="20"/>
      <c r="R130" s="20">
        <v>880000</v>
      </c>
      <c r="S130" s="20">
        <v>880000</v>
      </c>
      <c r="T130" s="20">
        <v>880000</v>
      </c>
      <c r="U130" s="20">
        <v>880000</v>
      </c>
      <c r="V130" s="20">
        <v>880000</v>
      </c>
      <c r="W130" s="20">
        <v>880000</v>
      </c>
      <c r="X130" s="20">
        <v>880000</v>
      </c>
      <c r="Y130" s="20"/>
      <c r="Z130" s="20"/>
      <c r="AA130" s="20"/>
      <c r="AB130" s="20"/>
      <c r="AC130" s="21">
        <v>6160000</v>
      </c>
      <c r="AD130" s="20"/>
      <c r="AE130" s="20"/>
      <c r="AF130" s="20">
        <v>990000</v>
      </c>
      <c r="AG130" s="20"/>
      <c r="AH130" s="20"/>
      <c r="AI130" s="20"/>
      <c r="AJ130" s="20"/>
      <c r="AK130" s="20"/>
      <c r="AL130" s="20"/>
      <c r="AM130" s="20"/>
      <c r="AN130" s="20"/>
      <c r="AO130" s="20"/>
      <c r="AP130" s="21">
        <v>990000</v>
      </c>
      <c r="AQ130" s="36"/>
      <c r="AR130" s="36"/>
      <c r="AS130" s="36"/>
      <c r="AT130" s="36">
        <v>1259.8459561446098</v>
      </c>
      <c r="AU130" s="36"/>
      <c r="AV130" s="36"/>
      <c r="AW130" s="36"/>
      <c r="AX130" s="36"/>
      <c r="AY130" s="36">
        <v>1238.5047416219672</v>
      </c>
      <c r="AZ130" s="36">
        <v>1247.1306468173937</v>
      </c>
      <c r="BA130" s="36"/>
      <c r="BB130" s="36"/>
      <c r="BC130" s="37">
        <v>1248.1913481237489</v>
      </c>
      <c r="BD130" s="36"/>
      <c r="BE130" s="36">
        <v>1231.5599905457984</v>
      </c>
      <c r="BF130" s="36">
        <v>1231.0385069380955</v>
      </c>
      <c r="BG130" s="36">
        <v>1230.6675638214542</v>
      </c>
      <c r="BH130" s="36">
        <v>1230.6635861980167</v>
      </c>
      <c r="BI130" s="36">
        <v>1230.6675052336161</v>
      </c>
      <c r="BJ130" s="36">
        <v>1230.8383890030527</v>
      </c>
      <c r="BK130" s="36">
        <v>1230.9831127499199</v>
      </c>
      <c r="BL130" s="36"/>
      <c r="BM130" s="36"/>
      <c r="BN130" s="36"/>
      <c r="BO130" s="36"/>
      <c r="BP130" s="37">
        <v>1230.9169506414205</v>
      </c>
      <c r="BQ130" s="36"/>
      <c r="BR130" s="36"/>
      <c r="BS130" s="36">
        <v>1119.5439480156913</v>
      </c>
      <c r="BT130" s="36"/>
      <c r="BU130" s="36"/>
      <c r="BV130" s="36"/>
      <c r="BW130" s="36"/>
      <c r="BX130" s="36"/>
      <c r="BY130" s="36"/>
      <c r="BZ130" s="36"/>
      <c r="CA130" s="36"/>
      <c r="CB130" s="36"/>
      <c r="CC130" s="37">
        <v>1119.5439480156913</v>
      </c>
    </row>
    <row r="131" spans="1:81" s="22" customFormat="1" ht="14.5" outlineLevel="1" x14ac:dyDescent="0.35">
      <c r="B131" s="25" t="s">
        <v>100</v>
      </c>
      <c r="C131" s="23" t="s">
        <v>116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1"/>
      <c r="Q131" s="20"/>
      <c r="R131" s="20">
        <v>66000</v>
      </c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1">
        <v>66000</v>
      </c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1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7"/>
      <c r="BD131" s="36"/>
      <c r="BE131" s="36">
        <v>1281.3012192245626</v>
      </c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7">
        <v>1281.3012192245626</v>
      </c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7"/>
    </row>
    <row r="132" spans="1:81" s="22" customFormat="1" ht="14.5" outlineLevel="1" x14ac:dyDescent="0.35">
      <c r="B132" s="25" t="s">
        <v>100</v>
      </c>
      <c r="C132" s="23" t="s">
        <v>117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>
        <v>83600</v>
      </c>
      <c r="N132" s="20"/>
      <c r="O132" s="20"/>
      <c r="P132" s="21">
        <v>83600</v>
      </c>
      <c r="Q132" s="20"/>
      <c r="R132" s="20">
        <v>22000</v>
      </c>
      <c r="S132" s="20"/>
      <c r="T132" s="20"/>
      <c r="U132" s="20"/>
      <c r="V132" s="20"/>
      <c r="W132" s="20"/>
      <c r="X132" s="20"/>
      <c r="Y132" s="20"/>
      <c r="Z132" s="20">
        <v>22000</v>
      </c>
      <c r="AA132" s="20"/>
      <c r="AB132" s="20"/>
      <c r="AC132" s="21">
        <v>44000</v>
      </c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1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>
        <v>1274.1758332275481</v>
      </c>
      <c r="BA132" s="36"/>
      <c r="BB132" s="36"/>
      <c r="BC132" s="37">
        <v>1274.1758332275481</v>
      </c>
      <c r="BD132" s="36"/>
      <c r="BE132" s="36">
        <v>1239.4314308078508</v>
      </c>
      <c r="BF132" s="36"/>
      <c r="BG132" s="36"/>
      <c r="BH132" s="36"/>
      <c r="BI132" s="36"/>
      <c r="BJ132" s="36"/>
      <c r="BK132" s="36"/>
      <c r="BL132" s="36"/>
      <c r="BM132" s="36">
        <v>1223.5292561992246</v>
      </c>
      <c r="BN132" s="36"/>
      <c r="BO132" s="36"/>
      <c r="BP132" s="37">
        <v>1231.4803435035381</v>
      </c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7"/>
    </row>
    <row r="133" spans="1:81" s="22" customFormat="1" ht="14.5" outlineLevel="1" x14ac:dyDescent="0.35">
      <c r="B133" s="25" t="s">
        <v>100</v>
      </c>
      <c r="C133" s="23" t="s">
        <v>118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1"/>
      <c r="Q133" s="20"/>
      <c r="R133" s="20">
        <v>22000</v>
      </c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1">
        <v>22000</v>
      </c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1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7"/>
      <c r="BD133" s="36"/>
      <c r="BE133" s="36">
        <v>1246.0783754547933</v>
      </c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7">
        <v>1246.0783754547933</v>
      </c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7"/>
    </row>
    <row r="134" spans="1:81" s="22" customFormat="1" ht="14.5" outlineLevel="1" x14ac:dyDescent="0.35">
      <c r="B134" s="25" t="s">
        <v>100</v>
      </c>
      <c r="C134" s="23" t="s">
        <v>119</v>
      </c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1"/>
      <c r="Q134" s="20"/>
      <c r="R134" s="20">
        <v>22000</v>
      </c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1">
        <v>22000</v>
      </c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1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7"/>
      <c r="BD134" s="36"/>
      <c r="BE134" s="36">
        <v>1258.8243957417631</v>
      </c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7">
        <v>1258.8243957417631</v>
      </c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7"/>
    </row>
    <row r="135" spans="1:81" s="22" customFormat="1" ht="14.5" outlineLevel="1" x14ac:dyDescent="0.35">
      <c r="B135" s="25" t="s">
        <v>100</v>
      </c>
      <c r="C135" s="23" t="s">
        <v>120</v>
      </c>
      <c r="D135" s="20"/>
      <c r="E135" s="20"/>
      <c r="F135" s="20"/>
      <c r="G135" s="20">
        <v>4400</v>
      </c>
      <c r="H135" s="20"/>
      <c r="I135" s="20"/>
      <c r="J135" s="20"/>
      <c r="K135" s="20"/>
      <c r="L135" s="20"/>
      <c r="M135" s="20"/>
      <c r="N135" s="20"/>
      <c r="O135" s="20"/>
      <c r="P135" s="21">
        <v>4400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1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1"/>
      <c r="AQ135" s="36"/>
      <c r="AR135" s="36"/>
      <c r="AS135" s="36"/>
      <c r="AT135" s="36">
        <v>1318.3265283301032</v>
      </c>
      <c r="AU135" s="36"/>
      <c r="AV135" s="36"/>
      <c r="AW135" s="36"/>
      <c r="AX135" s="36"/>
      <c r="AY135" s="36"/>
      <c r="AZ135" s="36"/>
      <c r="BA135" s="36"/>
      <c r="BB135" s="36"/>
      <c r="BC135" s="37">
        <v>1318.3265283301032</v>
      </c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7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7"/>
    </row>
    <row r="136" spans="1:81" s="22" customFormat="1" ht="14.5" outlineLevel="1" x14ac:dyDescent="0.35">
      <c r="B136" s="25" t="s">
        <v>100</v>
      </c>
      <c r="C136" s="23" t="s">
        <v>30</v>
      </c>
      <c r="D136" s="20"/>
      <c r="E136" s="20"/>
      <c r="F136" s="20"/>
      <c r="G136" s="20"/>
      <c r="H136" s="20"/>
      <c r="I136" s="20"/>
      <c r="J136" s="20">
        <v>2200</v>
      </c>
      <c r="K136" s="20"/>
      <c r="L136" s="20"/>
      <c r="M136" s="20"/>
      <c r="N136" s="20"/>
      <c r="O136" s="20"/>
      <c r="P136" s="21">
        <v>2200</v>
      </c>
      <c r="Q136" s="20">
        <v>3300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1">
        <v>3300</v>
      </c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1"/>
      <c r="AQ136" s="36"/>
      <c r="AR136" s="36"/>
      <c r="AS136" s="36"/>
      <c r="AT136" s="36"/>
      <c r="AU136" s="36"/>
      <c r="AV136" s="36"/>
      <c r="AW136" s="36">
        <v>1404.9425658132886</v>
      </c>
      <c r="AX136" s="36"/>
      <c r="AY136" s="36"/>
      <c r="AZ136" s="36"/>
      <c r="BA136" s="36"/>
      <c r="BB136" s="36"/>
      <c r="BC136" s="37">
        <v>1404.9425658132886</v>
      </c>
      <c r="BD136" s="36">
        <v>1402.3529081734696</v>
      </c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7">
        <v>1402.3529081734696</v>
      </c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7"/>
    </row>
    <row r="137" spans="1:81" s="22" customFormat="1" ht="14.5" outlineLevel="1" x14ac:dyDescent="0.35">
      <c r="B137" s="25" t="s">
        <v>100</v>
      </c>
      <c r="C137" s="23" t="s">
        <v>32</v>
      </c>
      <c r="D137" s="20"/>
      <c r="E137" s="20"/>
      <c r="F137" s="20"/>
      <c r="G137" s="20">
        <v>4400</v>
      </c>
      <c r="H137" s="20"/>
      <c r="I137" s="20">
        <v>92400</v>
      </c>
      <c r="J137" s="20"/>
      <c r="K137" s="20">
        <v>-74800</v>
      </c>
      <c r="L137" s="20"/>
      <c r="M137" s="20">
        <v>4400</v>
      </c>
      <c r="N137" s="20"/>
      <c r="O137" s="20"/>
      <c r="P137" s="21">
        <v>26400</v>
      </c>
      <c r="Q137" s="20">
        <v>4400</v>
      </c>
      <c r="R137" s="20">
        <v>154000</v>
      </c>
      <c r="S137" s="20">
        <v>-1100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21">
        <v>157300</v>
      </c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1"/>
      <c r="AQ137" s="36"/>
      <c r="AR137" s="36"/>
      <c r="AS137" s="36"/>
      <c r="AT137" s="36">
        <v>1318.3265247016373</v>
      </c>
      <c r="AU137" s="36"/>
      <c r="AV137" s="36">
        <v>1353.2539180982815</v>
      </c>
      <c r="AW137" s="36"/>
      <c r="AX137" s="36">
        <v>1462.0018301384671</v>
      </c>
      <c r="AY137" s="36"/>
      <c r="AZ137" s="36">
        <v>1346.2298066225321</v>
      </c>
      <c r="BA137" s="36"/>
      <c r="BB137" s="36"/>
      <c r="BC137" s="37">
        <v>1038.1429165056911</v>
      </c>
      <c r="BD137" s="36">
        <v>1382.4290384678247</v>
      </c>
      <c r="BE137" s="36">
        <v>1387.7925695186475</v>
      </c>
      <c r="BF137" s="36">
        <v>1444.1372806991919</v>
      </c>
      <c r="BG137" s="36"/>
      <c r="BH137" s="36"/>
      <c r="BI137" s="36"/>
      <c r="BJ137" s="36"/>
      <c r="BK137" s="36"/>
      <c r="BL137" s="36"/>
      <c r="BM137" s="36"/>
      <c r="BN137" s="36"/>
      <c r="BO137" s="36"/>
      <c r="BP137" s="37">
        <v>1387.2485217187605</v>
      </c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7"/>
    </row>
    <row r="138" spans="1:81" s="22" customFormat="1" ht="14.5" outlineLevel="1" x14ac:dyDescent="0.35">
      <c r="B138" s="25" t="s">
        <v>100</v>
      </c>
      <c r="C138" s="23" t="s">
        <v>121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1"/>
      <c r="Q138" s="20"/>
      <c r="R138" s="20"/>
      <c r="S138" s="20"/>
      <c r="T138" s="20"/>
      <c r="U138" s="20"/>
      <c r="V138" s="20"/>
      <c r="W138" s="20"/>
      <c r="X138" s="20">
        <v>330000</v>
      </c>
      <c r="Y138" s="20"/>
      <c r="Z138" s="20"/>
      <c r="AA138" s="20"/>
      <c r="AB138" s="20"/>
      <c r="AC138" s="21">
        <v>330000</v>
      </c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1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7"/>
      <c r="BD138" s="36"/>
      <c r="BE138" s="36"/>
      <c r="BF138" s="36"/>
      <c r="BG138" s="36"/>
      <c r="BH138" s="36"/>
      <c r="BI138" s="36"/>
      <c r="BJ138" s="36"/>
      <c r="BK138" s="36">
        <v>1079.882733026873</v>
      </c>
      <c r="BL138" s="36"/>
      <c r="BM138" s="36"/>
      <c r="BN138" s="36"/>
      <c r="BO138" s="36"/>
      <c r="BP138" s="37">
        <v>1079.882733026873</v>
      </c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7"/>
    </row>
    <row r="139" spans="1:81" s="22" customFormat="1" ht="14.5" outlineLevel="1" x14ac:dyDescent="0.35">
      <c r="B139" s="25" t="s">
        <v>100</v>
      </c>
      <c r="C139" s="23" t="s">
        <v>9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>
        <v>6600</v>
      </c>
      <c r="N139" s="20">
        <v>9900</v>
      </c>
      <c r="O139" s="20"/>
      <c r="P139" s="21">
        <v>16500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1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1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>
        <v>1266.7034533040799</v>
      </c>
      <c r="BA139" s="36">
        <v>1296.989270472666</v>
      </c>
      <c r="BB139" s="36"/>
      <c r="BC139" s="37">
        <v>1284.8749436052315</v>
      </c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7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7"/>
    </row>
    <row r="140" spans="1:81" s="22" customFormat="1" ht="14.5" outlineLevel="1" x14ac:dyDescent="0.35">
      <c r="B140" s="25" t="s">
        <v>100</v>
      </c>
      <c r="C140" s="23" t="s">
        <v>98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1"/>
      <c r="Q140" s="20"/>
      <c r="R140" s="20"/>
      <c r="S140" s="20"/>
      <c r="T140" s="20"/>
      <c r="U140" s="20"/>
      <c r="V140" s="20"/>
      <c r="W140" s="20">
        <v>0</v>
      </c>
      <c r="X140" s="20"/>
      <c r="Y140" s="20"/>
      <c r="Z140" s="20"/>
      <c r="AA140" s="20"/>
      <c r="AB140" s="20"/>
      <c r="AC140" s="21">
        <v>0</v>
      </c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1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7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7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7"/>
    </row>
    <row r="141" spans="1:81" s="22" customFormat="1" ht="14.5" outlineLevel="1" x14ac:dyDescent="0.35">
      <c r="B141" s="25" t="s">
        <v>100</v>
      </c>
      <c r="C141" s="23" t="s">
        <v>41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1"/>
      <c r="Q141" s="20"/>
      <c r="R141" s="20"/>
      <c r="S141" s="20">
        <v>5500</v>
      </c>
      <c r="T141" s="20"/>
      <c r="U141" s="20"/>
      <c r="V141" s="20"/>
      <c r="W141" s="20"/>
      <c r="X141" s="20"/>
      <c r="Y141" s="20"/>
      <c r="Z141" s="20"/>
      <c r="AA141" s="20"/>
      <c r="AB141" s="20"/>
      <c r="AC141" s="21">
        <v>5500</v>
      </c>
      <c r="AD141" s="20"/>
      <c r="AE141" s="20"/>
      <c r="AF141" s="20"/>
      <c r="AG141" s="20">
        <v>11000</v>
      </c>
      <c r="AH141" s="20"/>
      <c r="AI141" s="20"/>
      <c r="AJ141" s="20"/>
      <c r="AK141" s="20"/>
      <c r="AL141" s="20"/>
      <c r="AM141" s="20"/>
      <c r="AN141" s="20"/>
      <c r="AO141" s="20"/>
      <c r="AP141" s="21">
        <v>11000</v>
      </c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7"/>
      <c r="BD141" s="36"/>
      <c r="BE141" s="36"/>
      <c r="BF141" s="36">
        <v>1293.2653388748208</v>
      </c>
      <c r="BG141" s="36"/>
      <c r="BH141" s="36"/>
      <c r="BI141" s="36"/>
      <c r="BJ141" s="36"/>
      <c r="BK141" s="36"/>
      <c r="BL141" s="36"/>
      <c r="BM141" s="36"/>
      <c r="BN141" s="36"/>
      <c r="BO141" s="36"/>
      <c r="BP141" s="37">
        <v>1293.2653388748208</v>
      </c>
      <c r="BQ141" s="36"/>
      <c r="BR141" s="36"/>
      <c r="BS141" s="36"/>
      <c r="BT141" s="36">
        <v>1281.8924336274417</v>
      </c>
      <c r="BU141" s="36"/>
      <c r="BV141" s="36"/>
      <c r="BW141" s="36"/>
      <c r="BX141" s="36"/>
      <c r="BY141" s="36"/>
      <c r="BZ141" s="36"/>
      <c r="CA141" s="36"/>
      <c r="CB141" s="36"/>
      <c r="CC141" s="37">
        <v>1281.8924336274417</v>
      </c>
    </row>
    <row r="142" spans="1:81" s="22" customFormat="1" ht="14.5" outlineLevel="1" x14ac:dyDescent="0.35">
      <c r="B142" s="25" t="s">
        <v>100</v>
      </c>
      <c r="C142" s="23" t="s">
        <v>122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>
        <v>66000</v>
      </c>
      <c r="O142" s="20"/>
      <c r="P142" s="21">
        <v>66000</v>
      </c>
      <c r="Q142" s="20"/>
      <c r="R142" s="20">
        <v>330000</v>
      </c>
      <c r="S142" s="20">
        <v>770000</v>
      </c>
      <c r="T142" s="20"/>
      <c r="U142" s="20">
        <v>440000</v>
      </c>
      <c r="V142" s="20">
        <v>154000</v>
      </c>
      <c r="W142" s="20"/>
      <c r="X142" s="20"/>
      <c r="Y142" s="20"/>
      <c r="Z142" s="20"/>
      <c r="AA142" s="20"/>
      <c r="AB142" s="20"/>
      <c r="AC142" s="21">
        <v>1694000</v>
      </c>
      <c r="AD142" s="20"/>
      <c r="AE142" s="20">
        <v>330000</v>
      </c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1">
        <v>330000</v>
      </c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>
        <v>1265.6621097132033</v>
      </c>
      <c r="BB142" s="36"/>
      <c r="BC142" s="37">
        <v>1265.6621097132033</v>
      </c>
      <c r="BD142" s="36"/>
      <c r="BE142" s="36">
        <v>1224.4531827423073</v>
      </c>
      <c r="BF142" s="36">
        <v>1225.6717472209493</v>
      </c>
      <c r="BG142" s="36"/>
      <c r="BH142" s="36">
        <v>1283.6761484409712</v>
      </c>
      <c r="BI142" s="36">
        <v>1262.4029383767327</v>
      </c>
      <c r="BJ142" s="36"/>
      <c r="BK142" s="36"/>
      <c r="BL142" s="36"/>
      <c r="BM142" s="36"/>
      <c r="BN142" s="36"/>
      <c r="BO142" s="36"/>
      <c r="BP142" s="37">
        <v>1243.8396419652511</v>
      </c>
      <c r="BQ142" s="36"/>
      <c r="BR142" s="36">
        <v>1122.0279349818875</v>
      </c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7">
        <v>1122.0279349818875</v>
      </c>
    </row>
    <row r="143" spans="1:81" s="22" customFormat="1" ht="14.5" outlineLevel="1" x14ac:dyDescent="0.35">
      <c r="B143" s="25" t="s">
        <v>100</v>
      </c>
      <c r="C143" s="23" t="s">
        <v>123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1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>
        <v>22000</v>
      </c>
      <c r="AC143" s="21">
        <v>22000</v>
      </c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1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7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>
        <v>1409.5294044876919</v>
      </c>
      <c r="BP143" s="37">
        <v>1409.5294044876919</v>
      </c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7"/>
    </row>
    <row r="144" spans="1:81" ht="14.5" x14ac:dyDescent="0.35">
      <c r="A144" t="s">
        <v>363</v>
      </c>
      <c r="B144" s="15" t="s">
        <v>124</v>
      </c>
      <c r="C144" s="16"/>
      <c r="D144" s="17">
        <v>902000</v>
      </c>
      <c r="E144" s="17">
        <v>44000</v>
      </c>
      <c r="F144" s="17">
        <v>666600</v>
      </c>
      <c r="G144" s="17">
        <v>668800</v>
      </c>
      <c r="H144" s="17">
        <v>23100</v>
      </c>
      <c r="I144" s="17">
        <v>92400</v>
      </c>
      <c r="J144" s="17">
        <v>6600</v>
      </c>
      <c r="K144" s="17">
        <v>631400</v>
      </c>
      <c r="L144" s="17">
        <v>884400</v>
      </c>
      <c r="M144" s="17">
        <v>314600</v>
      </c>
      <c r="N144" s="17">
        <v>172800</v>
      </c>
      <c r="O144" s="17">
        <v>7700</v>
      </c>
      <c r="P144" s="18">
        <v>4414400</v>
      </c>
      <c r="Q144" s="17">
        <v>143000</v>
      </c>
      <c r="R144" s="17">
        <v>2270400</v>
      </c>
      <c r="S144" s="17">
        <v>1786400</v>
      </c>
      <c r="T144" s="17">
        <v>1189600</v>
      </c>
      <c r="U144" s="17">
        <v>1854000</v>
      </c>
      <c r="V144" s="17">
        <v>1077435.8</v>
      </c>
      <c r="W144" s="17">
        <v>957000</v>
      </c>
      <c r="X144" s="17">
        <v>1287000</v>
      </c>
      <c r="Y144" s="17">
        <v>3300</v>
      </c>
      <c r="Z144" s="17">
        <v>49500</v>
      </c>
      <c r="AA144" s="17">
        <v>20900</v>
      </c>
      <c r="AB144" s="17">
        <v>189200</v>
      </c>
      <c r="AC144" s="18">
        <v>10827735.800000001</v>
      </c>
      <c r="AD144" s="17">
        <v>25300</v>
      </c>
      <c r="AE144" s="17">
        <v>492800</v>
      </c>
      <c r="AF144" s="17">
        <v>1065950</v>
      </c>
      <c r="AG144" s="17">
        <v>116600</v>
      </c>
      <c r="AH144" s="17"/>
      <c r="AI144" s="17"/>
      <c r="AJ144" s="17"/>
      <c r="AK144" s="17"/>
      <c r="AL144" s="17"/>
      <c r="AM144" s="17"/>
      <c r="AN144" s="17"/>
      <c r="AO144" s="17"/>
      <c r="AP144" s="18">
        <v>1700650</v>
      </c>
      <c r="AQ144" s="17">
        <v>1128.4000773316573</v>
      </c>
      <c r="AR144" s="17">
        <v>1252.8995509362153</v>
      </c>
      <c r="AS144" s="17">
        <v>1266.1992558452603</v>
      </c>
      <c r="AT144" s="17">
        <v>1260.6154373337054</v>
      </c>
      <c r="AU144" s="17">
        <v>1225.550589898111</v>
      </c>
      <c r="AV144" s="17">
        <v>1353.2539180982815</v>
      </c>
      <c r="AW144" s="17">
        <v>1359.7877849353229</v>
      </c>
      <c r="AX144" s="17">
        <v>1194.5946538268399</v>
      </c>
      <c r="AY144" s="17">
        <v>1240.3411694294291</v>
      </c>
      <c r="AZ144" s="17">
        <v>1256.114100122682</v>
      </c>
      <c r="BA144" s="17">
        <v>1273.647152483413</v>
      </c>
      <c r="BB144" s="17">
        <v>1357.7868889841911</v>
      </c>
      <c r="BC144" s="19">
        <v>1223.1237395867231</v>
      </c>
      <c r="BD144" s="17">
        <v>1270.9782973960375</v>
      </c>
      <c r="BE144" s="17">
        <v>1246.9423480472944</v>
      </c>
      <c r="BF144" s="17">
        <v>1232.9299951504295</v>
      </c>
      <c r="BG144" s="17">
        <v>1244.7111208454701</v>
      </c>
      <c r="BH144" s="17">
        <v>1260.9180038686388</v>
      </c>
      <c r="BI144" s="17">
        <v>1237.8416051017246</v>
      </c>
      <c r="BJ144" s="17">
        <v>1234.1619833313136</v>
      </c>
      <c r="BK144" s="17">
        <v>1193.3119788319257</v>
      </c>
      <c r="BL144" s="17">
        <v>1273.3614070094804</v>
      </c>
      <c r="BM144" s="17">
        <v>1251.2300167177291</v>
      </c>
      <c r="BN144" s="17">
        <v>1265.0085764451653</v>
      </c>
      <c r="BO144" s="17">
        <v>1206.0199761295271</v>
      </c>
      <c r="BP144" s="19">
        <v>1238.0335607629145</v>
      </c>
      <c r="BQ144" s="17">
        <v>1189.3999221062261</v>
      </c>
      <c r="BR144" s="17">
        <v>1143.1404154984273</v>
      </c>
      <c r="BS144" s="17">
        <v>1126.2133484373842</v>
      </c>
      <c r="BT144" s="17">
        <v>1278.3251861922181</v>
      </c>
      <c r="BU144" s="17"/>
      <c r="BV144" s="17"/>
      <c r="BW144" s="17"/>
      <c r="BX144" s="17"/>
      <c r="BY144" s="17"/>
      <c r="BZ144" s="17"/>
      <c r="CA144" s="17"/>
      <c r="CB144" s="17"/>
      <c r="CC144" s="19">
        <v>1142.4874314313681</v>
      </c>
    </row>
    <row r="145" spans="1:81" s="22" customFormat="1" ht="14.5" outlineLevel="1" x14ac:dyDescent="0.35">
      <c r="B145" s="25" t="s">
        <v>125</v>
      </c>
      <c r="C145" s="23" t="s">
        <v>72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1"/>
      <c r="Q145" s="20"/>
      <c r="R145" s="20"/>
      <c r="S145" s="20"/>
      <c r="T145" s="20"/>
      <c r="U145" s="20"/>
      <c r="V145" s="20"/>
      <c r="W145" s="20"/>
      <c r="X145" s="20"/>
      <c r="Y145" s="20">
        <v>3300</v>
      </c>
      <c r="Z145" s="20"/>
      <c r="AA145" s="20"/>
      <c r="AB145" s="20"/>
      <c r="AC145" s="21">
        <v>3300</v>
      </c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1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7"/>
      <c r="BD145" s="36"/>
      <c r="BE145" s="36"/>
      <c r="BF145" s="36"/>
      <c r="BG145" s="36"/>
      <c r="BH145" s="36"/>
      <c r="BI145" s="36"/>
      <c r="BJ145" s="36"/>
      <c r="BK145" s="36"/>
      <c r="BL145" s="36">
        <v>1164.8011622642052</v>
      </c>
      <c r="BM145" s="36"/>
      <c r="BN145" s="36"/>
      <c r="BO145" s="36"/>
      <c r="BP145" s="37">
        <v>1164.8011622642052</v>
      </c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7"/>
    </row>
    <row r="146" spans="1:81" s="22" customFormat="1" ht="14.5" outlineLevel="1" x14ac:dyDescent="0.35">
      <c r="B146" s="25" t="s">
        <v>125</v>
      </c>
      <c r="C146" s="23" t="s">
        <v>126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1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>
        <v>4400</v>
      </c>
      <c r="AB146" s="20"/>
      <c r="AC146" s="21">
        <v>4400</v>
      </c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1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7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>
        <v>1161.8841303603515</v>
      </c>
      <c r="BO146" s="36"/>
      <c r="BP146" s="37">
        <v>1161.8841303603515</v>
      </c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7"/>
    </row>
    <row r="147" spans="1:81" s="22" customFormat="1" ht="14.5" outlineLevel="1" x14ac:dyDescent="0.35">
      <c r="B147" s="25" t="s">
        <v>125</v>
      </c>
      <c r="C147" s="23" t="s">
        <v>127</v>
      </c>
      <c r="D147" s="20"/>
      <c r="E147" s="20"/>
      <c r="F147" s="20"/>
      <c r="G147" s="20"/>
      <c r="H147" s="20"/>
      <c r="I147" s="20"/>
      <c r="J147" s="20">
        <v>500</v>
      </c>
      <c r="K147" s="20"/>
      <c r="L147" s="20"/>
      <c r="M147" s="20"/>
      <c r="N147" s="20"/>
      <c r="O147" s="20"/>
      <c r="P147" s="21">
        <v>500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1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1"/>
      <c r="AQ147" s="36"/>
      <c r="AR147" s="36"/>
      <c r="AS147" s="36"/>
      <c r="AT147" s="36"/>
      <c r="AU147" s="36"/>
      <c r="AV147" s="36"/>
      <c r="AW147" s="36">
        <v>1269.269383697326</v>
      </c>
      <c r="AX147" s="36"/>
      <c r="AY147" s="36"/>
      <c r="AZ147" s="36"/>
      <c r="BA147" s="36"/>
      <c r="BB147" s="36"/>
      <c r="BC147" s="37">
        <v>1269.269383697326</v>
      </c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7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7"/>
    </row>
    <row r="148" spans="1:81" ht="14.5" x14ac:dyDescent="0.35">
      <c r="B148" s="15" t="s">
        <v>128</v>
      </c>
      <c r="C148" s="16"/>
      <c r="D148" s="17"/>
      <c r="E148" s="17"/>
      <c r="F148" s="17"/>
      <c r="G148" s="17"/>
      <c r="H148" s="17"/>
      <c r="I148" s="17"/>
      <c r="J148" s="17">
        <v>500</v>
      </c>
      <c r="K148" s="17"/>
      <c r="L148" s="17"/>
      <c r="M148" s="17"/>
      <c r="N148" s="17"/>
      <c r="O148" s="17"/>
      <c r="P148" s="18">
        <v>500</v>
      </c>
      <c r="Q148" s="17"/>
      <c r="R148" s="17"/>
      <c r="S148" s="17"/>
      <c r="T148" s="17"/>
      <c r="U148" s="17"/>
      <c r="V148" s="17"/>
      <c r="W148" s="17"/>
      <c r="X148" s="17"/>
      <c r="Y148" s="17">
        <v>3300</v>
      </c>
      <c r="Z148" s="17"/>
      <c r="AA148" s="17">
        <v>4400</v>
      </c>
      <c r="AB148" s="17"/>
      <c r="AC148" s="18">
        <v>7700</v>
      </c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8"/>
      <c r="AQ148" s="17"/>
      <c r="AR148" s="17"/>
      <c r="AS148" s="17"/>
      <c r="AT148" s="17"/>
      <c r="AU148" s="17"/>
      <c r="AV148" s="17"/>
      <c r="AW148" s="17">
        <v>1269.269383697326</v>
      </c>
      <c r="AX148" s="17"/>
      <c r="AY148" s="17"/>
      <c r="AZ148" s="17"/>
      <c r="BA148" s="17"/>
      <c r="BB148" s="17"/>
      <c r="BC148" s="19">
        <v>1269.269383697326</v>
      </c>
      <c r="BD148" s="17"/>
      <c r="BE148" s="17"/>
      <c r="BF148" s="17"/>
      <c r="BG148" s="17"/>
      <c r="BH148" s="17"/>
      <c r="BI148" s="17"/>
      <c r="BJ148" s="17"/>
      <c r="BK148" s="17"/>
      <c r="BL148" s="17">
        <v>1164.8011622642052</v>
      </c>
      <c r="BM148" s="17"/>
      <c r="BN148" s="17">
        <v>1161.8841303603515</v>
      </c>
      <c r="BO148" s="17"/>
      <c r="BP148" s="19">
        <v>1163.1342868905745</v>
      </c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9"/>
    </row>
    <row r="149" spans="1:81" s="22" customFormat="1" ht="14.5" outlineLevel="1" x14ac:dyDescent="0.35">
      <c r="A149" s="22" t="s">
        <v>365</v>
      </c>
      <c r="B149" s="25" t="s">
        <v>129</v>
      </c>
      <c r="C149" s="23" t="s">
        <v>130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1"/>
      <c r="Q149" s="20"/>
      <c r="R149" s="20"/>
      <c r="S149" s="20"/>
      <c r="T149" s="20"/>
      <c r="U149" s="20"/>
      <c r="V149" s="20">
        <v>22000</v>
      </c>
      <c r="W149" s="20"/>
      <c r="X149" s="20">
        <v>44000</v>
      </c>
      <c r="Y149" s="20"/>
      <c r="Z149" s="20"/>
      <c r="AA149" s="20"/>
      <c r="AB149" s="20"/>
      <c r="AC149" s="21">
        <v>66000</v>
      </c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1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7"/>
      <c r="BD149" s="36"/>
      <c r="BE149" s="36"/>
      <c r="BF149" s="36"/>
      <c r="BG149" s="36"/>
      <c r="BH149" s="36"/>
      <c r="BI149" s="36">
        <v>1127.1582992807919</v>
      </c>
      <c r="BJ149" s="36"/>
      <c r="BK149" s="36">
        <v>1055.6829788320722</v>
      </c>
      <c r="BL149" s="36"/>
      <c r="BM149" s="36"/>
      <c r="BN149" s="36"/>
      <c r="BO149" s="36"/>
      <c r="BP149" s="37">
        <v>1079.5080856483121</v>
      </c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7"/>
    </row>
    <row r="150" spans="1:81" s="22" customFormat="1" ht="14.5" outlineLevel="1" x14ac:dyDescent="0.35">
      <c r="A150" s="22" t="s">
        <v>365</v>
      </c>
      <c r="B150" s="25" t="s">
        <v>129</v>
      </c>
      <c r="C150" s="23" t="s">
        <v>58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1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1"/>
      <c r="AD150" s="20">
        <v>2200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1">
        <v>2200</v>
      </c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7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7"/>
      <c r="BQ150" s="36">
        <v>1067.3497593257371</v>
      </c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7">
        <v>1067.3497593257371</v>
      </c>
    </row>
    <row r="151" spans="1:81" s="22" customFormat="1" ht="14.5" outlineLevel="1" x14ac:dyDescent="0.35">
      <c r="A151" s="22" t="s">
        <v>365</v>
      </c>
      <c r="B151" s="25" t="s">
        <v>129</v>
      </c>
      <c r="C151" s="23" t="s">
        <v>131</v>
      </c>
      <c r="D151" s="20"/>
      <c r="E151" s="20"/>
      <c r="F151" s="20"/>
      <c r="G151" s="20"/>
      <c r="H151" s="20"/>
      <c r="I151" s="20"/>
      <c r="J151" s="20"/>
      <c r="K151" s="20">
        <v>5500</v>
      </c>
      <c r="L151" s="20"/>
      <c r="M151" s="20"/>
      <c r="N151" s="20"/>
      <c r="O151" s="20"/>
      <c r="P151" s="21">
        <v>5500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1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1"/>
      <c r="AQ151" s="36"/>
      <c r="AR151" s="36"/>
      <c r="AS151" s="36"/>
      <c r="AT151" s="36"/>
      <c r="AU151" s="36"/>
      <c r="AV151" s="36"/>
      <c r="AW151" s="36"/>
      <c r="AX151" s="36">
        <v>1220.8141881198053</v>
      </c>
      <c r="AY151" s="36"/>
      <c r="AZ151" s="36"/>
      <c r="BA151" s="36"/>
      <c r="BB151" s="36"/>
      <c r="BC151" s="37">
        <v>1220.8141881198053</v>
      </c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7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7"/>
    </row>
    <row r="152" spans="1:81" s="22" customFormat="1" ht="14.5" outlineLevel="1" x14ac:dyDescent="0.35">
      <c r="A152" s="22" t="s">
        <v>365</v>
      </c>
      <c r="B152" s="25" t="s">
        <v>129</v>
      </c>
      <c r="C152" s="23" t="s">
        <v>132</v>
      </c>
      <c r="D152" s="20"/>
      <c r="E152" s="20"/>
      <c r="F152" s="20"/>
      <c r="G152" s="20"/>
      <c r="H152" s="20"/>
      <c r="I152" s="20">
        <v>110000</v>
      </c>
      <c r="J152" s="20"/>
      <c r="K152" s="20"/>
      <c r="L152" s="20">
        <v>88000</v>
      </c>
      <c r="M152" s="20">
        <v>132000</v>
      </c>
      <c r="N152" s="20"/>
      <c r="O152" s="20"/>
      <c r="P152" s="21">
        <v>330000</v>
      </c>
      <c r="Q152" s="20"/>
      <c r="R152" s="20"/>
      <c r="S152" s="20"/>
      <c r="T152" s="20"/>
      <c r="U152" s="20"/>
      <c r="V152" s="20"/>
      <c r="W152" s="20">
        <v>330850</v>
      </c>
      <c r="X152" s="20"/>
      <c r="Y152" s="20"/>
      <c r="Z152" s="20">
        <v>220000</v>
      </c>
      <c r="AA152" s="20"/>
      <c r="AB152" s="20"/>
      <c r="AC152" s="21">
        <v>550850</v>
      </c>
      <c r="AD152" s="20"/>
      <c r="AE152" s="20"/>
      <c r="AF152" s="20">
        <v>440150</v>
      </c>
      <c r="AG152" s="20">
        <v>773300</v>
      </c>
      <c r="AH152" s="20"/>
      <c r="AI152" s="20"/>
      <c r="AJ152" s="20"/>
      <c r="AK152" s="20"/>
      <c r="AL152" s="20"/>
      <c r="AM152" s="20"/>
      <c r="AN152" s="20"/>
      <c r="AO152" s="20"/>
      <c r="AP152" s="21">
        <v>1213450</v>
      </c>
      <c r="AQ152" s="36"/>
      <c r="AR152" s="36"/>
      <c r="AS152" s="36"/>
      <c r="AT152" s="36"/>
      <c r="AU152" s="36"/>
      <c r="AV152" s="36">
        <v>1061.9428643776796</v>
      </c>
      <c r="AW152" s="36"/>
      <c r="AX152" s="36"/>
      <c r="AY152" s="36">
        <v>1062.4232977965062</v>
      </c>
      <c r="AZ152" s="36">
        <v>1049.8651962148685</v>
      </c>
      <c r="BA152" s="36"/>
      <c r="BB152" s="36"/>
      <c r="BC152" s="37">
        <v>1057.239912690909</v>
      </c>
      <c r="BD152" s="36"/>
      <c r="BE152" s="36"/>
      <c r="BF152" s="36"/>
      <c r="BG152" s="36"/>
      <c r="BH152" s="36"/>
      <c r="BI152" s="36"/>
      <c r="BJ152" s="36">
        <v>1080.7234214134789</v>
      </c>
      <c r="BK152" s="36"/>
      <c r="BL152" s="36"/>
      <c r="BM152" s="36">
        <v>1061.2288938731522</v>
      </c>
      <c r="BN152" s="36"/>
      <c r="BO152" s="36"/>
      <c r="BP152" s="37">
        <v>1072.9376429640431</v>
      </c>
      <c r="BQ152" s="36"/>
      <c r="BR152" s="36"/>
      <c r="BS152" s="36">
        <v>1081.1055662980348</v>
      </c>
      <c r="BT152" s="36">
        <v>1114.6923671337033</v>
      </c>
      <c r="BU152" s="36"/>
      <c r="BV152" s="36"/>
      <c r="BW152" s="36"/>
      <c r="BX152" s="36"/>
      <c r="BY152" s="36"/>
      <c r="BZ152" s="36"/>
      <c r="CA152" s="36"/>
      <c r="CB152" s="36"/>
      <c r="CC152" s="37">
        <v>1102.5095574688473</v>
      </c>
    </row>
    <row r="153" spans="1:81" s="22" customFormat="1" ht="14.5" outlineLevel="1" x14ac:dyDescent="0.35">
      <c r="A153" s="22" t="s">
        <v>365</v>
      </c>
      <c r="B153" s="25" t="s">
        <v>129</v>
      </c>
      <c r="C153" s="23" t="s">
        <v>104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1"/>
      <c r="Q153" s="20"/>
      <c r="R153" s="20">
        <v>22000</v>
      </c>
      <c r="S153" s="20"/>
      <c r="T153" s="20"/>
      <c r="U153" s="20"/>
      <c r="V153" s="20"/>
      <c r="W153" s="20">
        <v>44000</v>
      </c>
      <c r="X153" s="20"/>
      <c r="Y153" s="20"/>
      <c r="Z153" s="20"/>
      <c r="AA153" s="20"/>
      <c r="AB153" s="20"/>
      <c r="AC153" s="21">
        <v>66000</v>
      </c>
      <c r="AD153" s="20"/>
      <c r="AE153" s="20"/>
      <c r="AF153" s="20"/>
      <c r="AG153" s="20">
        <v>22000</v>
      </c>
      <c r="AH153" s="20"/>
      <c r="AI153" s="20"/>
      <c r="AJ153" s="20"/>
      <c r="AK153" s="20"/>
      <c r="AL153" s="20"/>
      <c r="AM153" s="20"/>
      <c r="AN153" s="20"/>
      <c r="AO153" s="20"/>
      <c r="AP153" s="21">
        <v>22000</v>
      </c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7"/>
      <c r="BD153" s="36"/>
      <c r="BE153" s="36">
        <v>1069.4314308078513</v>
      </c>
      <c r="BF153" s="36"/>
      <c r="BG153" s="36"/>
      <c r="BH153" s="36"/>
      <c r="BI153" s="36"/>
      <c r="BJ153" s="36">
        <v>1123.6051270557193</v>
      </c>
      <c r="BK153" s="36"/>
      <c r="BL153" s="36"/>
      <c r="BM153" s="36"/>
      <c r="BN153" s="36"/>
      <c r="BO153" s="36"/>
      <c r="BP153" s="37">
        <v>1105.5472283064298</v>
      </c>
      <c r="BQ153" s="36"/>
      <c r="BR153" s="36"/>
      <c r="BS153" s="36"/>
      <c r="BT153" s="36">
        <v>1210.0001654155276</v>
      </c>
      <c r="BU153" s="36"/>
      <c r="BV153" s="36"/>
      <c r="BW153" s="36"/>
      <c r="BX153" s="36"/>
      <c r="BY153" s="36"/>
      <c r="BZ153" s="36"/>
      <c r="CA153" s="36"/>
      <c r="CB153" s="36"/>
      <c r="CC153" s="37">
        <v>1210.0001654155276</v>
      </c>
    </row>
    <row r="154" spans="1:81" s="22" customFormat="1" ht="14.5" outlineLevel="1" x14ac:dyDescent="0.35">
      <c r="A154" s="22" t="s">
        <v>365</v>
      </c>
      <c r="B154" s="25" t="s">
        <v>129</v>
      </c>
      <c r="C154" s="23" t="s">
        <v>126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1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1"/>
      <c r="AD154" s="20"/>
      <c r="AE154" s="20">
        <v>5500</v>
      </c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1">
        <v>5500</v>
      </c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7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7"/>
      <c r="BQ154" s="36"/>
      <c r="BR154" s="36">
        <v>1110.7002719727043</v>
      </c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7">
        <v>1110.7002719727043</v>
      </c>
    </row>
    <row r="155" spans="1:81" s="22" customFormat="1" ht="14.5" outlineLevel="1" x14ac:dyDescent="0.35">
      <c r="A155" s="22" t="s">
        <v>365</v>
      </c>
      <c r="B155" s="25" t="s">
        <v>129</v>
      </c>
      <c r="C155" s="23" t="s">
        <v>133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1"/>
      <c r="Q155" s="20"/>
      <c r="R155" s="20"/>
      <c r="S155" s="20"/>
      <c r="T155" s="20">
        <v>110000</v>
      </c>
      <c r="U155" s="20"/>
      <c r="V155" s="20"/>
      <c r="W155" s="20"/>
      <c r="X155" s="20"/>
      <c r="Y155" s="20">
        <v>66000</v>
      </c>
      <c r="Z155" s="20"/>
      <c r="AA155" s="20"/>
      <c r="AB155" s="20"/>
      <c r="AC155" s="21">
        <v>176000</v>
      </c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7"/>
      <c r="BD155" s="36"/>
      <c r="BE155" s="36"/>
      <c r="BF155" s="36"/>
      <c r="BG155" s="36">
        <v>1128.4678981245181</v>
      </c>
      <c r="BH155" s="36"/>
      <c r="BI155" s="36"/>
      <c r="BJ155" s="36"/>
      <c r="BK155" s="36"/>
      <c r="BL155" s="36">
        <v>1078.6888367076006</v>
      </c>
      <c r="BM155" s="36"/>
      <c r="BN155" s="36"/>
      <c r="BO155" s="36"/>
      <c r="BP155" s="37">
        <v>1109.8007500931742</v>
      </c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7"/>
    </row>
    <row r="156" spans="1:81" s="22" customFormat="1" ht="14.5" outlineLevel="1" x14ac:dyDescent="0.35">
      <c r="A156" s="22" t="s">
        <v>365</v>
      </c>
      <c r="B156" s="25" t="s">
        <v>129</v>
      </c>
      <c r="C156" s="23" t="s">
        <v>107</v>
      </c>
      <c r="D156" s="20"/>
      <c r="E156" s="20"/>
      <c r="F156" s="20"/>
      <c r="G156" s="20">
        <v>1100</v>
      </c>
      <c r="H156" s="20"/>
      <c r="I156" s="20"/>
      <c r="J156" s="20">
        <v>1100</v>
      </c>
      <c r="K156" s="20"/>
      <c r="L156" s="20"/>
      <c r="M156" s="20"/>
      <c r="N156" s="20"/>
      <c r="O156" s="20"/>
      <c r="P156" s="21">
        <v>2200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1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1"/>
      <c r="AQ156" s="36"/>
      <c r="AR156" s="36"/>
      <c r="AS156" s="36"/>
      <c r="AT156" s="36">
        <v>1045.9502890591125</v>
      </c>
      <c r="AU156" s="36"/>
      <c r="AV156" s="36"/>
      <c r="AW156" s="36">
        <v>1046.6680149400099</v>
      </c>
      <c r="AX156" s="36"/>
      <c r="AY156" s="36"/>
      <c r="AZ156" s="36"/>
      <c r="BA156" s="36"/>
      <c r="BB156" s="36"/>
      <c r="BC156" s="37">
        <v>1046.309151999561</v>
      </c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7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7"/>
    </row>
    <row r="157" spans="1:81" s="22" customFormat="1" ht="14.5" outlineLevel="1" x14ac:dyDescent="0.35">
      <c r="A157" s="22" t="s">
        <v>365</v>
      </c>
      <c r="B157" s="25" t="s">
        <v>129</v>
      </c>
      <c r="C157" s="23" t="s">
        <v>134</v>
      </c>
      <c r="D157" s="20">
        <v>440000</v>
      </c>
      <c r="E157" s="20"/>
      <c r="F157" s="20">
        <v>176000</v>
      </c>
      <c r="G157" s="20">
        <v>440000</v>
      </c>
      <c r="H157" s="20">
        <v>330000</v>
      </c>
      <c r="I157" s="20"/>
      <c r="J157" s="20"/>
      <c r="K157" s="20"/>
      <c r="L157" s="20"/>
      <c r="M157" s="20"/>
      <c r="N157" s="20"/>
      <c r="O157" s="20"/>
      <c r="P157" s="21">
        <v>1386000</v>
      </c>
      <c r="Q157" s="20"/>
      <c r="R157" s="20"/>
      <c r="S157" s="20">
        <v>220000</v>
      </c>
      <c r="T157" s="20"/>
      <c r="U157" s="20"/>
      <c r="V157" s="20"/>
      <c r="W157" s="20"/>
      <c r="X157" s="20"/>
      <c r="Y157" s="20"/>
      <c r="Z157" s="20"/>
      <c r="AA157" s="20"/>
      <c r="AB157" s="20"/>
      <c r="AC157" s="21">
        <v>220000</v>
      </c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36">
        <v>1100.8707469830874</v>
      </c>
      <c r="AR157" s="36"/>
      <c r="AS157" s="36">
        <v>1078.9487418926278</v>
      </c>
      <c r="AT157" s="36">
        <v>1054.6537483282125</v>
      </c>
      <c r="AU157" s="36">
        <v>1049.5867053961636</v>
      </c>
      <c r="AV157" s="36"/>
      <c r="AW157" s="36"/>
      <c r="AX157" s="36"/>
      <c r="AY157" s="36"/>
      <c r="AZ157" s="36"/>
      <c r="BA157" s="36"/>
      <c r="BB157" s="36"/>
      <c r="BC157" s="37">
        <v>1071.2044511477691</v>
      </c>
      <c r="BD157" s="36"/>
      <c r="BE157" s="36"/>
      <c r="BF157" s="36">
        <v>1108.2779722202383</v>
      </c>
      <c r="BG157" s="36"/>
      <c r="BH157" s="36"/>
      <c r="BI157" s="36"/>
      <c r="BJ157" s="36"/>
      <c r="BK157" s="36"/>
      <c r="BL157" s="36"/>
      <c r="BM157" s="36"/>
      <c r="BN157" s="36"/>
      <c r="BO157" s="36"/>
      <c r="BP157" s="37">
        <v>1108.2779722202383</v>
      </c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7"/>
    </row>
    <row r="158" spans="1:81" s="22" customFormat="1" ht="14.5" outlineLevel="1" x14ac:dyDescent="0.35">
      <c r="A158" s="22" t="s">
        <v>365</v>
      </c>
      <c r="B158" s="25" t="s">
        <v>129</v>
      </c>
      <c r="C158" s="23" t="s">
        <v>81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1"/>
      <c r="Q158" s="20"/>
      <c r="R158" s="20"/>
      <c r="S158" s="20"/>
      <c r="T158" s="20"/>
      <c r="U158" s="20"/>
      <c r="V158" s="20"/>
      <c r="W158" s="20"/>
      <c r="X158" s="20"/>
      <c r="Y158" s="20">
        <v>1100</v>
      </c>
      <c r="Z158" s="20"/>
      <c r="AA158" s="20"/>
      <c r="AB158" s="20"/>
      <c r="AC158" s="21">
        <v>1100</v>
      </c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1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7"/>
      <c r="BD158" s="36"/>
      <c r="BE158" s="36"/>
      <c r="BF158" s="36"/>
      <c r="BG158" s="36"/>
      <c r="BH158" s="36"/>
      <c r="BI158" s="36"/>
      <c r="BJ158" s="36"/>
      <c r="BK158" s="36"/>
      <c r="BL158" s="36">
        <v>1118.5202043920788</v>
      </c>
      <c r="BM158" s="36"/>
      <c r="BN158" s="36"/>
      <c r="BO158" s="36"/>
      <c r="BP158" s="37">
        <v>1118.5202043920788</v>
      </c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7"/>
    </row>
    <row r="159" spans="1:81" s="22" customFormat="1" ht="14.5" outlineLevel="1" x14ac:dyDescent="0.35">
      <c r="A159" s="22" t="s">
        <v>365</v>
      </c>
      <c r="B159" s="25" t="s">
        <v>129</v>
      </c>
      <c r="C159" s="23" t="s">
        <v>25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>
        <v>1100</v>
      </c>
      <c r="P159" s="21">
        <v>1100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1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1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>
        <v>1029.5188339879237</v>
      </c>
      <c r="BC159" s="37">
        <v>1029.5188339879237</v>
      </c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7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7"/>
    </row>
    <row r="160" spans="1:81" s="22" customFormat="1" ht="14.5" outlineLevel="1" x14ac:dyDescent="0.35">
      <c r="A160" s="22" t="s">
        <v>365</v>
      </c>
      <c r="B160" s="25" t="s">
        <v>129</v>
      </c>
      <c r="C160" s="23" t="s">
        <v>117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>
        <v>4400</v>
      </c>
      <c r="N160" s="20"/>
      <c r="O160" s="20"/>
      <c r="P160" s="21">
        <v>4400</v>
      </c>
      <c r="Q160" s="20"/>
      <c r="R160" s="20">
        <v>22000</v>
      </c>
      <c r="S160" s="20"/>
      <c r="T160" s="20">
        <v>44000</v>
      </c>
      <c r="U160" s="20"/>
      <c r="V160" s="20">
        <v>22000</v>
      </c>
      <c r="W160" s="20"/>
      <c r="X160" s="20"/>
      <c r="Y160" s="20"/>
      <c r="Z160" s="20">
        <v>44000</v>
      </c>
      <c r="AA160" s="20"/>
      <c r="AB160" s="20"/>
      <c r="AC160" s="21">
        <v>132000</v>
      </c>
      <c r="AD160" s="20"/>
      <c r="AE160" s="20"/>
      <c r="AF160" s="20">
        <v>0</v>
      </c>
      <c r="AG160" s="20"/>
      <c r="AH160" s="20"/>
      <c r="AI160" s="20"/>
      <c r="AJ160" s="20"/>
      <c r="AK160" s="20"/>
      <c r="AL160" s="20"/>
      <c r="AM160" s="20"/>
      <c r="AN160" s="20"/>
      <c r="AO160" s="20"/>
      <c r="AP160" s="21">
        <v>0</v>
      </c>
      <c r="AQ160" s="36"/>
      <c r="AR160" s="36"/>
      <c r="AS160" s="36"/>
      <c r="AT160" s="36"/>
      <c r="AU160" s="36"/>
      <c r="AV160" s="36"/>
      <c r="AW160" s="36"/>
      <c r="AX160" s="36"/>
      <c r="AY160" s="36"/>
      <c r="AZ160" s="36">
        <v>1005.8516768267218</v>
      </c>
      <c r="BA160" s="36"/>
      <c r="BB160" s="36"/>
      <c r="BC160" s="37">
        <v>1005.8516768267218</v>
      </c>
      <c r="BD160" s="36"/>
      <c r="BE160" s="36">
        <v>1069.4314308078513</v>
      </c>
      <c r="BF160" s="36"/>
      <c r="BG160" s="36">
        <v>1127.119365021186</v>
      </c>
      <c r="BH160" s="36"/>
      <c r="BI160" s="36">
        <v>1127.1582992807919</v>
      </c>
      <c r="BJ160" s="36"/>
      <c r="BK160" s="36"/>
      <c r="BL160" s="36"/>
      <c r="BM160" s="36">
        <v>1077.482735478111</v>
      </c>
      <c r="BN160" s="36"/>
      <c r="BO160" s="36"/>
      <c r="BP160" s="37">
        <v>1100.9656551812061</v>
      </c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7"/>
    </row>
    <row r="161" spans="1:81" s="22" customFormat="1" ht="14.5" outlineLevel="1" x14ac:dyDescent="0.35">
      <c r="A161" s="22" t="s">
        <v>366</v>
      </c>
      <c r="B161" s="25" t="s">
        <v>129</v>
      </c>
      <c r="C161" s="23" t="s">
        <v>135</v>
      </c>
      <c r="D161" s="20"/>
      <c r="E161" s="20"/>
      <c r="F161" s="20"/>
      <c r="G161" s="20"/>
      <c r="H161" s="20"/>
      <c r="I161" s="20"/>
      <c r="J161" s="20">
        <v>211200</v>
      </c>
      <c r="K161" s="20">
        <v>887300</v>
      </c>
      <c r="L161" s="20">
        <v>660000</v>
      </c>
      <c r="M161" s="20">
        <v>660000</v>
      </c>
      <c r="N161" s="20"/>
      <c r="O161" s="20"/>
      <c r="P161" s="21">
        <v>2418500</v>
      </c>
      <c r="Q161" s="20"/>
      <c r="R161" s="20"/>
      <c r="S161" s="20"/>
      <c r="T161" s="20"/>
      <c r="U161" s="20"/>
      <c r="V161" s="20">
        <v>220000</v>
      </c>
      <c r="W161" s="20"/>
      <c r="X161" s="20">
        <v>220000</v>
      </c>
      <c r="Y161" s="20"/>
      <c r="Z161" s="20"/>
      <c r="AA161" s="20">
        <v>220000</v>
      </c>
      <c r="AB161" s="20"/>
      <c r="AC161" s="21">
        <v>660000</v>
      </c>
      <c r="AD161" s="20">
        <v>242000</v>
      </c>
      <c r="AE161" s="20"/>
      <c r="AF161" s="20">
        <v>220000</v>
      </c>
      <c r="AG161" s="20">
        <v>440000</v>
      </c>
      <c r="AH161" s="20"/>
      <c r="AI161" s="20"/>
      <c r="AJ161" s="20"/>
      <c r="AK161" s="20"/>
      <c r="AL161" s="20"/>
      <c r="AM161" s="20"/>
      <c r="AN161" s="20"/>
      <c r="AO161" s="20"/>
      <c r="AP161" s="21">
        <v>902000</v>
      </c>
      <c r="AQ161" s="36"/>
      <c r="AR161" s="36"/>
      <c r="AS161" s="36"/>
      <c r="AT161" s="36"/>
      <c r="AU161" s="36"/>
      <c r="AV161" s="36"/>
      <c r="AW161" s="36">
        <v>1040.192991472185</v>
      </c>
      <c r="AX161" s="36">
        <v>1041.3398158237876</v>
      </c>
      <c r="AY161" s="36">
        <v>1041.7175185124133</v>
      </c>
      <c r="AZ161" s="36">
        <v>1061.8938270539732</v>
      </c>
      <c r="BA161" s="36"/>
      <c r="BB161" s="36"/>
      <c r="BC161" s="37">
        <v>1046.9518571235008</v>
      </c>
      <c r="BD161" s="36"/>
      <c r="BE161" s="36"/>
      <c r="BF161" s="36"/>
      <c r="BG161" s="36"/>
      <c r="BH161" s="36"/>
      <c r="BI161" s="36">
        <v>1041.3422083264359</v>
      </c>
      <c r="BJ161" s="36"/>
      <c r="BK161" s="36">
        <v>1001.5742128537597</v>
      </c>
      <c r="BL161" s="36"/>
      <c r="BM161" s="36"/>
      <c r="BN161" s="36">
        <v>881.9578218290053</v>
      </c>
      <c r="BO161" s="36"/>
      <c r="BP161" s="37">
        <v>974.95808100306738</v>
      </c>
      <c r="BQ161" s="36">
        <v>881.26675058126716</v>
      </c>
      <c r="BR161" s="36"/>
      <c r="BS161" s="36">
        <v>1050.7883509741364</v>
      </c>
      <c r="BT161" s="36">
        <v>1080.0001654155276</v>
      </c>
      <c r="BU161" s="36"/>
      <c r="BV161" s="36"/>
      <c r="BW161" s="36"/>
      <c r="BX161" s="36"/>
      <c r="BY161" s="36"/>
      <c r="BZ161" s="36"/>
      <c r="CA161" s="36"/>
      <c r="CB161" s="36"/>
      <c r="CC161" s="37">
        <v>1019.55661157185</v>
      </c>
    </row>
    <row r="162" spans="1:81" s="22" customFormat="1" ht="14.5" outlineLevel="1" x14ac:dyDescent="0.35">
      <c r="A162" s="22" t="s">
        <v>365</v>
      </c>
      <c r="B162" s="25" t="s">
        <v>129</v>
      </c>
      <c r="C162" s="23" t="s">
        <v>9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1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1"/>
      <c r="AD162" s="20"/>
      <c r="AE162" s="20"/>
      <c r="AF162" s="20"/>
      <c r="AG162" s="20">
        <v>3300</v>
      </c>
      <c r="AH162" s="20"/>
      <c r="AI162" s="20"/>
      <c r="AJ162" s="20"/>
      <c r="AK162" s="20"/>
      <c r="AL162" s="20"/>
      <c r="AM162" s="20"/>
      <c r="AN162" s="20"/>
      <c r="AO162" s="20"/>
      <c r="AP162" s="21">
        <v>3300</v>
      </c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7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7"/>
      <c r="BQ162" s="36"/>
      <c r="BR162" s="36"/>
      <c r="BS162" s="36"/>
      <c r="BT162" s="36">
        <v>1195.3043995371329</v>
      </c>
      <c r="BU162" s="36"/>
      <c r="BV162" s="36"/>
      <c r="BW162" s="36"/>
      <c r="BX162" s="36"/>
      <c r="BY162" s="36"/>
      <c r="BZ162" s="36"/>
      <c r="CA162" s="36"/>
      <c r="CB162" s="36"/>
      <c r="CC162" s="37">
        <v>1195.3043995371329</v>
      </c>
    </row>
    <row r="163" spans="1:81" s="22" customFormat="1" ht="14.5" outlineLevel="1" x14ac:dyDescent="0.35">
      <c r="A163" s="22" t="s">
        <v>365</v>
      </c>
      <c r="B163" s="25" t="s">
        <v>129</v>
      </c>
      <c r="C163" s="23" t="s">
        <v>136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>
        <v>11000</v>
      </c>
      <c r="N163" s="20"/>
      <c r="O163" s="20"/>
      <c r="P163" s="21">
        <v>11000</v>
      </c>
      <c r="Q163" s="20"/>
      <c r="R163" s="20"/>
      <c r="S163" s="20">
        <v>11000</v>
      </c>
      <c r="T163" s="20"/>
      <c r="U163" s="20">
        <v>11000</v>
      </c>
      <c r="V163" s="20"/>
      <c r="W163" s="20"/>
      <c r="X163" s="20"/>
      <c r="Y163" s="20"/>
      <c r="Z163" s="20"/>
      <c r="AA163" s="20"/>
      <c r="AB163" s="20"/>
      <c r="AC163" s="21">
        <v>22000</v>
      </c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>
        <v>1100.1100235293482</v>
      </c>
      <c r="BA163" s="36"/>
      <c r="BB163" s="36"/>
      <c r="BC163" s="37">
        <v>1100.1100235293482</v>
      </c>
      <c r="BD163" s="36"/>
      <c r="BE163" s="36"/>
      <c r="BF163" s="36">
        <v>1106.2605169833419</v>
      </c>
      <c r="BG163" s="36"/>
      <c r="BH163" s="36">
        <v>1192.8780014307174</v>
      </c>
      <c r="BI163" s="36"/>
      <c r="BJ163" s="36"/>
      <c r="BK163" s="36"/>
      <c r="BL163" s="36"/>
      <c r="BM163" s="36"/>
      <c r="BN163" s="36"/>
      <c r="BO163" s="36"/>
      <c r="BP163" s="37">
        <v>1149.5692592070297</v>
      </c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7"/>
    </row>
    <row r="164" spans="1:81" s="22" customFormat="1" ht="14.5" outlineLevel="1" x14ac:dyDescent="0.35">
      <c r="A164" s="22" t="s">
        <v>365</v>
      </c>
      <c r="B164" s="25" t="s">
        <v>129</v>
      </c>
      <c r="C164" s="23" t="s">
        <v>41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1"/>
      <c r="Q164" s="20"/>
      <c r="R164" s="20">
        <v>1100</v>
      </c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1">
        <v>1100</v>
      </c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1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7"/>
      <c r="BD164" s="36"/>
      <c r="BE164" s="36">
        <v>1133.3097288287238</v>
      </c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7">
        <v>1133.3097288287238</v>
      </c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7"/>
    </row>
    <row r="165" spans="1:81" ht="14.5" x14ac:dyDescent="0.35">
      <c r="B165" s="15" t="s">
        <v>137</v>
      </c>
      <c r="C165" s="16"/>
      <c r="D165" s="17">
        <v>440000</v>
      </c>
      <c r="E165" s="17"/>
      <c r="F165" s="17">
        <v>176000</v>
      </c>
      <c r="G165" s="17">
        <v>441100</v>
      </c>
      <c r="H165" s="17">
        <v>330000</v>
      </c>
      <c r="I165" s="17">
        <v>110000</v>
      </c>
      <c r="J165" s="17">
        <v>212300</v>
      </c>
      <c r="K165" s="17">
        <v>892800</v>
      </c>
      <c r="L165" s="17">
        <v>748000</v>
      </c>
      <c r="M165" s="17">
        <v>807400</v>
      </c>
      <c r="N165" s="17"/>
      <c r="O165" s="17">
        <v>1100</v>
      </c>
      <c r="P165" s="18">
        <v>4158700</v>
      </c>
      <c r="Q165" s="17"/>
      <c r="R165" s="17">
        <v>45100</v>
      </c>
      <c r="S165" s="17">
        <v>231000</v>
      </c>
      <c r="T165" s="17">
        <v>154000</v>
      </c>
      <c r="U165" s="17">
        <v>11000</v>
      </c>
      <c r="V165" s="17">
        <v>264000</v>
      </c>
      <c r="W165" s="17">
        <v>374850</v>
      </c>
      <c r="X165" s="17">
        <v>264000</v>
      </c>
      <c r="Y165" s="17">
        <v>67100</v>
      </c>
      <c r="Z165" s="17">
        <v>264000</v>
      </c>
      <c r="AA165" s="17">
        <v>220000</v>
      </c>
      <c r="AB165" s="17"/>
      <c r="AC165" s="18">
        <v>1895050</v>
      </c>
      <c r="AD165" s="17">
        <v>244200</v>
      </c>
      <c r="AE165" s="17">
        <v>5500</v>
      </c>
      <c r="AF165" s="17">
        <v>660150</v>
      </c>
      <c r="AG165" s="17">
        <v>1238600</v>
      </c>
      <c r="AH165" s="17"/>
      <c r="AI165" s="17"/>
      <c r="AJ165" s="17"/>
      <c r="AK165" s="17"/>
      <c r="AL165" s="17"/>
      <c r="AM165" s="17"/>
      <c r="AN165" s="17"/>
      <c r="AO165" s="17"/>
      <c r="AP165" s="18">
        <v>2148450</v>
      </c>
      <c r="AQ165" s="17">
        <v>1100.8707469830874</v>
      </c>
      <c r="AR165" s="17"/>
      <c r="AS165" s="17">
        <v>1078.9487418926278</v>
      </c>
      <c r="AT165" s="17">
        <v>1054.6320439410076</v>
      </c>
      <c r="AU165" s="17">
        <v>1049.5867053961636</v>
      </c>
      <c r="AV165" s="17">
        <v>1061.9428643776796</v>
      </c>
      <c r="AW165" s="17">
        <v>1040.2265408165779</v>
      </c>
      <c r="AX165" s="17">
        <v>1042.4454487176365</v>
      </c>
      <c r="AY165" s="17">
        <v>1044.1534925458359</v>
      </c>
      <c r="AZ165" s="17">
        <v>1060.1425432163055</v>
      </c>
      <c r="BA165" s="17"/>
      <c r="BB165" s="17">
        <v>1029.5188339879237</v>
      </c>
      <c r="BC165" s="19">
        <v>1056.1731775447354</v>
      </c>
      <c r="BD165" s="17"/>
      <c r="BE165" s="17">
        <v>1070.989438076653</v>
      </c>
      <c r="BF165" s="17">
        <v>1108.1819029232431</v>
      </c>
      <c r="BG165" s="17">
        <v>1128.0826029521377</v>
      </c>
      <c r="BH165" s="17">
        <v>1192.8780014307174</v>
      </c>
      <c r="BI165" s="17">
        <v>1055.6448901521617</v>
      </c>
      <c r="BJ165" s="17">
        <v>1085.7568882622413</v>
      </c>
      <c r="BK165" s="17">
        <v>1010.592340516812</v>
      </c>
      <c r="BL165" s="17">
        <v>1079.3418099483299</v>
      </c>
      <c r="BM165" s="17">
        <v>1063.9378674739787</v>
      </c>
      <c r="BN165" s="17">
        <v>881.9578218290053</v>
      </c>
      <c r="BO165" s="17"/>
      <c r="BP165" s="19">
        <v>1050.6080440239818</v>
      </c>
      <c r="BQ165" s="17">
        <v>882.94317408346956</v>
      </c>
      <c r="BR165" s="17">
        <v>1110.7002719727043</v>
      </c>
      <c r="BS165" s="17">
        <v>1067.1696617744296</v>
      </c>
      <c r="BT165" s="17">
        <v>1104.2759473962042</v>
      </c>
      <c r="BU165" s="17"/>
      <c r="BV165" s="17"/>
      <c r="BW165" s="17"/>
      <c r="BX165" s="17"/>
      <c r="BY165" s="17"/>
      <c r="BZ165" s="17"/>
      <c r="CA165" s="17"/>
      <c r="CB165" s="17"/>
      <c r="CC165" s="19">
        <v>1067.7333962961034</v>
      </c>
    </row>
    <row r="166" spans="1:81" s="22" customFormat="1" ht="14.5" outlineLevel="1" x14ac:dyDescent="0.35">
      <c r="B166" s="25" t="s">
        <v>138</v>
      </c>
      <c r="C166" s="23" t="s">
        <v>58</v>
      </c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1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1"/>
      <c r="AD166" s="20">
        <v>500</v>
      </c>
      <c r="AE166" s="20"/>
      <c r="AF166" s="20">
        <v>1000</v>
      </c>
      <c r="AG166" s="20"/>
      <c r="AH166" s="20"/>
      <c r="AI166" s="20"/>
      <c r="AJ166" s="20"/>
      <c r="AK166" s="20"/>
      <c r="AL166" s="20"/>
      <c r="AM166" s="20"/>
      <c r="AN166" s="20"/>
      <c r="AO166" s="20"/>
      <c r="AP166" s="21">
        <v>1500</v>
      </c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7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7"/>
      <c r="BQ166" s="36">
        <v>1067.3497593257371</v>
      </c>
      <c r="BR166" s="36"/>
      <c r="BS166" s="36">
        <v>1068.3287679626449</v>
      </c>
      <c r="BT166" s="36"/>
      <c r="BU166" s="36"/>
      <c r="BV166" s="36"/>
      <c r="BW166" s="36"/>
      <c r="BX166" s="36"/>
      <c r="BY166" s="36"/>
      <c r="BZ166" s="36"/>
      <c r="CA166" s="36"/>
      <c r="CB166" s="36"/>
      <c r="CC166" s="37">
        <v>1068.0024317503423</v>
      </c>
    </row>
    <row r="167" spans="1:81" s="22" customFormat="1" ht="14.5" outlineLevel="1" x14ac:dyDescent="0.35">
      <c r="B167" s="25" t="s">
        <v>138</v>
      </c>
      <c r="C167" s="23" t="s">
        <v>5</v>
      </c>
      <c r="D167" s="20">
        <v>9625</v>
      </c>
      <c r="E167" s="20"/>
      <c r="F167" s="20"/>
      <c r="G167" s="20"/>
      <c r="H167" s="20"/>
      <c r="I167" s="20"/>
      <c r="J167" s="20"/>
      <c r="K167" s="20">
        <v>11000</v>
      </c>
      <c r="L167" s="20"/>
      <c r="M167" s="20">
        <v>11000</v>
      </c>
      <c r="N167" s="20">
        <v>12375</v>
      </c>
      <c r="O167" s="20">
        <v>4125</v>
      </c>
      <c r="P167" s="21">
        <v>48125</v>
      </c>
      <c r="Q167" s="20"/>
      <c r="R167" s="20">
        <v>11000</v>
      </c>
      <c r="S167" s="20">
        <v>16500</v>
      </c>
      <c r="T167" s="20">
        <v>16500</v>
      </c>
      <c r="U167" s="20">
        <v>16500</v>
      </c>
      <c r="V167" s="20">
        <v>16500</v>
      </c>
      <c r="W167" s="20">
        <v>11000</v>
      </c>
      <c r="X167" s="20">
        <v>16500</v>
      </c>
      <c r="Y167" s="20">
        <v>11000</v>
      </c>
      <c r="Z167" s="20">
        <v>11000</v>
      </c>
      <c r="AA167" s="20">
        <v>33000</v>
      </c>
      <c r="AB167" s="20">
        <v>22000</v>
      </c>
      <c r="AC167" s="21">
        <v>181500</v>
      </c>
      <c r="AD167" s="20">
        <v>22000</v>
      </c>
      <c r="AE167" s="20"/>
      <c r="AF167" s="20">
        <v>22000</v>
      </c>
      <c r="AG167" s="20"/>
      <c r="AH167" s="20"/>
      <c r="AI167" s="20"/>
      <c r="AJ167" s="20"/>
      <c r="AK167" s="20"/>
      <c r="AL167" s="20"/>
      <c r="AM167" s="20"/>
      <c r="AN167" s="20"/>
      <c r="AO167" s="20"/>
      <c r="AP167" s="21">
        <v>44000</v>
      </c>
      <c r="AQ167" s="36">
        <v>876.88572233632419</v>
      </c>
      <c r="AR167" s="36"/>
      <c r="AS167" s="36"/>
      <c r="AT167" s="36"/>
      <c r="AU167" s="36"/>
      <c r="AV167" s="36"/>
      <c r="AW167" s="36"/>
      <c r="AX167" s="36">
        <v>902.96574734879005</v>
      </c>
      <c r="AY167" s="36"/>
      <c r="AZ167" s="36">
        <v>883.06700546111995</v>
      </c>
      <c r="BA167" s="36">
        <v>883.42257956480444</v>
      </c>
      <c r="BB167" s="36">
        <v>882.78356679529077</v>
      </c>
      <c r="BC167" s="37">
        <v>886.44617129436187</v>
      </c>
      <c r="BD167" s="36"/>
      <c r="BE167" s="36">
        <v>799.88151222720796</v>
      </c>
      <c r="BF167" s="36">
        <v>816.28397683315461</v>
      </c>
      <c r="BG167" s="36">
        <v>779.08574342994734</v>
      </c>
      <c r="BH167" s="36">
        <v>775.82988082063116</v>
      </c>
      <c r="BI167" s="36">
        <v>771.75642589621691</v>
      </c>
      <c r="BJ167" s="36">
        <v>769.58425913763119</v>
      </c>
      <c r="BK167" s="36">
        <v>765.3168830499701</v>
      </c>
      <c r="BL167" s="36">
        <v>763.05324906685746</v>
      </c>
      <c r="BM167" s="36">
        <v>764.19956608517043</v>
      </c>
      <c r="BN167" s="36">
        <v>761.86264197335947</v>
      </c>
      <c r="BO167" s="36">
        <v>765.18999336298521</v>
      </c>
      <c r="BP167" s="37">
        <v>774.24823419441191</v>
      </c>
      <c r="BQ167" s="36">
        <v>762.39268523266935</v>
      </c>
      <c r="BR167" s="36"/>
      <c r="BS167" s="36">
        <v>734.9096029613163</v>
      </c>
      <c r="BT167" s="36"/>
      <c r="BU167" s="36"/>
      <c r="BV167" s="36"/>
      <c r="BW167" s="36"/>
      <c r="BX167" s="36"/>
      <c r="BY167" s="36"/>
      <c r="BZ167" s="36"/>
      <c r="CA167" s="36"/>
      <c r="CB167" s="36"/>
      <c r="CC167" s="37">
        <v>748.65114409699277</v>
      </c>
    </row>
    <row r="168" spans="1:81" s="22" customFormat="1" ht="14.5" outlineLevel="1" x14ac:dyDescent="0.35">
      <c r="B168" s="25" t="s">
        <v>138</v>
      </c>
      <c r="C168" s="23" t="s">
        <v>54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1"/>
      <c r="Q168" s="20">
        <v>5500</v>
      </c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1">
        <v>5500</v>
      </c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1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7"/>
      <c r="BD168" s="36">
        <v>883.53848734202768</v>
      </c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7">
        <v>883.53848734202768</v>
      </c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7"/>
    </row>
    <row r="169" spans="1:81" ht="14.5" x14ac:dyDescent="0.35">
      <c r="B169" s="15" t="s">
        <v>139</v>
      </c>
      <c r="C169" s="16"/>
      <c r="D169" s="17">
        <v>9625</v>
      </c>
      <c r="E169" s="17"/>
      <c r="F169" s="17"/>
      <c r="G169" s="17"/>
      <c r="H169" s="17"/>
      <c r="I169" s="17"/>
      <c r="J169" s="17"/>
      <c r="K169" s="17">
        <v>11000</v>
      </c>
      <c r="L169" s="17"/>
      <c r="M169" s="17">
        <v>11000</v>
      </c>
      <c r="N169" s="17">
        <v>12375</v>
      </c>
      <c r="O169" s="17">
        <v>4125</v>
      </c>
      <c r="P169" s="18">
        <v>48125</v>
      </c>
      <c r="Q169" s="17">
        <v>5500</v>
      </c>
      <c r="R169" s="17">
        <v>11000</v>
      </c>
      <c r="S169" s="17">
        <v>16500</v>
      </c>
      <c r="T169" s="17">
        <v>16500</v>
      </c>
      <c r="U169" s="17">
        <v>16500</v>
      </c>
      <c r="V169" s="17">
        <v>16500</v>
      </c>
      <c r="W169" s="17">
        <v>11000</v>
      </c>
      <c r="X169" s="17">
        <v>16500</v>
      </c>
      <c r="Y169" s="17">
        <v>11000</v>
      </c>
      <c r="Z169" s="17">
        <v>11000</v>
      </c>
      <c r="AA169" s="17">
        <v>33000</v>
      </c>
      <c r="AB169" s="17">
        <v>22000</v>
      </c>
      <c r="AC169" s="18">
        <v>187000</v>
      </c>
      <c r="AD169" s="17">
        <v>22500</v>
      </c>
      <c r="AE169" s="17"/>
      <c r="AF169" s="17">
        <v>23000</v>
      </c>
      <c r="AG169" s="17"/>
      <c r="AH169" s="17"/>
      <c r="AI169" s="17"/>
      <c r="AJ169" s="17"/>
      <c r="AK169" s="17"/>
      <c r="AL169" s="17"/>
      <c r="AM169" s="17"/>
      <c r="AN169" s="17"/>
      <c r="AO169" s="17"/>
      <c r="AP169" s="18">
        <v>45500</v>
      </c>
      <c r="AQ169" s="17">
        <v>876.88572233632419</v>
      </c>
      <c r="AR169" s="17"/>
      <c r="AS169" s="17"/>
      <c r="AT169" s="17"/>
      <c r="AU169" s="17"/>
      <c r="AV169" s="17"/>
      <c r="AW169" s="17"/>
      <c r="AX169" s="17">
        <v>902.96574734879005</v>
      </c>
      <c r="AY169" s="17"/>
      <c r="AZ169" s="17">
        <v>883.06700546111995</v>
      </c>
      <c r="BA169" s="17">
        <v>883.42257956480444</v>
      </c>
      <c r="BB169" s="17">
        <v>882.78356679529077</v>
      </c>
      <c r="BC169" s="19">
        <v>886.44617129436187</v>
      </c>
      <c r="BD169" s="17">
        <v>883.53848734202768</v>
      </c>
      <c r="BE169" s="17">
        <v>799.88151222720796</v>
      </c>
      <c r="BF169" s="17">
        <v>816.28397683315461</v>
      </c>
      <c r="BG169" s="17">
        <v>779.08574342994734</v>
      </c>
      <c r="BH169" s="17">
        <v>775.82988082063116</v>
      </c>
      <c r="BI169" s="17">
        <v>771.75642589621691</v>
      </c>
      <c r="BJ169" s="17">
        <v>769.58425913763119</v>
      </c>
      <c r="BK169" s="17">
        <v>765.3168830499701</v>
      </c>
      <c r="BL169" s="17">
        <v>763.05324906685746</v>
      </c>
      <c r="BM169" s="17">
        <v>764.19956608517043</v>
      </c>
      <c r="BN169" s="17">
        <v>761.86264197335947</v>
      </c>
      <c r="BO169" s="17">
        <v>765.18999336298521</v>
      </c>
      <c r="BP169" s="19">
        <v>777.46265340463583</v>
      </c>
      <c r="BQ169" s="17">
        <v>769.16950910140429</v>
      </c>
      <c r="BR169" s="17"/>
      <c r="BS169" s="17">
        <v>749.40608839615652</v>
      </c>
      <c r="BT169" s="17"/>
      <c r="BU169" s="17"/>
      <c r="BV169" s="17"/>
      <c r="BW169" s="17"/>
      <c r="BX169" s="17"/>
      <c r="BY169" s="17"/>
      <c r="BZ169" s="17"/>
      <c r="CA169" s="17"/>
      <c r="CB169" s="17"/>
      <c r="CC169" s="19">
        <v>759.17920852512509</v>
      </c>
    </row>
    <row r="170" spans="1:81" s="22" customFormat="1" ht="14.5" outlineLevel="1" x14ac:dyDescent="0.35">
      <c r="B170" s="25" t="s">
        <v>140</v>
      </c>
      <c r="C170" s="23" t="s">
        <v>5</v>
      </c>
      <c r="D170" s="20">
        <v>9625</v>
      </c>
      <c r="E170" s="20"/>
      <c r="F170" s="20"/>
      <c r="G170" s="20"/>
      <c r="H170" s="20">
        <v>10000</v>
      </c>
      <c r="I170" s="20"/>
      <c r="J170" s="20"/>
      <c r="K170" s="20">
        <v>5500</v>
      </c>
      <c r="L170" s="20"/>
      <c r="M170" s="20">
        <v>5500</v>
      </c>
      <c r="N170" s="20">
        <v>11000</v>
      </c>
      <c r="O170" s="20">
        <v>1375</v>
      </c>
      <c r="P170" s="21">
        <v>43000</v>
      </c>
      <c r="Q170" s="20"/>
      <c r="R170" s="20">
        <v>16500</v>
      </c>
      <c r="S170" s="20"/>
      <c r="T170" s="20">
        <v>11000</v>
      </c>
      <c r="U170" s="20">
        <v>5500</v>
      </c>
      <c r="V170" s="20"/>
      <c r="W170" s="20">
        <v>11000</v>
      </c>
      <c r="X170" s="20">
        <v>5500</v>
      </c>
      <c r="Y170" s="20">
        <v>5500</v>
      </c>
      <c r="Z170" s="20">
        <v>5500</v>
      </c>
      <c r="AA170" s="20">
        <v>4125</v>
      </c>
      <c r="AB170" s="20">
        <v>5500</v>
      </c>
      <c r="AC170" s="21">
        <v>70125</v>
      </c>
      <c r="AD170" s="20">
        <v>5500</v>
      </c>
      <c r="AE170" s="20"/>
      <c r="AF170" s="20">
        <v>16500</v>
      </c>
      <c r="AG170" s="20">
        <v>11000</v>
      </c>
      <c r="AH170" s="20"/>
      <c r="AI170" s="20"/>
      <c r="AJ170" s="20"/>
      <c r="AK170" s="20"/>
      <c r="AL170" s="20"/>
      <c r="AM170" s="20"/>
      <c r="AN170" s="20"/>
      <c r="AO170" s="20"/>
      <c r="AP170" s="21">
        <v>33000</v>
      </c>
      <c r="AQ170" s="36">
        <v>876.88572233632317</v>
      </c>
      <c r="AR170" s="36"/>
      <c r="AS170" s="36"/>
      <c r="AT170" s="36"/>
      <c r="AU170" s="36">
        <v>902.37265446806816</v>
      </c>
      <c r="AV170" s="36"/>
      <c r="AW170" s="36"/>
      <c r="AX170" s="36">
        <v>902.96575099884126</v>
      </c>
      <c r="AY170" s="36"/>
      <c r="AZ170" s="36">
        <v>873.18850919547424</v>
      </c>
      <c r="BA170" s="36">
        <v>883.42257876276369</v>
      </c>
      <c r="BB170" s="36">
        <v>882.78355718493685</v>
      </c>
      <c r="BC170" s="37">
        <v>887.53664676177243</v>
      </c>
      <c r="BD170" s="36"/>
      <c r="BE170" s="36">
        <v>799.88151222720796</v>
      </c>
      <c r="BF170" s="36"/>
      <c r="BG170" s="36">
        <v>779.08574342994746</v>
      </c>
      <c r="BH170" s="36">
        <v>775.82988082063105</v>
      </c>
      <c r="BI170" s="36"/>
      <c r="BJ170" s="36">
        <v>769.58425913763119</v>
      </c>
      <c r="BK170" s="36">
        <v>765.3168830499701</v>
      </c>
      <c r="BL170" s="36">
        <v>763.05324906685746</v>
      </c>
      <c r="BM170" s="36">
        <v>764.19956608517043</v>
      </c>
      <c r="BN170" s="36">
        <v>763.70131073511413</v>
      </c>
      <c r="BO170" s="36">
        <v>765.18999336298521</v>
      </c>
      <c r="BP170" s="37">
        <v>776.73334096107692</v>
      </c>
      <c r="BQ170" s="36">
        <v>762.39268523266935</v>
      </c>
      <c r="BR170" s="36"/>
      <c r="BS170" s="36">
        <v>742.29772073975914</v>
      </c>
      <c r="BT170" s="36">
        <v>1194.7329756918621</v>
      </c>
      <c r="BU170" s="36"/>
      <c r="BV170" s="36"/>
      <c r="BW170" s="36"/>
      <c r="BX170" s="36"/>
      <c r="BY170" s="36"/>
      <c r="BZ170" s="36"/>
      <c r="CA170" s="36"/>
      <c r="CB170" s="36"/>
      <c r="CC170" s="37">
        <v>896.45863313927862</v>
      </c>
    </row>
    <row r="171" spans="1:81" s="22" customFormat="1" ht="14.5" outlineLevel="1" x14ac:dyDescent="0.35">
      <c r="B171" s="25" t="s">
        <v>140</v>
      </c>
      <c r="C171" s="23" t="s">
        <v>141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1"/>
      <c r="Q171" s="20"/>
      <c r="R171" s="20"/>
      <c r="S171" s="20"/>
      <c r="T171" s="20">
        <v>1500</v>
      </c>
      <c r="U171" s="20"/>
      <c r="V171" s="20"/>
      <c r="W171" s="20"/>
      <c r="X171" s="20">
        <v>9625</v>
      </c>
      <c r="Y171" s="20">
        <v>22000</v>
      </c>
      <c r="Z171" s="20">
        <v>11000</v>
      </c>
      <c r="AA171" s="20">
        <v>8250</v>
      </c>
      <c r="AB171" s="20"/>
      <c r="AC171" s="21">
        <v>52375</v>
      </c>
      <c r="AD171" s="20"/>
      <c r="AE171" s="20"/>
      <c r="AF171" s="20">
        <v>11000</v>
      </c>
      <c r="AG171" s="20">
        <v>11000</v>
      </c>
      <c r="AH171" s="20"/>
      <c r="AI171" s="20"/>
      <c r="AJ171" s="20"/>
      <c r="AK171" s="20"/>
      <c r="AL171" s="20"/>
      <c r="AM171" s="20"/>
      <c r="AN171" s="20"/>
      <c r="AO171" s="20"/>
      <c r="AP171" s="21">
        <v>22000</v>
      </c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7"/>
      <c r="BD171" s="36"/>
      <c r="BE171" s="36"/>
      <c r="BF171" s="36"/>
      <c r="BG171" s="36">
        <v>703.34128749552747</v>
      </c>
      <c r="BH171" s="36"/>
      <c r="BI171" s="36"/>
      <c r="BJ171" s="36"/>
      <c r="BK171" s="36">
        <v>690.91107409218478</v>
      </c>
      <c r="BL171" s="36">
        <v>688.86751613331035</v>
      </c>
      <c r="BM171" s="36">
        <v>689.90238218951856</v>
      </c>
      <c r="BN171" s="36">
        <v>687.73330059076841</v>
      </c>
      <c r="BO171" s="36"/>
      <c r="BP171" s="37">
        <v>689.696273188963</v>
      </c>
      <c r="BQ171" s="36"/>
      <c r="BR171" s="36"/>
      <c r="BS171" s="36">
        <v>705.8600788324618</v>
      </c>
      <c r="BT171" s="36">
        <v>700.65741311872057</v>
      </c>
      <c r="BU171" s="36"/>
      <c r="BV171" s="36"/>
      <c r="BW171" s="36"/>
      <c r="BX171" s="36"/>
      <c r="BY171" s="36"/>
      <c r="BZ171" s="36"/>
      <c r="CA171" s="36"/>
      <c r="CB171" s="36"/>
      <c r="CC171" s="37">
        <v>703.25874597559118</v>
      </c>
    </row>
    <row r="172" spans="1:81" s="22" customFormat="1" ht="14.5" outlineLevel="1" x14ac:dyDescent="0.35">
      <c r="B172" s="25" t="s">
        <v>140</v>
      </c>
      <c r="C172" s="23" t="s">
        <v>25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1"/>
      <c r="Q172" s="20"/>
      <c r="R172" s="20"/>
      <c r="S172" s="20"/>
      <c r="T172" s="20"/>
      <c r="U172" s="20"/>
      <c r="V172" s="20"/>
      <c r="W172" s="20"/>
      <c r="X172" s="20"/>
      <c r="Y172" s="20"/>
      <c r="Z172" s="20">
        <v>25</v>
      </c>
      <c r="AA172" s="20"/>
      <c r="AB172" s="20"/>
      <c r="AC172" s="21">
        <v>25</v>
      </c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1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7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>
        <v>765.68975523903657</v>
      </c>
      <c r="BN172" s="36"/>
      <c r="BO172" s="36"/>
      <c r="BP172" s="37">
        <v>765.68975523903657</v>
      </c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7"/>
    </row>
    <row r="173" spans="1:81" s="22" customFormat="1" ht="14.5" outlineLevel="1" x14ac:dyDescent="0.35">
      <c r="B173" s="25" t="s">
        <v>140</v>
      </c>
      <c r="C173" s="23" t="s">
        <v>142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1"/>
      <c r="Q173" s="20"/>
      <c r="R173" s="20">
        <v>25000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1">
        <v>25000</v>
      </c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7"/>
      <c r="BD173" s="36"/>
      <c r="BE173" s="36">
        <v>750.02822721893494</v>
      </c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7">
        <v>750.02822721893494</v>
      </c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7"/>
    </row>
    <row r="174" spans="1:81" ht="14.5" x14ac:dyDescent="0.35">
      <c r="B174" s="15" t="s">
        <v>143</v>
      </c>
      <c r="C174" s="16"/>
      <c r="D174" s="17">
        <v>9625</v>
      </c>
      <c r="E174" s="17"/>
      <c r="F174" s="17"/>
      <c r="G174" s="17"/>
      <c r="H174" s="17">
        <v>10000</v>
      </c>
      <c r="I174" s="17"/>
      <c r="J174" s="17"/>
      <c r="K174" s="17">
        <v>5500</v>
      </c>
      <c r="L174" s="17"/>
      <c r="M174" s="17">
        <v>5500</v>
      </c>
      <c r="N174" s="17">
        <v>11000</v>
      </c>
      <c r="O174" s="17">
        <v>1375</v>
      </c>
      <c r="P174" s="18">
        <v>43000</v>
      </c>
      <c r="Q174" s="17"/>
      <c r="R174" s="17">
        <v>41500</v>
      </c>
      <c r="S174" s="17"/>
      <c r="T174" s="17">
        <v>12500</v>
      </c>
      <c r="U174" s="17">
        <v>5500</v>
      </c>
      <c r="V174" s="17"/>
      <c r="W174" s="17">
        <v>11000</v>
      </c>
      <c r="X174" s="17">
        <v>15125</v>
      </c>
      <c r="Y174" s="17">
        <v>27500</v>
      </c>
      <c r="Z174" s="17">
        <v>16525</v>
      </c>
      <c r="AA174" s="17">
        <v>12375</v>
      </c>
      <c r="AB174" s="17">
        <v>5500</v>
      </c>
      <c r="AC174" s="18">
        <v>147525</v>
      </c>
      <c r="AD174" s="17">
        <v>5500</v>
      </c>
      <c r="AE174" s="17"/>
      <c r="AF174" s="17">
        <v>27500</v>
      </c>
      <c r="AG174" s="17">
        <v>22000</v>
      </c>
      <c r="AH174" s="17"/>
      <c r="AI174" s="17"/>
      <c r="AJ174" s="17"/>
      <c r="AK174" s="17"/>
      <c r="AL174" s="17"/>
      <c r="AM174" s="17"/>
      <c r="AN174" s="17"/>
      <c r="AO174" s="17"/>
      <c r="AP174" s="18">
        <v>55000</v>
      </c>
      <c r="AQ174" s="17">
        <v>876.88572233632317</v>
      </c>
      <c r="AR174" s="17"/>
      <c r="AS174" s="17"/>
      <c r="AT174" s="17"/>
      <c r="AU174" s="17">
        <v>902.37265446806816</v>
      </c>
      <c r="AV174" s="17"/>
      <c r="AW174" s="17"/>
      <c r="AX174" s="17">
        <v>902.96575099884126</v>
      </c>
      <c r="AY174" s="17"/>
      <c r="AZ174" s="17">
        <v>873.18850919547424</v>
      </c>
      <c r="BA174" s="17">
        <v>883.42257876276369</v>
      </c>
      <c r="BB174" s="17">
        <v>882.78355718493685</v>
      </c>
      <c r="BC174" s="19">
        <v>887.53664676177243</v>
      </c>
      <c r="BD174" s="17"/>
      <c r="BE174" s="17">
        <v>769.84941282463387</v>
      </c>
      <c r="BF174" s="17"/>
      <c r="BG174" s="17">
        <v>769.99640871781696</v>
      </c>
      <c r="BH174" s="17">
        <v>775.82988082063105</v>
      </c>
      <c r="BI174" s="17"/>
      <c r="BJ174" s="17">
        <v>769.58425913763119</v>
      </c>
      <c r="BK174" s="17">
        <v>717.96773189501585</v>
      </c>
      <c r="BL174" s="17">
        <v>703.70466272001977</v>
      </c>
      <c r="BM174" s="17">
        <v>714.74529872521146</v>
      </c>
      <c r="BN174" s="17">
        <v>713.05597063888376</v>
      </c>
      <c r="BO174" s="17">
        <v>765.18999336298521</v>
      </c>
      <c r="BP174" s="19">
        <v>741.30564831399306</v>
      </c>
      <c r="BQ174" s="17">
        <v>762.39268523266935</v>
      </c>
      <c r="BR174" s="17"/>
      <c r="BS174" s="17">
        <v>727.72266397684029</v>
      </c>
      <c r="BT174" s="17">
        <v>947.69519440529132</v>
      </c>
      <c r="BU174" s="17"/>
      <c r="BV174" s="17"/>
      <c r="BW174" s="17"/>
      <c r="BX174" s="17"/>
      <c r="BY174" s="17"/>
      <c r="BZ174" s="17"/>
      <c r="CA174" s="17"/>
      <c r="CB174" s="17"/>
      <c r="CC174" s="19">
        <v>819.17867827380348</v>
      </c>
    </row>
    <row r="175" spans="1:81" s="22" customFormat="1" ht="14.5" outlineLevel="1" x14ac:dyDescent="0.35">
      <c r="B175" s="25" t="s">
        <v>144</v>
      </c>
      <c r="C175" s="23" t="s">
        <v>5</v>
      </c>
      <c r="D175" s="20"/>
      <c r="E175" s="20">
        <v>200</v>
      </c>
      <c r="F175" s="20"/>
      <c r="G175" s="20">
        <v>150</v>
      </c>
      <c r="H175" s="20"/>
      <c r="I175" s="20"/>
      <c r="J175" s="20"/>
      <c r="K175" s="20"/>
      <c r="L175" s="20"/>
      <c r="M175" s="20"/>
      <c r="N175" s="20">
        <v>1375</v>
      </c>
      <c r="O175" s="20"/>
      <c r="P175" s="21">
        <v>1725</v>
      </c>
      <c r="Q175" s="20"/>
      <c r="R175" s="20">
        <v>1000</v>
      </c>
      <c r="S175" s="20"/>
      <c r="T175" s="20"/>
      <c r="U175" s="20"/>
      <c r="V175" s="20">
        <v>1375</v>
      </c>
      <c r="W175" s="20">
        <v>1375</v>
      </c>
      <c r="X175" s="20"/>
      <c r="Y175" s="20"/>
      <c r="Z175" s="20"/>
      <c r="AA175" s="20">
        <v>1375</v>
      </c>
      <c r="AB175" s="20"/>
      <c r="AC175" s="21">
        <v>5125</v>
      </c>
      <c r="AD175" s="20"/>
      <c r="AE175" s="20"/>
      <c r="AF175" s="20">
        <v>1375</v>
      </c>
      <c r="AG175" s="20"/>
      <c r="AH175" s="20"/>
      <c r="AI175" s="20"/>
      <c r="AJ175" s="20"/>
      <c r="AK175" s="20"/>
      <c r="AL175" s="20"/>
      <c r="AM175" s="20"/>
      <c r="AN175" s="20"/>
      <c r="AO175" s="20"/>
      <c r="AP175" s="21">
        <v>1375</v>
      </c>
      <c r="AQ175" s="36"/>
      <c r="AR175" s="36">
        <v>681.07778982627428</v>
      </c>
      <c r="AS175" s="36"/>
      <c r="AT175" s="36">
        <v>665.2320252162117</v>
      </c>
      <c r="AU175" s="36"/>
      <c r="AV175" s="36"/>
      <c r="AW175" s="36"/>
      <c r="AX175" s="36"/>
      <c r="AY175" s="36"/>
      <c r="AZ175" s="36"/>
      <c r="BA175" s="36">
        <v>883.42258598113051</v>
      </c>
      <c r="BB175" s="36"/>
      <c r="BC175" s="37">
        <v>840.98922751984992</v>
      </c>
      <c r="BD175" s="36"/>
      <c r="BE175" s="36">
        <v>799.88151222720785</v>
      </c>
      <c r="BF175" s="36"/>
      <c r="BG175" s="36"/>
      <c r="BH175" s="36"/>
      <c r="BI175" s="36">
        <v>771.75642589621691</v>
      </c>
      <c r="BJ175" s="36">
        <v>769.58425913763119</v>
      </c>
      <c r="BK175" s="36"/>
      <c r="BL175" s="36"/>
      <c r="BM175" s="36"/>
      <c r="BN175" s="36">
        <v>763.70131073511413</v>
      </c>
      <c r="BO175" s="36"/>
      <c r="BP175" s="37">
        <v>774.50034271405491</v>
      </c>
      <c r="BQ175" s="36"/>
      <c r="BR175" s="36"/>
      <c r="BS175" s="36">
        <v>721.12191837478531</v>
      </c>
      <c r="BT175" s="36"/>
      <c r="BU175" s="36"/>
      <c r="BV175" s="36"/>
      <c r="BW175" s="36"/>
      <c r="BX175" s="36"/>
      <c r="BY175" s="36"/>
      <c r="BZ175" s="36"/>
      <c r="CA175" s="36"/>
      <c r="CB175" s="36"/>
      <c r="CC175" s="37">
        <v>721.12191837478531</v>
      </c>
    </row>
    <row r="176" spans="1:81" s="22" customFormat="1" ht="14.5" outlineLevel="1" x14ac:dyDescent="0.35">
      <c r="B176" s="25" t="s">
        <v>144</v>
      </c>
      <c r="C176" s="23" t="s">
        <v>141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1"/>
      <c r="Q176" s="20"/>
      <c r="R176" s="20"/>
      <c r="S176" s="20"/>
      <c r="T176" s="20"/>
      <c r="U176" s="20"/>
      <c r="V176" s="20"/>
      <c r="W176" s="20">
        <v>300</v>
      </c>
      <c r="X176" s="20"/>
      <c r="Y176" s="20"/>
      <c r="Z176" s="20"/>
      <c r="AA176" s="20"/>
      <c r="AB176" s="20"/>
      <c r="AC176" s="21">
        <v>300</v>
      </c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1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7"/>
      <c r="BD176" s="36"/>
      <c r="BE176" s="36"/>
      <c r="BF176" s="36"/>
      <c r="BG176" s="36"/>
      <c r="BH176" s="36"/>
      <c r="BI176" s="36"/>
      <c r="BJ176" s="36">
        <v>579.57128192946459</v>
      </c>
      <c r="BK176" s="36"/>
      <c r="BL176" s="36"/>
      <c r="BM176" s="36"/>
      <c r="BN176" s="36"/>
      <c r="BO176" s="36"/>
      <c r="BP176" s="37">
        <v>579.57128192946459</v>
      </c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7"/>
    </row>
    <row r="177" spans="2:81" ht="14.5" x14ac:dyDescent="0.35">
      <c r="B177" s="15" t="s">
        <v>145</v>
      </c>
      <c r="C177" s="16"/>
      <c r="D177" s="17"/>
      <c r="E177" s="17">
        <v>200</v>
      </c>
      <c r="F177" s="17"/>
      <c r="G177" s="17">
        <v>150</v>
      </c>
      <c r="H177" s="17"/>
      <c r="I177" s="17"/>
      <c r="J177" s="17"/>
      <c r="K177" s="17"/>
      <c r="L177" s="17"/>
      <c r="M177" s="17"/>
      <c r="N177" s="17">
        <v>1375</v>
      </c>
      <c r="O177" s="17"/>
      <c r="P177" s="18">
        <v>1725</v>
      </c>
      <c r="Q177" s="17"/>
      <c r="R177" s="17">
        <v>1000</v>
      </c>
      <c r="S177" s="17"/>
      <c r="T177" s="17"/>
      <c r="U177" s="17"/>
      <c r="V177" s="17">
        <v>1375</v>
      </c>
      <c r="W177" s="17">
        <v>1675</v>
      </c>
      <c r="X177" s="17"/>
      <c r="Y177" s="17"/>
      <c r="Z177" s="17"/>
      <c r="AA177" s="17">
        <v>1375</v>
      </c>
      <c r="AB177" s="17"/>
      <c r="AC177" s="18">
        <v>5425</v>
      </c>
      <c r="AD177" s="17"/>
      <c r="AE177" s="17"/>
      <c r="AF177" s="17">
        <v>1375</v>
      </c>
      <c r="AG177" s="17"/>
      <c r="AH177" s="17"/>
      <c r="AI177" s="17"/>
      <c r="AJ177" s="17"/>
      <c r="AK177" s="17"/>
      <c r="AL177" s="17"/>
      <c r="AM177" s="17"/>
      <c r="AN177" s="17"/>
      <c r="AO177" s="17"/>
      <c r="AP177" s="18">
        <v>1375</v>
      </c>
      <c r="AQ177" s="17"/>
      <c r="AR177" s="17">
        <v>681.07778982627428</v>
      </c>
      <c r="AS177" s="17"/>
      <c r="AT177" s="17">
        <v>665.2320252162117</v>
      </c>
      <c r="AU177" s="17"/>
      <c r="AV177" s="17"/>
      <c r="AW177" s="17"/>
      <c r="AX177" s="17"/>
      <c r="AY177" s="17"/>
      <c r="AZ177" s="17"/>
      <c r="BA177" s="17">
        <v>883.42258598113051</v>
      </c>
      <c r="BB177" s="17"/>
      <c r="BC177" s="19">
        <v>840.98922751984992</v>
      </c>
      <c r="BD177" s="17"/>
      <c r="BE177" s="17">
        <v>799.88151222720785</v>
      </c>
      <c r="BF177" s="17"/>
      <c r="BG177" s="17"/>
      <c r="BH177" s="17"/>
      <c r="BI177" s="17">
        <v>771.75642589621691</v>
      </c>
      <c r="BJ177" s="17">
        <v>735.55208411527292</v>
      </c>
      <c r="BK177" s="17"/>
      <c r="BL177" s="17"/>
      <c r="BM177" s="17"/>
      <c r="BN177" s="17">
        <v>763.70131073511413</v>
      </c>
      <c r="BO177" s="17"/>
      <c r="BP177" s="19">
        <v>763.72085548172743</v>
      </c>
      <c r="BQ177" s="17"/>
      <c r="BR177" s="17"/>
      <c r="BS177" s="17">
        <v>721.12191837478531</v>
      </c>
      <c r="BT177" s="17"/>
      <c r="BU177" s="17"/>
      <c r="BV177" s="17"/>
      <c r="BW177" s="17"/>
      <c r="BX177" s="17"/>
      <c r="BY177" s="17"/>
      <c r="BZ177" s="17"/>
      <c r="CA177" s="17"/>
      <c r="CB177" s="17"/>
      <c r="CC177" s="19">
        <v>721.12191837478531</v>
      </c>
    </row>
    <row r="178" spans="2:81" s="22" customFormat="1" ht="14.5" outlineLevel="1" x14ac:dyDescent="0.35">
      <c r="B178" s="25" t="s">
        <v>146</v>
      </c>
      <c r="C178" s="23" t="s">
        <v>5</v>
      </c>
      <c r="D178" s="20">
        <v>5500</v>
      </c>
      <c r="E178" s="20"/>
      <c r="F178" s="20"/>
      <c r="G178" s="20">
        <v>2750</v>
      </c>
      <c r="H178" s="20">
        <v>18250</v>
      </c>
      <c r="I178" s="20"/>
      <c r="J178" s="20"/>
      <c r="K178" s="20"/>
      <c r="L178" s="20"/>
      <c r="M178" s="20"/>
      <c r="N178" s="20">
        <v>4125</v>
      </c>
      <c r="O178" s="20">
        <v>2750</v>
      </c>
      <c r="P178" s="21">
        <v>33375</v>
      </c>
      <c r="Q178" s="20"/>
      <c r="R178" s="20">
        <v>5500</v>
      </c>
      <c r="S178" s="20">
        <v>11000</v>
      </c>
      <c r="T178" s="20"/>
      <c r="U178" s="20">
        <v>5500</v>
      </c>
      <c r="V178" s="20"/>
      <c r="W178" s="20">
        <v>5500</v>
      </c>
      <c r="X178" s="20"/>
      <c r="Y178" s="20">
        <v>2750</v>
      </c>
      <c r="Z178" s="20">
        <v>2750</v>
      </c>
      <c r="AA178" s="20">
        <v>5500</v>
      </c>
      <c r="AB178" s="20">
        <v>5500</v>
      </c>
      <c r="AC178" s="21">
        <v>44000</v>
      </c>
      <c r="AD178" s="20"/>
      <c r="AE178" s="20">
        <v>5500</v>
      </c>
      <c r="AF178" s="20"/>
      <c r="AG178" s="20">
        <v>5500</v>
      </c>
      <c r="AH178" s="20"/>
      <c r="AI178" s="20"/>
      <c r="AJ178" s="20"/>
      <c r="AK178" s="20"/>
      <c r="AL178" s="20"/>
      <c r="AM178" s="20"/>
      <c r="AN178" s="20"/>
      <c r="AO178" s="20"/>
      <c r="AP178" s="21">
        <v>11000</v>
      </c>
      <c r="AQ178" s="36">
        <v>876.88572127072541</v>
      </c>
      <c r="AR178" s="36"/>
      <c r="AS178" s="36"/>
      <c r="AT178" s="36">
        <v>909.42051326281785</v>
      </c>
      <c r="AU178" s="36">
        <v>904.80747458419387</v>
      </c>
      <c r="AV178" s="36"/>
      <c r="AW178" s="36"/>
      <c r="AX178" s="36"/>
      <c r="AY178" s="36"/>
      <c r="AZ178" s="36"/>
      <c r="BA178" s="36">
        <v>883.42257635664123</v>
      </c>
      <c r="BB178" s="36">
        <v>882.78357160046767</v>
      </c>
      <c r="BC178" s="37">
        <v>896.12845659912239</v>
      </c>
      <c r="BD178" s="36"/>
      <c r="BE178" s="36">
        <v>799.88151222720796</v>
      </c>
      <c r="BF178" s="36">
        <v>816.28397683315472</v>
      </c>
      <c r="BG178" s="36"/>
      <c r="BH178" s="36">
        <v>775.82988082063105</v>
      </c>
      <c r="BI178" s="36"/>
      <c r="BJ178" s="36">
        <v>769.58425913763119</v>
      </c>
      <c r="BK178" s="36"/>
      <c r="BL178" s="36">
        <v>763.05324906685746</v>
      </c>
      <c r="BM178" s="36">
        <v>764.19956608517043</v>
      </c>
      <c r="BN178" s="36">
        <v>763.70131073511413</v>
      </c>
      <c r="BO178" s="36">
        <v>765.18999336298521</v>
      </c>
      <c r="BP178" s="37">
        <v>783.79766469073638</v>
      </c>
      <c r="BQ178" s="36"/>
      <c r="BR178" s="36">
        <v>747.61679200279139</v>
      </c>
      <c r="BS178" s="36"/>
      <c r="BT178" s="36">
        <v>1195.1520198450607</v>
      </c>
      <c r="BU178" s="36"/>
      <c r="BV178" s="36"/>
      <c r="BW178" s="36"/>
      <c r="BX178" s="36"/>
      <c r="BY178" s="36"/>
      <c r="BZ178" s="36"/>
      <c r="CA178" s="36"/>
      <c r="CB178" s="36"/>
      <c r="CC178" s="37">
        <v>971.3844059239259</v>
      </c>
    </row>
    <row r="179" spans="2:81" s="22" customFormat="1" ht="14.5" outlineLevel="1" x14ac:dyDescent="0.35">
      <c r="B179" s="25" t="s">
        <v>146</v>
      </c>
      <c r="C179" s="23" t="s">
        <v>147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1"/>
      <c r="Q179" s="20"/>
      <c r="R179" s="20"/>
      <c r="S179" s="20"/>
      <c r="T179" s="20"/>
      <c r="U179" s="20"/>
      <c r="V179" s="20">
        <v>5500</v>
      </c>
      <c r="W179" s="20"/>
      <c r="X179" s="20"/>
      <c r="Y179" s="20"/>
      <c r="Z179" s="20"/>
      <c r="AA179" s="20"/>
      <c r="AB179" s="20"/>
      <c r="AC179" s="21">
        <v>5500</v>
      </c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1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7"/>
      <c r="BD179" s="36"/>
      <c r="BE179" s="36"/>
      <c r="BF179" s="36"/>
      <c r="BG179" s="36"/>
      <c r="BH179" s="36"/>
      <c r="BI179" s="36">
        <v>692.82336682137918</v>
      </c>
      <c r="BJ179" s="36"/>
      <c r="BK179" s="36"/>
      <c r="BL179" s="36"/>
      <c r="BM179" s="36"/>
      <c r="BN179" s="36"/>
      <c r="BO179" s="36"/>
      <c r="BP179" s="37">
        <v>692.82336682137918</v>
      </c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7"/>
    </row>
    <row r="180" spans="2:81" s="22" customFormat="1" ht="14.5" outlineLevel="1" x14ac:dyDescent="0.35">
      <c r="B180" s="25" t="s">
        <v>146</v>
      </c>
      <c r="C180" s="23" t="s">
        <v>141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1"/>
      <c r="Q180" s="20"/>
      <c r="R180" s="20"/>
      <c r="S180" s="20"/>
      <c r="T180" s="20">
        <v>1500</v>
      </c>
      <c r="U180" s="20"/>
      <c r="V180" s="20"/>
      <c r="W180" s="20"/>
      <c r="X180" s="20">
        <v>37125</v>
      </c>
      <c r="Y180" s="20">
        <v>28875</v>
      </c>
      <c r="Z180" s="20">
        <v>6875</v>
      </c>
      <c r="AA180" s="20"/>
      <c r="AB180" s="20"/>
      <c r="AC180" s="21">
        <v>74375</v>
      </c>
      <c r="AD180" s="20">
        <v>11000</v>
      </c>
      <c r="AE180" s="20"/>
      <c r="AF180" s="20">
        <v>11000</v>
      </c>
      <c r="AG180" s="20"/>
      <c r="AH180" s="20"/>
      <c r="AI180" s="20"/>
      <c r="AJ180" s="20"/>
      <c r="AK180" s="20"/>
      <c r="AL180" s="20"/>
      <c r="AM180" s="20"/>
      <c r="AN180" s="20"/>
      <c r="AO180" s="20"/>
      <c r="AP180" s="21">
        <v>22000</v>
      </c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7"/>
      <c r="BD180" s="36"/>
      <c r="BE180" s="36"/>
      <c r="BF180" s="36"/>
      <c r="BG180" s="36">
        <v>703.34128749552747</v>
      </c>
      <c r="BH180" s="36"/>
      <c r="BI180" s="36"/>
      <c r="BJ180" s="36"/>
      <c r="BK180" s="36">
        <v>708.79996389353846</v>
      </c>
      <c r="BL180" s="36">
        <v>688.86751299521256</v>
      </c>
      <c r="BM180" s="36">
        <v>689.90238357897215</v>
      </c>
      <c r="BN180" s="36"/>
      <c r="BO180" s="36"/>
      <c r="BP180" s="37">
        <v>699.20455684884826</v>
      </c>
      <c r="BQ180" s="36">
        <v>705.21323384021912</v>
      </c>
      <c r="BR180" s="36"/>
      <c r="BS180" s="36">
        <v>705.8600788324618</v>
      </c>
      <c r="BT180" s="36"/>
      <c r="BU180" s="36"/>
      <c r="BV180" s="36"/>
      <c r="BW180" s="36"/>
      <c r="BX180" s="36"/>
      <c r="BY180" s="36"/>
      <c r="BZ180" s="36"/>
      <c r="CA180" s="36"/>
      <c r="CB180" s="36"/>
      <c r="CC180" s="37">
        <v>705.53665633634046</v>
      </c>
    </row>
    <row r="181" spans="2:81" s="22" customFormat="1" ht="14.5" outlineLevel="1" x14ac:dyDescent="0.35">
      <c r="B181" s="25" t="s">
        <v>146</v>
      </c>
      <c r="C181" s="23" t="s">
        <v>25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1"/>
      <c r="Q181" s="20"/>
      <c r="R181" s="20"/>
      <c r="S181" s="20"/>
      <c r="T181" s="20"/>
      <c r="U181" s="20"/>
      <c r="V181" s="20"/>
      <c r="W181" s="20"/>
      <c r="X181" s="20"/>
      <c r="Y181" s="20"/>
      <c r="Z181" s="20">
        <v>25</v>
      </c>
      <c r="AA181" s="20"/>
      <c r="AB181" s="20"/>
      <c r="AC181" s="21">
        <v>25</v>
      </c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1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7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>
        <v>765.68975523903657</v>
      </c>
      <c r="BN181" s="36"/>
      <c r="BO181" s="36"/>
      <c r="BP181" s="37">
        <v>765.68975523903657</v>
      </c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7"/>
    </row>
    <row r="182" spans="2:81" ht="14.5" x14ac:dyDescent="0.35">
      <c r="B182" s="15" t="s">
        <v>148</v>
      </c>
      <c r="C182" s="16"/>
      <c r="D182" s="17">
        <v>5500</v>
      </c>
      <c r="E182" s="17"/>
      <c r="F182" s="17"/>
      <c r="G182" s="17">
        <v>2750</v>
      </c>
      <c r="H182" s="17">
        <v>18250</v>
      </c>
      <c r="I182" s="17"/>
      <c r="J182" s="17"/>
      <c r="K182" s="17"/>
      <c r="L182" s="17"/>
      <c r="M182" s="17"/>
      <c r="N182" s="17">
        <v>4125</v>
      </c>
      <c r="O182" s="17">
        <v>2750</v>
      </c>
      <c r="P182" s="18">
        <v>33375</v>
      </c>
      <c r="Q182" s="17"/>
      <c r="R182" s="17">
        <v>5500</v>
      </c>
      <c r="S182" s="17">
        <v>11000</v>
      </c>
      <c r="T182" s="17">
        <v>1500</v>
      </c>
      <c r="U182" s="17">
        <v>5500</v>
      </c>
      <c r="V182" s="17">
        <v>5500</v>
      </c>
      <c r="W182" s="17">
        <v>5500</v>
      </c>
      <c r="X182" s="17">
        <v>37125</v>
      </c>
      <c r="Y182" s="17">
        <v>31625</v>
      </c>
      <c r="Z182" s="17">
        <v>9650</v>
      </c>
      <c r="AA182" s="17">
        <v>5500</v>
      </c>
      <c r="AB182" s="17">
        <v>5500</v>
      </c>
      <c r="AC182" s="18">
        <v>123900</v>
      </c>
      <c r="AD182" s="17">
        <v>11000</v>
      </c>
      <c r="AE182" s="17">
        <v>5500</v>
      </c>
      <c r="AF182" s="17">
        <v>11000</v>
      </c>
      <c r="AG182" s="17">
        <v>5500</v>
      </c>
      <c r="AH182" s="17"/>
      <c r="AI182" s="17"/>
      <c r="AJ182" s="17"/>
      <c r="AK182" s="17"/>
      <c r="AL182" s="17"/>
      <c r="AM182" s="17"/>
      <c r="AN182" s="17"/>
      <c r="AO182" s="17"/>
      <c r="AP182" s="18">
        <v>33000</v>
      </c>
      <c r="AQ182" s="17">
        <v>876.88572127072541</v>
      </c>
      <c r="AR182" s="17"/>
      <c r="AS182" s="17"/>
      <c r="AT182" s="17">
        <v>909.42051326281785</v>
      </c>
      <c r="AU182" s="17">
        <v>904.80747458419387</v>
      </c>
      <c r="AV182" s="17"/>
      <c r="AW182" s="17"/>
      <c r="AX182" s="17"/>
      <c r="AY182" s="17"/>
      <c r="AZ182" s="17"/>
      <c r="BA182" s="17">
        <v>883.42257635664123</v>
      </c>
      <c r="BB182" s="17">
        <v>882.78357160046767</v>
      </c>
      <c r="BC182" s="19">
        <v>896.12845659912239</v>
      </c>
      <c r="BD182" s="17"/>
      <c r="BE182" s="17">
        <v>799.88151222720796</v>
      </c>
      <c r="BF182" s="17">
        <v>816.28397683315472</v>
      </c>
      <c r="BG182" s="17">
        <v>703.34128749552747</v>
      </c>
      <c r="BH182" s="17">
        <v>775.82988082063105</v>
      </c>
      <c r="BI182" s="17">
        <v>692.82336682137918</v>
      </c>
      <c r="BJ182" s="17">
        <v>769.58425913763119</v>
      </c>
      <c r="BK182" s="17">
        <v>708.79996389353846</v>
      </c>
      <c r="BL182" s="17">
        <v>695.31844656665987</v>
      </c>
      <c r="BM182" s="17">
        <v>711.27149613685265</v>
      </c>
      <c r="BN182" s="17">
        <v>763.70131073511413</v>
      </c>
      <c r="BO182" s="17">
        <v>765.18999336298521</v>
      </c>
      <c r="BP182" s="19">
        <v>728.97584280406841</v>
      </c>
      <c r="BQ182" s="17">
        <v>705.21323384021912</v>
      </c>
      <c r="BR182" s="17">
        <v>747.61679200279139</v>
      </c>
      <c r="BS182" s="17">
        <v>705.8600788324618</v>
      </c>
      <c r="BT182" s="17">
        <v>1195.1520198450607</v>
      </c>
      <c r="BU182" s="17"/>
      <c r="BV182" s="17"/>
      <c r="BW182" s="17"/>
      <c r="BX182" s="17"/>
      <c r="BY182" s="17"/>
      <c r="BZ182" s="17"/>
      <c r="CA182" s="17"/>
      <c r="CB182" s="17"/>
      <c r="CC182" s="19">
        <v>794.15257286553572</v>
      </c>
    </row>
    <row r="183" spans="2:81" s="22" customFormat="1" ht="14.5" outlineLevel="1" x14ac:dyDescent="0.35">
      <c r="B183" s="25" t="s">
        <v>149</v>
      </c>
      <c r="C183" s="23" t="s">
        <v>150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>
        <v>3500</v>
      </c>
      <c r="O183" s="20"/>
      <c r="P183" s="21">
        <v>3500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1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1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>
        <v>1061.5258298973215</v>
      </c>
      <c r="BB183" s="36"/>
      <c r="BC183" s="37">
        <v>1061.5258298973215</v>
      </c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7"/>
    </row>
    <row r="184" spans="2:81" s="22" customFormat="1" ht="14.5" outlineLevel="1" x14ac:dyDescent="0.35">
      <c r="B184" s="25" t="s">
        <v>149</v>
      </c>
      <c r="C184" s="23" t="s">
        <v>151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1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1"/>
      <c r="AD184" s="20"/>
      <c r="AE184" s="20">
        <v>25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1">
        <v>25</v>
      </c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7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7"/>
      <c r="BQ184" s="36"/>
      <c r="BR184" s="36">
        <v>742.80587313533442</v>
      </c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7">
        <v>742.80587313533442</v>
      </c>
    </row>
    <row r="185" spans="2:81" s="22" customFormat="1" ht="14.5" outlineLevel="1" x14ac:dyDescent="0.35">
      <c r="B185" s="25" t="s">
        <v>149</v>
      </c>
      <c r="C185" s="23" t="s">
        <v>152</v>
      </c>
      <c r="D185" s="20"/>
      <c r="E185" s="20"/>
      <c r="F185" s="20"/>
      <c r="G185" s="20"/>
      <c r="H185" s="20"/>
      <c r="I185" s="20"/>
      <c r="J185" s="20">
        <v>50</v>
      </c>
      <c r="K185" s="20"/>
      <c r="L185" s="20"/>
      <c r="M185" s="20"/>
      <c r="N185" s="20"/>
      <c r="O185" s="20"/>
      <c r="P185" s="21">
        <v>50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1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/>
      <c r="AQ185" s="36"/>
      <c r="AR185" s="36"/>
      <c r="AS185" s="36"/>
      <c r="AT185" s="36"/>
      <c r="AU185" s="36"/>
      <c r="AV185" s="36"/>
      <c r="AW185" s="36">
        <v>1324.7475734657796</v>
      </c>
      <c r="AX185" s="36"/>
      <c r="AY185" s="36"/>
      <c r="AZ185" s="36"/>
      <c r="BA185" s="36"/>
      <c r="BB185" s="36"/>
      <c r="BC185" s="37">
        <v>1324.7475734657796</v>
      </c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7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7"/>
    </row>
    <row r="186" spans="2:81" s="22" customFormat="1" ht="14.5" outlineLevel="1" x14ac:dyDescent="0.35">
      <c r="B186" s="25" t="s">
        <v>149</v>
      </c>
      <c r="C186" s="23" t="s">
        <v>153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1"/>
      <c r="Q186" s="20">
        <v>3000</v>
      </c>
      <c r="R186" s="20"/>
      <c r="S186" s="20">
        <v>5000</v>
      </c>
      <c r="T186" s="20"/>
      <c r="U186" s="20"/>
      <c r="V186" s="20"/>
      <c r="W186" s="20"/>
      <c r="X186" s="20">
        <v>3000</v>
      </c>
      <c r="Y186" s="20"/>
      <c r="Z186" s="20">
        <v>2000</v>
      </c>
      <c r="AA186" s="20"/>
      <c r="AB186" s="20">
        <v>3000</v>
      </c>
      <c r="AC186" s="21">
        <v>16000</v>
      </c>
      <c r="AD186" s="20"/>
      <c r="AE186" s="20"/>
      <c r="AF186" s="20">
        <v>3000</v>
      </c>
      <c r="AG186" s="20"/>
      <c r="AH186" s="20"/>
      <c r="AI186" s="20"/>
      <c r="AJ186" s="20"/>
      <c r="AK186" s="20"/>
      <c r="AL186" s="20"/>
      <c r="AM186" s="20"/>
      <c r="AN186" s="20"/>
      <c r="AO186" s="20"/>
      <c r="AP186" s="21">
        <v>3000</v>
      </c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7"/>
      <c r="BD186" s="36">
        <v>1063.9283127799652</v>
      </c>
      <c r="BE186" s="36"/>
      <c r="BF186" s="36">
        <v>1063.0827187768994</v>
      </c>
      <c r="BG186" s="36"/>
      <c r="BH186" s="36"/>
      <c r="BI186" s="36"/>
      <c r="BJ186" s="36"/>
      <c r="BK186" s="36">
        <v>1060.7291999072584</v>
      </c>
      <c r="BL186" s="36"/>
      <c r="BM186" s="36">
        <v>1061.0910975092593</v>
      </c>
      <c r="BN186" s="36"/>
      <c r="BO186" s="36">
        <v>1060.935925797779</v>
      </c>
      <c r="BP186" s="37">
        <v>1062.1485065223765</v>
      </c>
      <c r="BQ186" s="36"/>
      <c r="BR186" s="36"/>
      <c r="BS186" s="36">
        <v>1050.777652488973</v>
      </c>
      <c r="BT186" s="36"/>
      <c r="BU186" s="36"/>
      <c r="BV186" s="36"/>
      <c r="BW186" s="36"/>
      <c r="BX186" s="36"/>
      <c r="BY186" s="36"/>
      <c r="BZ186" s="36"/>
      <c r="CA186" s="36"/>
      <c r="CB186" s="36"/>
      <c r="CC186" s="37">
        <v>1050.777652488973</v>
      </c>
    </row>
    <row r="187" spans="2:81" s="22" customFormat="1" ht="14.5" outlineLevel="1" x14ac:dyDescent="0.35">
      <c r="B187" s="25" t="s">
        <v>149</v>
      </c>
      <c r="C187" s="23" t="s">
        <v>154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1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1"/>
      <c r="AD187" s="20"/>
      <c r="AE187" s="20"/>
      <c r="AF187" s="20">
        <v>100</v>
      </c>
      <c r="AG187" s="20"/>
      <c r="AH187" s="20"/>
      <c r="AI187" s="20"/>
      <c r="AJ187" s="20"/>
      <c r="AK187" s="20"/>
      <c r="AL187" s="20"/>
      <c r="AM187" s="20"/>
      <c r="AN187" s="20"/>
      <c r="AO187" s="20"/>
      <c r="AP187" s="21">
        <v>100</v>
      </c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7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7"/>
      <c r="BQ187" s="36"/>
      <c r="BR187" s="36"/>
      <c r="BS187" s="36">
        <v>736.05698006588943</v>
      </c>
      <c r="BT187" s="36"/>
      <c r="BU187" s="36"/>
      <c r="BV187" s="36"/>
      <c r="BW187" s="36"/>
      <c r="BX187" s="36"/>
      <c r="BY187" s="36"/>
      <c r="BZ187" s="36"/>
      <c r="CA187" s="36"/>
      <c r="CB187" s="36"/>
      <c r="CC187" s="37">
        <v>736.05698006588943</v>
      </c>
    </row>
    <row r="188" spans="2:81" s="22" customFormat="1" ht="14.5" outlineLevel="1" x14ac:dyDescent="0.35">
      <c r="B188" s="25" t="s">
        <v>149</v>
      </c>
      <c r="C188" s="23" t="s">
        <v>155</v>
      </c>
      <c r="D188" s="20"/>
      <c r="E188" s="20"/>
      <c r="F188" s="20"/>
      <c r="G188" s="20"/>
      <c r="H188" s="20"/>
      <c r="I188" s="20"/>
      <c r="J188" s="20"/>
      <c r="K188" s="20">
        <v>5000</v>
      </c>
      <c r="L188" s="20"/>
      <c r="M188" s="20"/>
      <c r="N188" s="20"/>
      <c r="O188" s="20"/>
      <c r="P188" s="21">
        <v>5000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1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1"/>
      <c r="AQ188" s="36"/>
      <c r="AR188" s="36"/>
      <c r="AS188" s="36"/>
      <c r="AT188" s="36"/>
      <c r="AU188" s="36"/>
      <c r="AV188" s="36"/>
      <c r="AW188" s="36"/>
      <c r="AX188" s="36">
        <v>1066.599637364907</v>
      </c>
      <c r="AY188" s="36"/>
      <c r="AZ188" s="36"/>
      <c r="BA188" s="36"/>
      <c r="BB188" s="36"/>
      <c r="BC188" s="37">
        <v>1066.599637364907</v>
      </c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7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7"/>
    </row>
    <row r="189" spans="2:81" ht="14.5" x14ac:dyDescent="0.35">
      <c r="B189" s="15" t="s">
        <v>156</v>
      </c>
      <c r="C189" s="16"/>
      <c r="D189" s="17"/>
      <c r="E189" s="17"/>
      <c r="F189" s="17"/>
      <c r="G189" s="17"/>
      <c r="H189" s="17"/>
      <c r="I189" s="17"/>
      <c r="J189" s="17">
        <v>50</v>
      </c>
      <c r="K189" s="17">
        <v>5000</v>
      </c>
      <c r="L189" s="17"/>
      <c r="M189" s="17"/>
      <c r="N189" s="17">
        <v>3500</v>
      </c>
      <c r="O189" s="17"/>
      <c r="P189" s="18">
        <v>8550</v>
      </c>
      <c r="Q189" s="17">
        <v>3000</v>
      </c>
      <c r="R189" s="17"/>
      <c r="S189" s="17">
        <v>5000</v>
      </c>
      <c r="T189" s="17"/>
      <c r="U189" s="17"/>
      <c r="V189" s="17"/>
      <c r="W189" s="17"/>
      <c r="X189" s="17">
        <v>3000</v>
      </c>
      <c r="Y189" s="17"/>
      <c r="Z189" s="17">
        <v>2000</v>
      </c>
      <c r="AA189" s="17"/>
      <c r="AB189" s="17">
        <v>3000</v>
      </c>
      <c r="AC189" s="18">
        <v>16000</v>
      </c>
      <c r="AD189" s="17"/>
      <c r="AE189" s="17">
        <v>25</v>
      </c>
      <c r="AF189" s="17">
        <v>3100</v>
      </c>
      <c r="AG189" s="17"/>
      <c r="AH189" s="17"/>
      <c r="AI189" s="17"/>
      <c r="AJ189" s="17"/>
      <c r="AK189" s="17"/>
      <c r="AL189" s="17"/>
      <c r="AM189" s="17"/>
      <c r="AN189" s="17"/>
      <c r="AO189" s="17"/>
      <c r="AP189" s="18">
        <v>3125</v>
      </c>
      <c r="AQ189" s="17"/>
      <c r="AR189" s="17"/>
      <c r="AS189" s="17"/>
      <c r="AT189" s="17"/>
      <c r="AU189" s="17"/>
      <c r="AV189" s="17"/>
      <c r="AW189" s="17">
        <v>1324.7475734657796</v>
      </c>
      <c r="AX189" s="17">
        <v>1066.599637364907</v>
      </c>
      <c r="AY189" s="17"/>
      <c r="AZ189" s="17"/>
      <c r="BA189" s="17">
        <v>1061.5258298973215</v>
      </c>
      <c r="BB189" s="17"/>
      <c r="BC189" s="19">
        <v>1066.0322772091752</v>
      </c>
      <c r="BD189" s="17">
        <v>1063.9283127799652</v>
      </c>
      <c r="BE189" s="17"/>
      <c r="BF189" s="17">
        <v>1063.0827187768994</v>
      </c>
      <c r="BG189" s="17"/>
      <c r="BH189" s="17"/>
      <c r="BI189" s="17"/>
      <c r="BJ189" s="17"/>
      <c r="BK189" s="17">
        <v>1060.7291999072584</v>
      </c>
      <c r="BL189" s="17"/>
      <c r="BM189" s="17">
        <v>1061.0910975092593</v>
      </c>
      <c r="BN189" s="17"/>
      <c r="BO189" s="17">
        <v>1060.935925797779</v>
      </c>
      <c r="BP189" s="19">
        <v>1062.1485065223765</v>
      </c>
      <c r="BQ189" s="17"/>
      <c r="BR189" s="17">
        <v>742.80587313533442</v>
      </c>
      <c r="BS189" s="17">
        <v>1040.6253727333897</v>
      </c>
      <c r="BT189" s="17"/>
      <c r="BU189" s="17"/>
      <c r="BV189" s="17"/>
      <c r="BW189" s="17"/>
      <c r="BX189" s="17"/>
      <c r="BY189" s="17"/>
      <c r="BZ189" s="17"/>
      <c r="CA189" s="17"/>
      <c r="CB189" s="17"/>
      <c r="CC189" s="19">
        <v>1038.2428167366052</v>
      </c>
    </row>
    <row r="190" spans="2:81" s="22" customFormat="1" ht="14.5" outlineLevel="1" x14ac:dyDescent="0.35">
      <c r="B190" s="25" t="s">
        <v>157</v>
      </c>
      <c r="C190" s="23" t="s">
        <v>58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1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>
        <v>250</v>
      </c>
      <c r="AC190" s="21">
        <v>250</v>
      </c>
      <c r="AD190" s="20">
        <v>500</v>
      </c>
      <c r="AE190" s="20"/>
      <c r="AF190" s="20">
        <v>1000</v>
      </c>
      <c r="AG190" s="20"/>
      <c r="AH190" s="20"/>
      <c r="AI190" s="20"/>
      <c r="AJ190" s="20"/>
      <c r="AK190" s="20"/>
      <c r="AL190" s="20"/>
      <c r="AM190" s="20"/>
      <c r="AN190" s="20"/>
      <c r="AO190" s="20"/>
      <c r="AP190" s="21">
        <v>1500</v>
      </c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7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>
        <v>1186.044489712627</v>
      </c>
      <c r="BP190" s="37">
        <v>1186.044489712627</v>
      </c>
      <c r="BQ190" s="36">
        <v>1181.7086621106375</v>
      </c>
      <c r="BR190" s="36"/>
      <c r="BS190" s="36">
        <v>1182.7925645300711</v>
      </c>
      <c r="BT190" s="36"/>
      <c r="BU190" s="36"/>
      <c r="BV190" s="36"/>
      <c r="BW190" s="36"/>
      <c r="BX190" s="36"/>
      <c r="BY190" s="36"/>
      <c r="BZ190" s="36"/>
      <c r="CA190" s="36"/>
      <c r="CB190" s="36"/>
      <c r="CC190" s="37">
        <v>1182.4312637235932</v>
      </c>
    </row>
    <row r="191" spans="2:81" s="22" customFormat="1" ht="14.5" outlineLevel="1" x14ac:dyDescent="0.35">
      <c r="B191" s="25" t="s">
        <v>157</v>
      </c>
      <c r="C191" s="23" t="s">
        <v>5</v>
      </c>
      <c r="D191" s="20">
        <v>5500</v>
      </c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1">
        <v>5500</v>
      </c>
      <c r="Q191" s="20"/>
      <c r="R191" s="20"/>
      <c r="S191" s="20"/>
      <c r="T191" s="20"/>
      <c r="U191" s="20"/>
      <c r="V191" s="20"/>
      <c r="W191" s="20">
        <v>2750</v>
      </c>
      <c r="X191" s="20"/>
      <c r="Y191" s="20"/>
      <c r="Z191" s="20"/>
      <c r="AA191" s="20"/>
      <c r="AB191" s="20">
        <v>1375</v>
      </c>
      <c r="AC191" s="21">
        <v>4125</v>
      </c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/>
      <c r="AQ191" s="36">
        <v>876.88572127072541</v>
      </c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7">
        <v>876.88572127072541</v>
      </c>
      <c r="BD191" s="36"/>
      <c r="BE191" s="36"/>
      <c r="BF191" s="36"/>
      <c r="BG191" s="36"/>
      <c r="BH191" s="36"/>
      <c r="BI191" s="36"/>
      <c r="BJ191" s="36">
        <v>769.58425913763119</v>
      </c>
      <c r="BK191" s="36"/>
      <c r="BL191" s="36"/>
      <c r="BM191" s="36"/>
      <c r="BN191" s="36"/>
      <c r="BO191" s="36">
        <v>765.18999336298521</v>
      </c>
      <c r="BP191" s="37">
        <v>768.1195038794159</v>
      </c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7"/>
    </row>
    <row r="192" spans="2:81" s="22" customFormat="1" ht="14.5" outlineLevel="1" x14ac:dyDescent="0.35">
      <c r="B192" s="25" t="s">
        <v>157</v>
      </c>
      <c r="C192" s="23" t="s">
        <v>141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1"/>
      <c r="Q192" s="20"/>
      <c r="R192" s="20"/>
      <c r="S192" s="20"/>
      <c r="T192" s="20">
        <v>26875</v>
      </c>
      <c r="U192" s="20">
        <v>35750</v>
      </c>
      <c r="V192" s="20">
        <v>33000</v>
      </c>
      <c r="W192" s="20"/>
      <c r="X192" s="20">
        <v>22000</v>
      </c>
      <c r="Y192" s="20">
        <v>23375</v>
      </c>
      <c r="Z192" s="20">
        <v>16500</v>
      </c>
      <c r="AA192" s="20">
        <v>22000</v>
      </c>
      <c r="AB192" s="20">
        <v>22000</v>
      </c>
      <c r="AC192" s="21">
        <v>201500</v>
      </c>
      <c r="AD192" s="20">
        <v>27500</v>
      </c>
      <c r="AE192" s="20">
        <v>11000</v>
      </c>
      <c r="AF192" s="20">
        <v>38500</v>
      </c>
      <c r="AG192" s="20">
        <v>22000</v>
      </c>
      <c r="AH192" s="20"/>
      <c r="AI192" s="20"/>
      <c r="AJ192" s="20"/>
      <c r="AK192" s="20"/>
      <c r="AL192" s="20"/>
      <c r="AM192" s="20"/>
      <c r="AN192" s="20"/>
      <c r="AO192" s="20"/>
      <c r="AP192" s="21">
        <v>99000</v>
      </c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7"/>
      <c r="BD192" s="36"/>
      <c r="BE192" s="36"/>
      <c r="BF192" s="36"/>
      <c r="BG192" s="36">
        <v>703.34129534677902</v>
      </c>
      <c r="BH192" s="36">
        <v>696.92972891475074</v>
      </c>
      <c r="BI192" s="36">
        <v>696.72455076653102</v>
      </c>
      <c r="BJ192" s="36"/>
      <c r="BK192" s="36">
        <v>690.91107806785681</v>
      </c>
      <c r="BL192" s="36">
        <v>688.86751633733536</v>
      </c>
      <c r="BM192" s="36">
        <v>689.90238218951856</v>
      </c>
      <c r="BN192" s="36">
        <v>687.73329364802908</v>
      </c>
      <c r="BO192" s="36">
        <v>717.36561877779855</v>
      </c>
      <c r="BP192" s="37">
        <v>696.81058356236167</v>
      </c>
      <c r="BQ192" s="36">
        <v>705.213233840219</v>
      </c>
      <c r="BR192" s="36">
        <v>712.01599238361075</v>
      </c>
      <c r="BS192" s="36">
        <v>722.21204977066566</v>
      </c>
      <c r="BT192" s="36">
        <v>754.29713977841277</v>
      </c>
      <c r="BU192" s="36"/>
      <c r="BV192" s="36"/>
      <c r="BW192" s="36"/>
      <c r="BX192" s="36"/>
      <c r="BY192" s="36"/>
      <c r="BZ192" s="36"/>
      <c r="CA192" s="36"/>
      <c r="CB192" s="36"/>
      <c r="CC192" s="37">
        <v>723.48728119314603</v>
      </c>
    </row>
    <row r="193" spans="2:81" s="22" customFormat="1" ht="14.5" outlineLevel="1" x14ac:dyDescent="0.35">
      <c r="B193" s="25" t="s">
        <v>157</v>
      </c>
      <c r="C193" s="23" t="s">
        <v>25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1"/>
      <c r="Q193" s="20"/>
      <c r="R193" s="20"/>
      <c r="S193" s="20"/>
      <c r="T193" s="20"/>
      <c r="U193" s="20"/>
      <c r="V193" s="20"/>
      <c r="W193" s="20"/>
      <c r="X193" s="20"/>
      <c r="Y193" s="20"/>
      <c r="Z193" s="20">
        <v>25</v>
      </c>
      <c r="AA193" s="20"/>
      <c r="AB193" s="20"/>
      <c r="AC193" s="21">
        <v>25</v>
      </c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7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>
        <v>765.68975523903657</v>
      </c>
      <c r="BN193" s="36"/>
      <c r="BO193" s="36"/>
      <c r="BP193" s="37">
        <v>765.68975523903657</v>
      </c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7"/>
    </row>
    <row r="194" spans="2:81" ht="14.5" x14ac:dyDescent="0.35">
      <c r="B194" s="15" t="s">
        <v>158</v>
      </c>
      <c r="C194" s="16"/>
      <c r="D194" s="17">
        <v>5500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8">
        <v>5500</v>
      </c>
      <c r="Q194" s="17"/>
      <c r="R194" s="17"/>
      <c r="S194" s="17"/>
      <c r="T194" s="17">
        <v>26875</v>
      </c>
      <c r="U194" s="17">
        <v>35750</v>
      </c>
      <c r="V194" s="17">
        <v>33000</v>
      </c>
      <c r="W194" s="17">
        <v>2750</v>
      </c>
      <c r="X194" s="17">
        <v>22000</v>
      </c>
      <c r="Y194" s="17">
        <v>23375</v>
      </c>
      <c r="Z194" s="17">
        <v>16525</v>
      </c>
      <c r="AA194" s="17">
        <v>22000</v>
      </c>
      <c r="AB194" s="17">
        <v>23625</v>
      </c>
      <c r="AC194" s="18">
        <v>205900</v>
      </c>
      <c r="AD194" s="17">
        <v>28000</v>
      </c>
      <c r="AE194" s="17">
        <v>11000</v>
      </c>
      <c r="AF194" s="17">
        <v>39500</v>
      </c>
      <c r="AG194" s="17">
        <v>22000</v>
      </c>
      <c r="AH194" s="17"/>
      <c r="AI194" s="17"/>
      <c r="AJ194" s="17"/>
      <c r="AK194" s="17"/>
      <c r="AL194" s="17"/>
      <c r="AM194" s="17"/>
      <c r="AN194" s="17"/>
      <c r="AO194" s="17"/>
      <c r="AP194" s="18">
        <v>100500</v>
      </c>
      <c r="AQ194" s="17">
        <v>876.88572127072541</v>
      </c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9">
        <v>876.88572127072541</v>
      </c>
      <c r="BD194" s="17"/>
      <c r="BE194" s="17"/>
      <c r="BF194" s="17"/>
      <c r="BG194" s="17">
        <v>703.34129534677902</v>
      </c>
      <c r="BH194" s="17">
        <v>696.92972891475074</v>
      </c>
      <c r="BI194" s="17">
        <v>696.72455076653102</v>
      </c>
      <c r="BJ194" s="17">
        <v>769.58425913763119</v>
      </c>
      <c r="BK194" s="17">
        <v>690.91107806785681</v>
      </c>
      <c r="BL194" s="17">
        <v>688.86751633733536</v>
      </c>
      <c r="BM194" s="17">
        <v>690.01703782196876</v>
      </c>
      <c r="BN194" s="17">
        <v>687.73329364802908</v>
      </c>
      <c r="BO194" s="17">
        <v>725.10861275825744</v>
      </c>
      <c r="BP194" s="19">
        <v>698.84156827405332</v>
      </c>
      <c r="BQ194" s="17">
        <v>713.72208077361938</v>
      </c>
      <c r="BR194" s="17">
        <v>712.01599238361075</v>
      </c>
      <c r="BS194" s="17">
        <v>733.87231596710626</v>
      </c>
      <c r="BT194" s="17">
        <v>754.29713977841277</v>
      </c>
      <c r="BU194" s="17"/>
      <c r="BV194" s="17"/>
      <c r="BW194" s="17"/>
      <c r="BX194" s="17"/>
      <c r="BY194" s="17"/>
      <c r="BZ194" s="17"/>
      <c r="CA194" s="17"/>
      <c r="CB194" s="17"/>
      <c r="CC194" s="19">
        <v>730.33719138016761</v>
      </c>
    </row>
    <row r="195" spans="2:81" s="22" customFormat="1" ht="14.5" outlineLevel="1" x14ac:dyDescent="0.35">
      <c r="B195" s="25" t="s">
        <v>159</v>
      </c>
      <c r="C195" s="23" t="s">
        <v>5</v>
      </c>
      <c r="D195" s="20"/>
      <c r="E195" s="20"/>
      <c r="F195" s="20">
        <v>10000</v>
      </c>
      <c r="G195" s="20"/>
      <c r="H195" s="20"/>
      <c r="I195" s="20"/>
      <c r="J195" s="20"/>
      <c r="K195" s="20">
        <v>9625</v>
      </c>
      <c r="L195" s="20"/>
      <c r="M195" s="20">
        <v>1500</v>
      </c>
      <c r="N195" s="20"/>
      <c r="O195" s="20"/>
      <c r="P195" s="21">
        <v>21125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1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/>
      <c r="AQ195" s="36"/>
      <c r="AR195" s="36"/>
      <c r="AS195" s="36">
        <v>907.31498345737896</v>
      </c>
      <c r="AT195" s="36"/>
      <c r="AU195" s="36"/>
      <c r="AV195" s="36"/>
      <c r="AW195" s="36"/>
      <c r="AX195" s="36">
        <v>923.46288949342591</v>
      </c>
      <c r="AY195" s="36"/>
      <c r="AZ195" s="36">
        <v>891.76698811452695</v>
      </c>
      <c r="BA195" s="36"/>
      <c r="BB195" s="36"/>
      <c r="BC195" s="37">
        <v>913.56831375715058</v>
      </c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7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7"/>
    </row>
    <row r="196" spans="2:81" ht="14.5" x14ac:dyDescent="0.35">
      <c r="B196" s="15" t="s">
        <v>160</v>
      </c>
      <c r="C196" s="16"/>
      <c r="D196" s="17"/>
      <c r="E196" s="17"/>
      <c r="F196" s="17">
        <v>10000</v>
      </c>
      <c r="G196" s="17"/>
      <c r="H196" s="17"/>
      <c r="I196" s="17"/>
      <c r="J196" s="17"/>
      <c r="K196" s="17">
        <v>9625</v>
      </c>
      <c r="L196" s="17"/>
      <c r="M196" s="17">
        <v>1500</v>
      </c>
      <c r="N196" s="17"/>
      <c r="O196" s="17"/>
      <c r="P196" s="18">
        <v>21125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8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8"/>
      <c r="AQ196" s="17"/>
      <c r="AR196" s="17"/>
      <c r="AS196" s="17">
        <v>907.31498345737896</v>
      </c>
      <c r="AT196" s="17"/>
      <c r="AU196" s="17"/>
      <c r="AV196" s="17"/>
      <c r="AW196" s="17"/>
      <c r="AX196" s="17">
        <v>923.46288949342591</v>
      </c>
      <c r="AY196" s="17"/>
      <c r="AZ196" s="17">
        <v>891.76698811452695</v>
      </c>
      <c r="BA196" s="17"/>
      <c r="BB196" s="17"/>
      <c r="BC196" s="19">
        <v>913.56831375715058</v>
      </c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9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9"/>
    </row>
    <row r="197" spans="2:81" s="22" customFormat="1" ht="14.5" outlineLevel="1" x14ac:dyDescent="0.35">
      <c r="B197" s="25" t="s">
        <v>161</v>
      </c>
      <c r="C197" s="23" t="s">
        <v>78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>
        <v>25</v>
      </c>
      <c r="O197" s="20">
        <v>25</v>
      </c>
      <c r="P197" s="21">
        <v>50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1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>
        <v>889.04977360830026</v>
      </c>
      <c r="BB197" s="36">
        <v>887.87691670970514</v>
      </c>
      <c r="BC197" s="37">
        <v>888.46334515900287</v>
      </c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7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7"/>
    </row>
    <row r="198" spans="2:81" ht="14.5" x14ac:dyDescent="0.35">
      <c r="B198" s="15" t="s">
        <v>162</v>
      </c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25</v>
      </c>
      <c r="O198" s="17">
        <v>25</v>
      </c>
      <c r="P198" s="18">
        <v>50</v>
      </c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8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>
        <v>889.04977360830026</v>
      </c>
      <c r="BB198" s="17">
        <v>887.87691670970514</v>
      </c>
      <c r="BC198" s="19">
        <v>888.46334515900287</v>
      </c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9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9"/>
    </row>
    <row r="199" spans="2:81" s="22" customFormat="1" ht="14.5" outlineLevel="1" x14ac:dyDescent="0.35">
      <c r="B199" s="25" t="s">
        <v>163</v>
      </c>
      <c r="C199" s="23" t="s">
        <v>5</v>
      </c>
      <c r="D199" s="20"/>
      <c r="E199" s="20"/>
      <c r="F199" s="20"/>
      <c r="G199" s="20">
        <v>2750</v>
      </c>
      <c r="H199" s="20">
        <v>18250</v>
      </c>
      <c r="I199" s="20">
        <v>11000</v>
      </c>
      <c r="J199" s="20"/>
      <c r="K199" s="20"/>
      <c r="L199" s="20"/>
      <c r="M199" s="20"/>
      <c r="N199" s="20"/>
      <c r="O199" s="20"/>
      <c r="P199" s="21">
        <v>32000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1"/>
      <c r="AD199" s="20"/>
      <c r="AE199" s="20"/>
      <c r="AF199" s="20"/>
      <c r="AG199" s="20">
        <v>11000</v>
      </c>
      <c r="AH199" s="20"/>
      <c r="AI199" s="20"/>
      <c r="AJ199" s="20"/>
      <c r="AK199" s="20"/>
      <c r="AL199" s="20"/>
      <c r="AM199" s="20"/>
      <c r="AN199" s="20"/>
      <c r="AO199" s="20"/>
      <c r="AP199" s="21">
        <v>11000</v>
      </c>
      <c r="AQ199" s="36"/>
      <c r="AR199" s="36"/>
      <c r="AS199" s="36"/>
      <c r="AT199" s="36">
        <v>909.42051326281785</v>
      </c>
      <c r="AU199" s="36">
        <v>904.80747458419387</v>
      </c>
      <c r="AV199" s="36">
        <v>905.95337844687731</v>
      </c>
      <c r="AW199" s="36"/>
      <c r="AX199" s="36"/>
      <c r="AY199" s="36"/>
      <c r="AZ199" s="36"/>
      <c r="BA199" s="36"/>
      <c r="BB199" s="36"/>
      <c r="BC199" s="37">
        <v>905.59781204843557</v>
      </c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7"/>
      <c r="BQ199" s="36"/>
      <c r="BR199" s="36"/>
      <c r="BS199" s="36"/>
      <c r="BT199" s="36">
        <v>1195.1520198450607</v>
      </c>
      <c r="BU199" s="36"/>
      <c r="BV199" s="36"/>
      <c r="BW199" s="36"/>
      <c r="BX199" s="36"/>
      <c r="BY199" s="36"/>
      <c r="BZ199" s="36"/>
      <c r="CA199" s="36"/>
      <c r="CB199" s="36"/>
      <c r="CC199" s="37">
        <v>1195.1520198450607</v>
      </c>
    </row>
    <row r="200" spans="2:81" ht="14.5" x14ac:dyDescent="0.35">
      <c r="B200" s="15" t="s">
        <v>164</v>
      </c>
      <c r="C200" s="16"/>
      <c r="D200" s="17"/>
      <c r="E200" s="17"/>
      <c r="F200" s="17"/>
      <c r="G200" s="17">
        <v>2750</v>
      </c>
      <c r="H200" s="17">
        <v>18250</v>
      </c>
      <c r="I200" s="17">
        <v>11000</v>
      </c>
      <c r="J200" s="17"/>
      <c r="K200" s="17"/>
      <c r="L200" s="17"/>
      <c r="M200" s="17"/>
      <c r="N200" s="17"/>
      <c r="O200" s="17"/>
      <c r="P200" s="18">
        <v>32000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8"/>
      <c r="AD200" s="17"/>
      <c r="AE200" s="17"/>
      <c r="AF200" s="17"/>
      <c r="AG200" s="17">
        <v>11000</v>
      </c>
      <c r="AH200" s="17"/>
      <c r="AI200" s="17"/>
      <c r="AJ200" s="17"/>
      <c r="AK200" s="17"/>
      <c r="AL200" s="17"/>
      <c r="AM200" s="17"/>
      <c r="AN200" s="17"/>
      <c r="AO200" s="17"/>
      <c r="AP200" s="18">
        <v>11000</v>
      </c>
      <c r="AQ200" s="17"/>
      <c r="AR200" s="17"/>
      <c r="AS200" s="17"/>
      <c r="AT200" s="17">
        <v>909.42051326281785</v>
      </c>
      <c r="AU200" s="17">
        <v>904.80747458419387</v>
      </c>
      <c r="AV200" s="17">
        <v>905.95337844687731</v>
      </c>
      <c r="AW200" s="17"/>
      <c r="AX200" s="17"/>
      <c r="AY200" s="17"/>
      <c r="AZ200" s="17"/>
      <c r="BA200" s="17"/>
      <c r="BB200" s="17"/>
      <c r="BC200" s="19">
        <v>905.59781204843557</v>
      </c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9"/>
      <c r="BQ200" s="17"/>
      <c r="BR200" s="17"/>
      <c r="BS200" s="17"/>
      <c r="BT200" s="17">
        <v>1195.1520198450607</v>
      </c>
      <c r="BU200" s="17"/>
      <c r="BV200" s="17"/>
      <c r="BW200" s="17"/>
      <c r="BX200" s="17"/>
      <c r="BY200" s="17"/>
      <c r="BZ200" s="17"/>
      <c r="CA200" s="17"/>
      <c r="CB200" s="17"/>
      <c r="CC200" s="19">
        <v>1195.1520198450607</v>
      </c>
    </row>
    <row r="201" spans="2:81" s="22" customFormat="1" ht="14.5" outlineLevel="1" x14ac:dyDescent="0.35">
      <c r="B201" s="25" t="s">
        <v>165</v>
      </c>
      <c r="C201" s="23" t="s">
        <v>58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1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1"/>
      <c r="AD201" s="20">
        <v>500</v>
      </c>
      <c r="AE201" s="20"/>
      <c r="AF201" s="20">
        <v>1000</v>
      </c>
      <c r="AG201" s="20"/>
      <c r="AH201" s="20"/>
      <c r="AI201" s="20"/>
      <c r="AJ201" s="20"/>
      <c r="AK201" s="20"/>
      <c r="AL201" s="20"/>
      <c r="AM201" s="20"/>
      <c r="AN201" s="20"/>
      <c r="AO201" s="20"/>
      <c r="AP201" s="21">
        <v>1500</v>
      </c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7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7"/>
      <c r="BQ201" s="36">
        <v>1277.0077477647212</v>
      </c>
      <c r="BR201" s="36"/>
      <c r="BS201" s="36">
        <v>1278.179061669593</v>
      </c>
      <c r="BT201" s="36"/>
      <c r="BU201" s="36"/>
      <c r="BV201" s="36"/>
      <c r="BW201" s="36"/>
      <c r="BX201" s="36"/>
      <c r="BY201" s="36"/>
      <c r="BZ201" s="36"/>
      <c r="CA201" s="36"/>
      <c r="CB201" s="36"/>
      <c r="CC201" s="37">
        <v>1277.7886237013024</v>
      </c>
    </row>
    <row r="202" spans="2:81" s="22" customFormat="1" ht="14.5" outlineLevel="1" x14ac:dyDescent="0.35">
      <c r="B202" s="25" t="s">
        <v>165</v>
      </c>
      <c r="C202" s="23" t="s">
        <v>49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1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1"/>
      <c r="AD202" s="20"/>
      <c r="AE202" s="20"/>
      <c r="AF202" s="20"/>
      <c r="AG202" s="20">
        <v>1375</v>
      </c>
      <c r="AH202" s="20"/>
      <c r="AI202" s="20"/>
      <c r="AJ202" s="20"/>
      <c r="AK202" s="20"/>
      <c r="AL202" s="20"/>
      <c r="AM202" s="20"/>
      <c r="AN202" s="20"/>
      <c r="AO202" s="20"/>
      <c r="AP202" s="21">
        <v>1375</v>
      </c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7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7"/>
      <c r="BQ202" s="36"/>
      <c r="BR202" s="36"/>
      <c r="BS202" s="36"/>
      <c r="BT202" s="36">
        <v>1411.8988055210179</v>
      </c>
      <c r="BU202" s="36"/>
      <c r="BV202" s="36"/>
      <c r="BW202" s="36"/>
      <c r="BX202" s="36"/>
      <c r="BY202" s="36"/>
      <c r="BZ202" s="36"/>
      <c r="CA202" s="36"/>
      <c r="CB202" s="36"/>
      <c r="CC202" s="37">
        <v>1411.8988055210179</v>
      </c>
    </row>
    <row r="203" spans="2:81" s="22" customFormat="1" ht="14.5" outlineLevel="1" x14ac:dyDescent="0.35">
      <c r="B203" s="25" t="s">
        <v>165</v>
      </c>
      <c r="C203" s="23" t="s">
        <v>166</v>
      </c>
      <c r="D203" s="20"/>
      <c r="E203" s="20"/>
      <c r="F203" s="20"/>
      <c r="G203" s="20"/>
      <c r="H203" s="20">
        <v>200</v>
      </c>
      <c r="I203" s="20"/>
      <c r="J203" s="20"/>
      <c r="K203" s="20"/>
      <c r="L203" s="20"/>
      <c r="M203" s="20"/>
      <c r="N203" s="20"/>
      <c r="O203" s="20"/>
      <c r="P203" s="21">
        <v>200</v>
      </c>
      <c r="Q203" s="20"/>
      <c r="R203" s="20"/>
      <c r="S203" s="20">
        <v>300</v>
      </c>
      <c r="T203" s="20"/>
      <c r="U203" s="20"/>
      <c r="V203" s="20"/>
      <c r="W203" s="20"/>
      <c r="X203" s="20"/>
      <c r="Y203" s="20"/>
      <c r="Z203" s="20"/>
      <c r="AA203" s="20"/>
      <c r="AB203" s="20"/>
      <c r="AC203" s="21">
        <v>300</v>
      </c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1"/>
      <c r="AQ203" s="36"/>
      <c r="AR203" s="36"/>
      <c r="AS203" s="36"/>
      <c r="AT203" s="36"/>
      <c r="AU203" s="36">
        <v>1360.9846947902197</v>
      </c>
      <c r="AV203" s="36"/>
      <c r="AW203" s="36"/>
      <c r="AX203" s="36"/>
      <c r="AY203" s="36"/>
      <c r="AZ203" s="36"/>
      <c r="BA203" s="36"/>
      <c r="BB203" s="36"/>
      <c r="BC203" s="37">
        <v>1360.9846947902197</v>
      </c>
      <c r="BD203" s="36"/>
      <c r="BE203" s="36"/>
      <c r="BF203" s="36">
        <v>1316.173255198966</v>
      </c>
      <c r="BG203" s="36"/>
      <c r="BH203" s="36"/>
      <c r="BI203" s="36"/>
      <c r="BJ203" s="36"/>
      <c r="BK203" s="36"/>
      <c r="BL203" s="36"/>
      <c r="BM203" s="36"/>
      <c r="BN203" s="36"/>
      <c r="BO203" s="36"/>
      <c r="BP203" s="37">
        <v>1316.173255198966</v>
      </c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7"/>
    </row>
    <row r="204" spans="2:81" s="22" customFormat="1" ht="14.5" outlineLevel="1" x14ac:dyDescent="0.35">
      <c r="B204" s="25" t="s">
        <v>165</v>
      </c>
      <c r="C204" s="23" t="s">
        <v>167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1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1"/>
      <c r="AD204" s="20"/>
      <c r="AE204" s="20"/>
      <c r="AF204" s="20"/>
      <c r="AG204" s="20">
        <v>50</v>
      </c>
      <c r="AH204" s="20"/>
      <c r="AI204" s="20"/>
      <c r="AJ204" s="20"/>
      <c r="AK204" s="20"/>
      <c r="AL204" s="20"/>
      <c r="AM204" s="20"/>
      <c r="AN204" s="20"/>
      <c r="AO204" s="20"/>
      <c r="AP204" s="21">
        <v>50</v>
      </c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7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7"/>
      <c r="BQ204" s="36"/>
      <c r="BR204" s="36"/>
      <c r="BS204" s="36"/>
      <c r="BT204" s="36">
        <v>1319.1890891918083</v>
      </c>
      <c r="BU204" s="36"/>
      <c r="BV204" s="36"/>
      <c r="BW204" s="36"/>
      <c r="BX204" s="36"/>
      <c r="BY204" s="36"/>
      <c r="BZ204" s="36"/>
      <c r="CA204" s="36"/>
      <c r="CB204" s="36"/>
      <c r="CC204" s="37">
        <v>1319.1890891918083</v>
      </c>
    </row>
    <row r="205" spans="2:81" s="22" customFormat="1" ht="14.5" outlineLevel="1" x14ac:dyDescent="0.35">
      <c r="B205" s="25" t="s">
        <v>165</v>
      </c>
      <c r="C205" s="23" t="s">
        <v>53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>
        <v>49500</v>
      </c>
      <c r="P205" s="21">
        <v>49500</v>
      </c>
      <c r="Q205" s="20">
        <v>22000</v>
      </c>
      <c r="R205" s="20">
        <v>22000</v>
      </c>
      <c r="S205" s="20">
        <v>33000</v>
      </c>
      <c r="T205" s="20">
        <v>33000</v>
      </c>
      <c r="U205" s="20">
        <v>33000</v>
      </c>
      <c r="V205" s="20">
        <v>33000</v>
      </c>
      <c r="W205" s="20">
        <v>33000</v>
      </c>
      <c r="X205" s="20">
        <v>33000</v>
      </c>
      <c r="Y205" s="20">
        <v>33000</v>
      </c>
      <c r="Z205" s="20"/>
      <c r="AA205" s="20"/>
      <c r="AB205" s="20"/>
      <c r="AC205" s="21">
        <v>275000</v>
      </c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>
        <v>1363.2553138736293</v>
      </c>
      <c r="BC205" s="37">
        <v>1363.2553138736293</v>
      </c>
      <c r="BD205" s="36">
        <v>1369.0275613486194</v>
      </c>
      <c r="BE205" s="36">
        <v>1365.3248191103767</v>
      </c>
      <c r="BF205" s="36">
        <v>1346.0459781214086</v>
      </c>
      <c r="BG205" s="36">
        <v>1253.8411183325718</v>
      </c>
      <c r="BH205" s="36">
        <v>1255.7129883532255</v>
      </c>
      <c r="BI205" s="36">
        <v>1261.3394085741297</v>
      </c>
      <c r="BJ205" s="36">
        <v>1263.5611554715983</v>
      </c>
      <c r="BK205" s="36">
        <v>1256.5546573576696</v>
      </c>
      <c r="BL205" s="36">
        <v>1237.4854219404212</v>
      </c>
      <c r="BM205" s="36"/>
      <c r="BN205" s="36"/>
      <c r="BO205" s="36"/>
      <c r="BP205" s="37">
        <v>1283.6930778148428</v>
      </c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7"/>
    </row>
    <row r="206" spans="2:81" s="22" customFormat="1" ht="14.5" outlineLevel="1" x14ac:dyDescent="0.35">
      <c r="B206" s="25" t="s">
        <v>165</v>
      </c>
      <c r="C206" s="23" t="s">
        <v>168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1"/>
      <c r="Q206" s="20"/>
      <c r="R206" s="20"/>
      <c r="S206" s="20"/>
      <c r="T206" s="20"/>
      <c r="U206" s="20"/>
      <c r="V206" s="20"/>
      <c r="W206" s="20"/>
      <c r="X206" s="20"/>
      <c r="Y206" s="20"/>
      <c r="Z206" s="20">
        <v>44000</v>
      </c>
      <c r="AA206" s="20">
        <v>33000</v>
      </c>
      <c r="AB206" s="20">
        <v>55000</v>
      </c>
      <c r="AC206" s="21">
        <v>132000</v>
      </c>
      <c r="AD206" s="20">
        <v>44000</v>
      </c>
      <c r="AE206" s="20">
        <v>22000</v>
      </c>
      <c r="AF206" s="20">
        <v>33000</v>
      </c>
      <c r="AG206" s="20">
        <v>66000</v>
      </c>
      <c r="AH206" s="20"/>
      <c r="AI206" s="20"/>
      <c r="AJ206" s="20"/>
      <c r="AK206" s="20"/>
      <c r="AL206" s="20"/>
      <c r="AM206" s="20"/>
      <c r="AN206" s="20"/>
      <c r="AO206" s="20"/>
      <c r="AP206" s="21">
        <v>165000</v>
      </c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7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>
        <v>1222.9374847123902</v>
      </c>
      <c r="BN206" s="36">
        <v>1220.3014651386425</v>
      </c>
      <c r="BO206" s="36">
        <v>1210.8575143155888</v>
      </c>
      <c r="BP206" s="37">
        <v>1217.2451588202857</v>
      </c>
      <c r="BQ206" s="36">
        <v>1207.8492013055525</v>
      </c>
      <c r="BR206" s="36">
        <v>1218.5480181004054</v>
      </c>
      <c r="BS206" s="36">
        <v>1202.3277191442453</v>
      </c>
      <c r="BT206" s="36">
        <v>1237.0945300879259</v>
      </c>
      <c r="BU206" s="36"/>
      <c r="BV206" s="36"/>
      <c r="BW206" s="36"/>
      <c r="BX206" s="36"/>
      <c r="BY206" s="36"/>
      <c r="BZ206" s="36"/>
      <c r="CA206" s="36"/>
      <c r="CB206" s="36"/>
      <c r="CC206" s="37">
        <v>1219.8695452922204</v>
      </c>
    </row>
    <row r="207" spans="2:81" ht="14.5" x14ac:dyDescent="0.35">
      <c r="B207" s="15" t="s">
        <v>169</v>
      </c>
      <c r="C207" s="16"/>
      <c r="D207" s="17"/>
      <c r="E207" s="17"/>
      <c r="F207" s="17"/>
      <c r="G207" s="17"/>
      <c r="H207" s="17">
        <v>200</v>
      </c>
      <c r="I207" s="17"/>
      <c r="J207" s="17"/>
      <c r="K207" s="17"/>
      <c r="L207" s="17"/>
      <c r="M207" s="17"/>
      <c r="N207" s="17"/>
      <c r="O207" s="17">
        <v>49500</v>
      </c>
      <c r="P207" s="18">
        <v>49700</v>
      </c>
      <c r="Q207" s="17">
        <v>22000</v>
      </c>
      <c r="R207" s="17">
        <v>22000</v>
      </c>
      <c r="S207" s="17">
        <v>33300</v>
      </c>
      <c r="T207" s="17">
        <v>33000</v>
      </c>
      <c r="U207" s="17">
        <v>33000</v>
      </c>
      <c r="V207" s="17">
        <v>33000</v>
      </c>
      <c r="W207" s="17">
        <v>33000</v>
      </c>
      <c r="X207" s="17">
        <v>33000</v>
      </c>
      <c r="Y207" s="17">
        <v>33000</v>
      </c>
      <c r="Z207" s="17">
        <v>44000</v>
      </c>
      <c r="AA207" s="17">
        <v>33000</v>
      </c>
      <c r="AB207" s="17">
        <v>55000</v>
      </c>
      <c r="AC207" s="18">
        <v>407300</v>
      </c>
      <c r="AD207" s="17">
        <v>44500</v>
      </c>
      <c r="AE207" s="17">
        <v>22000</v>
      </c>
      <c r="AF207" s="17">
        <v>34000</v>
      </c>
      <c r="AG207" s="17">
        <v>67425</v>
      </c>
      <c r="AH207" s="17"/>
      <c r="AI207" s="17"/>
      <c r="AJ207" s="17"/>
      <c r="AK207" s="17"/>
      <c r="AL207" s="17"/>
      <c r="AM207" s="17"/>
      <c r="AN207" s="17"/>
      <c r="AO207" s="17"/>
      <c r="AP207" s="18">
        <v>167925</v>
      </c>
      <c r="AQ207" s="17"/>
      <c r="AR207" s="17"/>
      <c r="AS207" s="17"/>
      <c r="AT207" s="17"/>
      <c r="AU207" s="17">
        <v>1360.9846947902197</v>
      </c>
      <c r="AV207" s="17"/>
      <c r="AW207" s="17"/>
      <c r="AX207" s="17"/>
      <c r="AY207" s="17"/>
      <c r="AZ207" s="17"/>
      <c r="BA207" s="17"/>
      <c r="BB207" s="17">
        <v>1363.2553138736293</v>
      </c>
      <c r="BC207" s="19">
        <v>1363.2461765734952</v>
      </c>
      <c r="BD207" s="17">
        <v>1369.0275613486194</v>
      </c>
      <c r="BE207" s="17">
        <v>1365.3248191103767</v>
      </c>
      <c r="BF207" s="17">
        <v>1345.7768544914768</v>
      </c>
      <c r="BG207" s="17">
        <v>1253.8411183325718</v>
      </c>
      <c r="BH207" s="17">
        <v>1255.7129883532255</v>
      </c>
      <c r="BI207" s="17">
        <v>1261.3394085741297</v>
      </c>
      <c r="BJ207" s="17">
        <v>1263.5611554715983</v>
      </c>
      <c r="BK207" s="17">
        <v>1256.5546573576696</v>
      </c>
      <c r="BL207" s="17">
        <v>1237.4854219404212</v>
      </c>
      <c r="BM207" s="17">
        <v>1222.9374847123902</v>
      </c>
      <c r="BN207" s="17">
        <v>1220.3014651386425</v>
      </c>
      <c r="BO207" s="17">
        <v>1210.8575143155888</v>
      </c>
      <c r="BP207" s="19">
        <v>1262.1821982320635</v>
      </c>
      <c r="BQ207" s="17">
        <v>1208.6262636253184</v>
      </c>
      <c r="BR207" s="17">
        <v>1218.5480181004054</v>
      </c>
      <c r="BS207" s="17">
        <v>1204.558640983226</v>
      </c>
      <c r="BT207" s="17">
        <v>1240.720197224384</v>
      </c>
      <c r="BU207" s="17"/>
      <c r="BV207" s="17"/>
      <c r="BW207" s="17"/>
      <c r="BX207" s="17"/>
      <c r="BY207" s="17"/>
      <c r="BZ207" s="17"/>
      <c r="CA207" s="17"/>
      <c r="CB207" s="17"/>
      <c r="CC207" s="19">
        <v>1221.988853481133</v>
      </c>
    </row>
    <row r="208" spans="2:81" s="22" customFormat="1" ht="14.5" outlineLevel="1" x14ac:dyDescent="0.35">
      <c r="B208" s="25" t="s">
        <v>170</v>
      </c>
      <c r="C208" s="23" t="s">
        <v>78</v>
      </c>
      <c r="D208" s="20"/>
      <c r="E208" s="20"/>
      <c r="F208" s="20">
        <v>500</v>
      </c>
      <c r="G208" s="20">
        <v>225</v>
      </c>
      <c r="H208" s="20"/>
      <c r="I208" s="20"/>
      <c r="J208" s="20">
        <v>300</v>
      </c>
      <c r="K208" s="20">
        <v>300</v>
      </c>
      <c r="L208" s="20">
        <v>200</v>
      </c>
      <c r="M208" s="20"/>
      <c r="N208" s="20">
        <v>300</v>
      </c>
      <c r="O208" s="20">
        <v>300</v>
      </c>
      <c r="P208" s="21">
        <v>2125</v>
      </c>
      <c r="Q208" s="20"/>
      <c r="R208" s="20"/>
      <c r="S208" s="20"/>
      <c r="T208" s="20"/>
      <c r="U208" s="20"/>
      <c r="V208" s="20"/>
      <c r="W208" s="20"/>
      <c r="X208" s="20"/>
      <c r="Y208" s="20">
        <v>100</v>
      </c>
      <c r="Z208" s="20"/>
      <c r="AA208" s="20">
        <v>200</v>
      </c>
      <c r="AB208" s="20"/>
      <c r="AC208" s="21">
        <v>300</v>
      </c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1"/>
      <c r="AQ208" s="36"/>
      <c r="AR208" s="36"/>
      <c r="AS208" s="36">
        <v>1275.7025727849652</v>
      </c>
      <c r="AT208" s="36">
        <v>1251.6755451359211</v>
      </c>
      <c r="AU208" s="36"/>
      <c r="AV208" s="36"/>
      <c r="AW208" s="36">
        <v>1235.7875219436107</v>
      </c>
      <c r="AX208" s="36">
        <v>1249.7393538825893</v>
      </c>
      <c r="AY208" s="36">
        <v>1263.4863229197467</v>
      </c>
      <c r="AZ208" s="36"/>
      <c r="BA208" s="36">
        <v>1243.38136280097</v>
      </c>
      <c r="BB208" s="36">
        <v>1241.6881031750297</v>
      </c>
      <c r="BC208" s="37">
        <v>1253.3432711400819</v>
      </c>
      <c r="BD208" s="36"/>
      <c r="BE208" s="36"/>
      <c r="BF208" s="36"/>
      <c r="BG208" s="36"/>
      <c r="BH208" s="36"/>
      <c r="BI208" s="36"/>
      <c r="BJ208" s="36"/>
      <c r="BK208" s="36"/>
      <c r="BL208" s="36">
        <v>1282.8832749936541</v>
      </c>
      <c r="BM208" s="36"/>
      <c r="BN208" s="36">
        <v>1306.0819816191924</v>
      </c>
      <c r="BO208" s="36"/>
      <c r="BP208" s="37">
        <v>1298.3490794106795</v>
      </c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7"/>
    </row>
    <row r="209" spans="2:81" s="22" customFormat="1" ht="14.5" outlineLevel="1" x14ac:dyDescent="0.35">
      <c r="B209" s="25" t="s">
        <v>170</v>
      </c>
      <c r="C209" s="23" t="s">
        <v>171</v>
      </c>
      <c r="D209" s="20"/>
      <c r="E209" s="20"/>
      <c r="F209" s="20">
        <v>25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1">
        <v>25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1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/>
      <c r="AQ209" s="36"/>
      <c r="AR209" s="36"/>
      <c r="AS209" s="36">
        <v>1298.8084102002031</v>
      </c>
      <c r="AT209" s="36"/>
      <c r="AU209" s="36"/>
      <c r="AV209" s="36"/>
      <c r="AW209" s="36"/>
      <c r="AX209" s="36"/>
      <c r="AY209" s="36"/>
      <c r="AZ209" s="36"/>
      <c r="BA209" s="36"/>
      <c r="BB209" s="36"/>
      <c r="BC209" s="37">
        <v>1298.8084102002031</v>
      </c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7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7"/>
    </row>
    <row r="210" spans="2:81" ht="14.5" x14ac:dyDescent="0.35">
      <c r="B210" s="15" t="s">
        <v>172</v>
      </c>
      <c r="C210" s="16"/>
      <c r="D210" s="17"/>
      <c r="E210" s="17"/>
      <c r="F210" s="17">
        <v>525</v>
      </c>
      <c r="G210" s="17">
        <v>225</v>
      </c>
      <c r="H210" s="17"/>
      <c r="I210" s="17"/>
      <c r="J210" s="17">
        <v>300</v>
      </c>
      <c r="K210" s="17">
        <v>300</v>
      </c>
      <c r="L210" s="17">
        <v>200</v>
      </c>
      <c r="M210" s="17"/>
      <c r="N210" s="17">
        <v>300</v>
      </c>
      <c r="O210" s="17">
        <v>300</v>
      </c>
      <c r="P210" s="18">
        <v>2150</v>
      </c>
      <c r="Q210" s="17"/>
      <c r="R210" s="17"/>
      <c r="S210" s="17"/>
      <c r="T210" s="17"/>
      <c r="U210" s="17"/>
      <c r="V210" s="17"/>
      <c r="W210" s="17"/>
      <c r="X210" s="17"/>
      <c r="Y210" s="17">
        <v>100</v>
      </c>
      <c r="Z210" s="17"/>
      <c r="AA210" s="17">
        <v>200</v>
      </c>
      <c r="AB210" s="17"/>
      <c r="AC210" s="18">
        <v>300</v>
      </c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8"/>
      <c r="AQ210" s="17"/>
      <c r="AR210" s="17"/>
      <c r="AS210" s="17">
        <v>1276.8028507571194</v>
      </c>
      <c r="AT210" s="17">
        <v>1251.6755451359211</v>
      </c>
      <c r="AU210" s="17"/>
      <c r="AV210" s="17"/>
      <c r="AW210" s="17">
        <v>1235.7875219436107</v>
      </c>
      <c r="AX210" s="17">
        <v>1249.7393538825893</v>
      </c>
      <c r="AY210" s="17">
        <v>1263.4863229197467</v>
      </c>
      <c r="AZ210" s="17"/>
      <c r="BA210" s="17">
        <v>1243.38136280097</v>
      </c>
      <c r="BB210" s="17">
        <v>1241.6881031750297</v>
      </c>
      <c r="BC210" s="19">
        <v>1253.8719355477579</v>
      </c>
      <c r="BD210" s="17"/>
      <c r="BE210" s="17"/>
      <c r="BF210" s="17"/>
      <c r="BG210" s="17"/>
      <c r="BH210" s="17"/>
      <c r="BI210" s="17"/>
      <c r="BJ210" s="17"/>
      <c r="BK210" s="17"/>
      <c r="BL210" s="17">
        <v>1282.8832749936541</v>
      </c>
      <c r="BM210" s="17"/>
      <c r="BN210" s="17">
        <v>1306.0819816191924</v>
      </c>
      <c r="BO210" s="17"/>
      <c r="BP210" s="19">
        <v>1298.3490794106795</v>
      </c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9"/>
    </row>
    <row r="211" spans="2:81" s="22" customFormat="1" ht="14.5" outlineLevel="1" x14ac:dyDescent="0.35">
      <c r="B211" s="25" t="s">
        <v>173</v>
      </c>
      <c r="C211" s="23" t="s">
        <v>174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1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1"/>
      <c r="AD211" s="20"/>
      <c r="AE211" s="20"/>
      <c r="AF211" s="20">
        <v>21000</v>
      </c>
      <c r="AG211" s="20"/>
      <c r="AH211" s="20"/>
      <c r="AI211" s="20"/>
      <c r="AJ211" s="20"/>
      <c r="AK211" s="20"/>
      <c r="AL211" s="20"/>
      <c r="AM211" s="20"/>
      <c r="AN211" s="20"/>
      <c r="AO211" s="20"/>
      <c r="AP211" s="21">
        <v>21000</v>
      </c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7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7"/>
      <c r="BQ211" s="36"/>
      <c r="BR211" s="36"/>
      <c r="BS211" s="36">
        <v>647.07480052099504</v>
      </c>
      <c r="BT211" s="36"/>
      <c r="BU211" s="36"/>
      <c r="BV211" s="36"/>
      <c r="BW211" s="36"/>
      <c r="BX211" s="36"/>
      <c r="BY211" s="36"/>
      <c r="BZ211" s="36"/>
      <c r="CA211" s="36"/>
      <c r="CB211" s="36"/>
      <c r="CC211" s="37">
        <v>647.07480052099504</v>
      </c>
    </row>
    <row r="212" spans="2:81" s="22" customFormat="1" ht="14.5" outlineLevel="1" x14ac:dyDescent="0.35">
      <c r="B212" s="25" t="s">
        <v>173</v>
      </c>
      <c r="C212" s="23" t="s">
        <v>175</v>
      </c>
      <c r="D212" s="20"/>
      <c r="E212" s="20">
        <v>-50000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1">
        <v>-50000</v>
      </c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1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1"/>
      <c r="AQ212" s="36"/>
      <c r="AR212" s="36">
        <v>957.14734124310758</v>
      </c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7">
        <v>957.14734124310758</v>
      </c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7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7"/>
    </row>
    <row r="213" spans="2:81" s="22" customFormat="1" ht="14.5" outlineLevel="1" x14ac:dyDescent="0.35">
      <c r="B213" s="25" t="s">
        <v>173</v>
      </c>
      <c r="C213" s="23" t="s">
        <v>176</v>
      </c>
      <c r="D213" s="20"/>
      <c r="E213" s="20"/>
      <c r="F213" s="20">
        <v>75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1">
        <v>75</v>
      </c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1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1"/>
      <c r="AQ213" s="36"/>
      <c r="AR213" s="36"/>
      <c r="AS213" s="36">
        <v>901.77253626135291</v>
      </c>
      <c r="AT213" s="36"/>
      <c r="AU213" s="36"/>
      <c r="AV213" s="36"/>
      <c r="AW213" s="36"/>
      <c r="AX213" s="36"/>
      <c r="AY213" s="36"/>
      <c r="AZ213" s="36"/>
      <c r="BA213" s="36"/>
      <c r="BB213" s="36"/>
      <c r="BC213" s="37">
        <v>901.77253626135291</v>
      </c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7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7"/>
    </row>
    <row r="214" spans="2:81" s="22" customFormat="1" ht="14.5" outlineLevel="1" x14ac:dyDescent="0.35">
      <c r="B214" s="25" t="s">
        <v>173</v>
      </c>
      <c r="C214" s="23" t="s">
        <v>177</v>
      </c>
      <c r="D214" s="20">
        <v>22000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1">
        <v>22000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1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1"/>
      <c r="AQ214" s="36">
        <v>975.486868895567</v>
      </c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7">
        <v>975.486868895567</v>
      </c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7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7"/>
    </row>
    <row r="215" spans="2:81" s="22" customFormat="1" ht="14.5" outlineLevel="1" x14ac:dyDescent="0.35">
      <c r="B215" s="25" t="s">
        <v>173</v>
      </c>
      <c r="C215" s="23" t="s">
        <v>25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1"/>
      <c r="Q215" s="20"/>
      <c r="R215" s="20"/>
      <c r="S215" s="20"/>
      <c r="T215" s="20"/>
      <c r="U215" s="20"/>
      <c r="V215" s="20"/>
      <c r="W215" s="20"/>
      <c r="X215" s="20"/>
      <c r="Y215" s="20"/>
      <c r="Z215" s="20">
        <v>25</v>
      </c>
      <c r="AA215" s="20"/>
      <c r="AB215" s="20"/>
      <c r="AC215" s="21">
        <v>25</v>
      </c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7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>
        <v>1038.9721052684902</v>
      </c>
      <c r="BN215" s="36"/>
      <c r="BO215" s="36"/>
      <c r="BP215" s="37">
        <v>1038.9721052684902</v>
      </c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7"/>
    </row>
    <row r="216" spans="2:81" s="22" customFormat="1" ht="14.5" outlineLevel="1" x14ac:dyDescent="0.35">
      <c r="B216" s="25" t="s">
        <v>173</v>
      </c>
      <c r="C216" s="23" t="s">
        <v>178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1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>
        <v>22000</v>
      </c>
      <c r="AC216" s="21">
        <v>22000</v>
      </c>
      <c r="AD216" s="20">
        <v>-17600</v>
      </c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1">
        <v>-17600</v>
      </c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7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>
        <v>947.50360657094859</v>
      </c>
      <c r="BP216" s="37">
        <v>947.50360657094859</v>
      </c>
      <c r="BQ216" s="36">
        <v>944.04417803940305</v>
      </c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7">
        <v>944.04417803940305</v>
      </c>
    </row>
    <row r="217" spans="2:81" s="22" customFormat="1" ht="14.5" outlineLevel="1" x14ac:dyDescent="0.35">
      <c r="B217" s="25" t="s">
        <v>173</v>
      </c>
      <c r="C217" s="23" t="s">
        <v>179</v>
      </c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1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>
        <v>66000</v>
      </c>
      <c r="AC217" s="21">
        <v>66000</v>
      </c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7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>
        <v>644.8781348843977</v>
      </c>
      <c r="BP217" s="37">
        <v>644.8781348843977</v>
      </c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7"/>
    </row>
    <row r="218" spans="2:81" ht="14.5" x14ac:dyDescent="0.35">
      <c r="B218" s="15" t="s">
        <v>180</v>
      </c>
      <c r="C218" s="16"/>
      <c r="D218" s="17">
        <v>22000</v>
      </c>
      <c r="E218" s="17">
        <v>-50000</v>
      </c>
      <c r="F218" s="17">
        <v>75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8">
        <v>-27925</v>
      </c>
      <c r="Q218" s="17"/>
      <c r="R218" s="17"/>
      <c r="S218" s="17"/>
      <c r="T218" s="17"/>
      <c r="U218" s="17"/>
      <c r="V218" s="17"/>
      <c r="W218" s="17"/>
      <c r="X218" s="17"/>
      <c r="Y218" s="17"/>
      <c r="Z218" s="17">
        <v>25</v>
      </c>
      <c r="AA218" s="17"/>
      <c r="AB218" s="17">
        <v>88000</v>
      </c>
      <c r="AC218" s="18">
        <v>88025</v>
      </c>
      <c r="AD218" s="17">
        <v>-17600</v>
      </c>
      <c r="AE218" s="17"/>
      <c r="AF218" s="17">
        <v>21000</v>
      </c>
      <c r="AG218" s="17"/>
      <c r="AH218" s="17"/>
      <c r="AI218" s="17"/>
      <c r="AJ218" s="17"/>
      <c r="AK218" s="17"/>
      <c r="AL218" s="17"/>
      <c r="AM218" s="17"/>
      <c r="AN218" s="17"/>
      <c r="AO218" s="17"/>
      <c r="AP218" s="18">
        <v>3400</v>
      </c>
      <c r="AQ218" s="17">
        <v>975.486868895567</v>
      </c>
      <c r="AR218" s="17">
        <v>957.14734124310758</v>
      </c>
      <c r="AS218" s="17">
        <v>901.77253626135291</v>
      </c>
      <c r="AT218" s="17"/>
      <c r="AU218" s="17"/>
      <c r="AV218" s="17"/>
      <c r="AW218" s="17"/>
      <c r="AX218" s="17"/>
      <c r="AY218" s="17"/>
      <c r="AZ218" s="17"/>
      <c r="BA218" s="17"/>
      <c r="BB218" s="17"/>
      <c r="BC218" s="19">
        <v>942.84773522769228</v>
      </c>
      <c r="BD218" s="17"/>
      <c r="BE218" s="17"/>
      <c r="BF218" s="17"/>
      <c r="BG218" s="17"/>
      <c r="BH218" s="17"/>
      <c r="BI218" s="17"/>
      <c r="BJ218" s="17"/>
      <c r="BK218" s="17"/>
      <c r="BL218" s="17"/>
      <c r="BM218" s="17">
        <v>1038.9721052684902</v>
      </c>
      <c r="BN218" s="17"/>
      <c r="BO218" s="17">
        <v>720.53450280603545</v>
      </c>
      <c r="BP218" s="19">
        <v>720.62494234095811</v>
      </c>
      <c r="BQ218" s="17">
        <v>944.04417803940305</v>
      </c>
      <c r="BR218" s="17"/>
      <c r="BS218" s="17">
        <v>647.07480052099504</v>
      </c>
      <c r="BT218" s="17"/>
      <c r="BU218" s="17"/>
      <c r="BV218" s="17"/>
      <c r="BW218" s="17"/>
      <c r="BX218" s="17"/>
      <c r="BY218" s="17"/>
      <c r="BZ218" s="17"/>
      <c r="CA218" s="17"/>
      <c r="CB218" s="17"/>
      <c r="CC218" s="19">
        <v>-890.17844780958717</v>
      </c>
    </row>
    <row r="219" spans="2:81" s="22" customFormat="1" ht="14.5" outlineLevel="1" x14ac:dyDescent="0.35">
      <c r="B219" s="25" t="s">
        <v>181</v>
      </c>
      <c r="C219" s="23" t="s">
        <v>182</v>
      </c>
      <c r="D219" s="20"/>
      <c r="E219" s="20">
        <v>25</v>
      </c>
      <c r="F219" s="20"/>
      <c r="G219" s="20"/>
      <c r="H219" s="20">
        <v>50</v>
      </c>
      <c r="I219" s="20"/>
      <c r="J219" s="20"/>
      <c r="K219" s="20"/>
      <c r="L219" s="20"/>
      <c r="M219" s="20"/>
      <c r="N219" s="20"/>
      <c r="O219" s="20"/>
      <c r="P219" s="21">
        <v>75</v>
      </c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1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/>
      <c r="AQ219" s="36"/>
      <c r="AR219" s="36">
        <v>1112.9678216660711</v>
      </c>
      <c r="AS219" s="36"/>
      <c r="AT219" s="36"/>
      <c r="AU219" s="36">
        <v>1109.975790510272</v>
      </c>
      <c r="AV219" s="36"/>
      <c r="AW219" s="36"/>
      <c r="AX219" s="36"/>
      <c r="AY219" s="36"/>
      <c r="AZ219" s="36"/>
      <c r="BA219" s="36"/>
      <c r="BB219" s="36"/>
      <c r="BC219" s="37">
        <v>1110.9731342288717</v>
      </c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7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7"/>
    </row>
    <row r="220" spans="2:81" s="22" customFormat="1" ht="14.5" outlineLevel="1" x14ac:dyDescent="0.35">
      <c r="B220" s="25" t="s">
        <v>181</v>
      </c>
      <c r="C220" s="23" t="s">
        <v>183</v>
      </c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1"/>
      <c r="Q220" s="20"/>
      <c r="R220" s="20"/>
      <c r="S220" s="20"/>
      <c r="T220" s="20">
        <v>1000</v>
      </c>
      <c r="U220" s="20"/>
      <c r="V220" s="20"/>
      <c r="W220" s="20"/>
      <c r="X220" s="20"/>
      <c r="Y220" s="20"/>
      <c r="Z220" s="20"/>
      <c r="AA220" s="20"/>
      <c r="AB220" s="20"/>
      <c r="AC220" s="21">
        <v>1000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1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7"/>
      <c r="BD220" s="36"/>
      <c r="BE220" s="36"/>
      <c r="BF220" s="36"/>
      <c r="BG220" s="36">
        <v>1038.3043662919542</v>
      </c>
      <c r="BH220" s="36"/>
      <c r="BI220" s="36"/>
      <c r="BJ220" s="36"/>
      <c r="BK220" s="36"/>
      <c r="BL220" s="36"/>
      <c r="BM220" s="36"/>
      <c r="BN220" s="36"/>
      <c r="BO220" s="36"/>
      <c r="BP220" s="37">
        <v>1038.3043662919542</v>
      </c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7"/>
    </row>
    <row r="221" spans="2:81" s="22" customFormat="1" ht="14.5" outlineLevel="1" x14ac:dyDescent="0.35">
      <c r="B221" s="25" t="s">
        <v>181</v>
      </c>
      <c r="C221" s="23" t="s">
        <v>184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1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1"/>
      <c r="AD221" s="20"/>
      <c r="AE221" s="20">
        <v>9450</v>
      </c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>
        <v>9450</v>
      </c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7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7"/>
      <c r="BQ221" s="36"/>
      <c r="BR221" s="36">
        <v>961.5967215395292</v>
      </c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7">
        <v>961.5967215395292</v>
      </c>
    </row>
    <row r="222" spans="2:81" ht="14.5" x14ac:dyDescent="0.35">
      <c r="B222" s="15" t="s">
        <v>185</v>
      </c>
      <c r="C222" s="16"/>
      <c r="D222" s="17"/>
      <c r="E222" s="17">
        <v>25</v>
      </c>
      <c r="F222" s="17"/>
      <c r="G222" s="17"/>
      <c r="H222" s="17">
        <v>50</v>
      </c>
      <c r="I222" s="17"/>
      <c r="J222" s="17"/>
      <c r="K222" s="17"/>
      <c r="L222" s="17"/>
      <c r="M222" s="17"/>
      <c r="N222" s="17"/>
      <c r="O222" s="17"/>
      <c r="P222" s="18">
        <v>75</v>
      </c>
      <c r="Q222" s="17"/>
      <c r="R222" s="17"/>
      <c r="S222" s="17"/>
      <c r="T222" s="17">
        <v>1000</v>
      </c>
      <c r="U222" s="17"/>
      <c r="V222" s="17"/>
      <c r="W222" s="17"/>
      <c r="X222" s="17"/>
      <c r="Y222" s="17"/>
      <c r="Z222" s="17"/>
      <c r="AA222" s="17"/>
      <c r="AB222" s="17"/>
      <c r="AC222" s="18">
        <v>1000</v>
      </c>
      <c r="AD222" s="17"/>
      <c r="AE222" s="17">
        <v>9450</v>
      </c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8">
        <v>9450</v>
      </c>
      <c r="AQ222" s="17"/>
      <c r="AR222" s="17">
        <v>1112.9678216660711</v>
      </c>
      <c r="AS222" s="17"/>
      <c r="AT222" s="17"/>
      <c r="AU222" s="17">
        <v>1109.975790510272</v>
      </c>
      <c r="AV222" s="17"/>
      <c r="AW222" s="17"/>
      <c r="AX222" s="17"/>
      <c r="AY222" s="17"/>
      <c r="AZ222" s="17"/>
      <c r="BA222" s="17"/>
      <c r="BB222" s="17"/>
      <c r="BC222" s="19">
        <v>1110.9731342288717</v>
      </c>
      <c r="BD222" s="17"/>
      <c r="BE222" s="17"/>
      <c r="BF222" s="17"/>
      <c r="BG222" s="17">
        <v>1038.3043662919542</v>
      </c>
      <c r="BH222" s="17"/>
      <c r="BI222" s="17"/>
      <c r="BJ222" s="17"/>
      <c r="BK222" s="17"/>
      <c r="BL222" s="17"/>
      <c r="BM222" s="17"/>
      <c r="BN222" s="17"/>
      <c r="BO222" s="17"/>
      <c r="BP222" s="19">
        <v>1038.3043662919542</v>
      </c>
      <c r="BQ222" s="17"/>
      <c r="BR222" s="17">
        <v>961.5967215395292</v>
      </c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9">
        <v>961.5967215395292</v>
      </c>
    </row>
    <row r="223" spans="2:81" s="22" customFormat="1" ht="14.5" outlineLevel="1" x14ac:dyDescent="0.35">
      <c r="B223" s="25" t="s">
        <v>186</v>
      </c>
      <c r="C223" s="23" t="s">
        <v>187</v>
      </c>
      <c r="D223" s="20">
        <v>44000</v>
      </c>
      <c r="E223" s="20"/>
      <c r="F223" s="20"/>
      <c r="G223" s="20"/>
      <c r="H223" s="20"/>
      <c r="I223" s="20"/>
      <c r="J223" s="20"/>
      <c r="K223" s="20">
        <v>-44000</v>
      </c>
      <c r="L223" s="20"/>
      <c r="M223" s="20"/>
      <c r="N223" s="20"/>
      <c r="O223" s="20"/>
      <c r="P223" s="21">
        <v>0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1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/>
      <c r="AQ223" s="36">
        <v>1298.1869543780003</v>
      </c>
      <c r="AR223" s="36"/>
      <c r="AS223" s="36"/>
      <c r="AT223" s="36"/>
      <c r="AU223" s="36"/>
      <c r="AV223" s="36"/>
      <c r="AW223" s="36"/>
      <c r="AX223" s="36">
        <v>1941.1256057003463</v>
      </c>
      <c r="AY223" s="36"/>
      <c r="AZ223" s="36"/>
      <c r="BA223" s="36"/>
      <c r="BB223" s="36"/>
      <c r="BC223" s="37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7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7"/>
    </row>
    <row r="224" spans="2:81" s="22" customFormat="1" ht="14.5" outlineLevel="1" x14ac:dyDescent="0.35">
      <c r="B224" s="25" t="s">
        <v>186</v>
      </c>
      <c r="C224" s="23" t="s">
        <v>6</v>
      </c>
      <c r="D224" s="20">
        <v>25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1">
        <v>25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1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1"/>
      <c r="AQ224" s="36">
        <v>1410.0472879658291</v>
      </c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7">
        <v>1410.0472879658291</v>
      </c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7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7"/>
    </row>
    <row r="225" spans="2:81" s="22" customFormat="1" ht="14.5" outlineLevel="1" x14ac:dyDescent="0.35">
      <c r="B225" s="25" t="s">
        <v>186</v>
      </c>
      <c r="C225" s="23" t="s">
        <v>91</v>
      </c>
      <c r="D225" s="20"/>
      <c r="E225" s="20"/>
      <c r="F225" s="20"/>
      <c r="G225" s="20"/>
      <c r="H225" s="20"/>
      <c r="I225" s="20"/>
      <c r="J225" s="20"/>
      <c r="K225" s="20">
        <v>44000</v>
      </c>
      <c r="L225" s="20"/>
      <c r="M225" s="20"/>
      <c r="N225" s="20"/>
      <c r="O225" s="20"/>
      <c r="P225" s="21">
        <v>44000</v>
      </c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1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/>
      <c r="AQ225" s="36"/>
      <c r="AR225" s="36"/>
      <c r="AS225" s="36"/>
      <c r="AT225" s="36"/>
      <c r="AU225" s="36"/>
      <c r="AV225" s="36"/>
      <c r="AW225" s="36"/>
      <c r="AX225" s="36">
        <v>1628.9153241847555</v>
      </c>
      <c r="AY225" s="36"/>
      <c r="AZ225" s="36"/>
      <c r="BA225" s="36"/>
      <c r="BB225" s="36"/>
      <c r="BC225" s="37">
        <v>1628.9153241847555</v>
      </c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7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7"/>
    </row>
    <row r="226" spans="2:81" ht="14.5" x14ac:dyDescent="0.35">
      <c r="B226" s="15" t="s">
        <v>188</v>
      </c>
      <c r="C226" s="16"/>
      <c r="D226" s="17">
        <v>44025</v>
      </c>
      <c r="E226" s="17"/>
      <c r="F226" s="17"/>
      <c r="G226" s="17"/>
      <c r="H226" s="17"/>
      <c r="I226" s="17"/>
      <c r="J226" s="17"/>
      <c r="K226" s="17">
        <v>0</v>
      </c>
      <c r="L226" s="17"/>
      <c r="M226" s="17"/>
      <c r="N226" s="17"/>
      <c r="O226" s="17"/>
      <c r="P226" s="18">
        <v>44025</v>
      </c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8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8"/>
      <c r="AQ226" s="17">
        <v>1298.2504752942909</v>
      </c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9">
        <v>986.2174852503158</v>
      </c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9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9"/>
    </row>
    <row r="227" spans="2:81" s="22" customFormat="1" ht="14.5" outlineLevel="1" x14ac:dyDescent="0.35">
      <c r="B227" s="25" t="s">
        <v>189</v>
      </c>
      <c r="C227" s="23" t="s">
        <v>25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1"/>
      <c r="Q227" s="20"/>
      <c r="R227" s="20"/>
      <c r="S227" s="20"/>
      <c r="T227" s="20"/>
      <c r="U227" s="20"/>
      <c r="V227" s="20"/>
      <c r="W227" s="20"/>
      <c r="X227" s="20"/>
      <c r="Y227" s="20"/>
      <c r="Z227" s="20">
        <v>25</v>
      </c>
      <c r="AA227" s="20"/>
      <c r="AB227" s="20"/>
      <c r="AC227" s="21">
        <v>25</v>
      </c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7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>
        <v>1038.9721052684902</v>
      </c>
      <c r="BN227" s="36"/>
      <c r="BO227" s="36"/>
      <c r="BP227" s="37">
        <v>1038.9721052684902</v>
      </c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7"/>
    </row>
    <row r="228" spans="2:81" ht="14.5" x14ac:dyDescent="0.35">
      <c r="B228" s="15" t="s">
        <v>190</v>
      </c>
      <c r="C228" s="1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8"/>
      <c r="Q228" s="17"/>
      <c r="R228" s="17"/>
      <c r="S228" s="17"/>
      <c r="T228" s="17"/>
      <c r="U228" s="17"/>
      <c r="V228" s="17"/>
      <c r="W228" s="17"/>
      <c r="X228" s="17"/>
      <c r="Y228" s="17"/>
      <c r="Z228" s="17">
        <v>25</v>
      </c>
      <c r="AA228" s="17"/>
      <c r="AB228" s="17"/>
      <c r="AC228" s="18">
        <v>25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8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9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>
        <v>1038.9721052684902</v>
      </c>
      <c r="BN228" s="17"/>
      <c r="BO228" s="17"/>
      <c r="BP228" s="19">
        <v>1038.9721052684902</v>
      </c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9"/>
    </row>
    <row r="229" spans="2:81" s="22" customFormat="1" ht="14.5" outlineLevel="1" x14ac:dyDescent="0.35">
      <c r="B229" s="25" t="s">
        <v>191</v>
      </c>
      <c r="C229" s="23" t="s">
        <v>5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1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1"/>
      <c r="AD229" s="20"/>
      <c r="AE229" s="20">
        <v>200</v>
      </c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>
        <v>200</v>
      </c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7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7"/>
      <c r="BQ229" s="36"/>
      <c r="BR229" s="36">
        <v>764.07244377055008</v>
      </c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7">
        <v>764.07244377055008</v>
      </c>
    </row>
    <row r="230" spans="2:81" s="22" customFormat="1" ht="14.5" outlineLevel="1" x14ac:dyDescent="0.35">
      <c r="B230" s="25" t="s">
        <v>191</v>
      </c>
      <c r="C230" s="23" t="s">
        <v>147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1"/>
      <c r="Q230" s="20"/>
      <c r="R230" s="20"/>
      <c r="S230" s="20">
        <v>23625</v>
      </c>
      <c r="T230" s="20">
        <v>6375</v>
      </c>
      <c r="U230" s="20"/>
      <c r="V230" s="20"/>
      <c r="W230" s="20">
        <v>11000</v>
      </c>
      <c r="X230" s="20">
        <v>16500</v>
      </c>
      <c r="Y230" s="20">
        <v>16500</v>
      </c>
      <c r="Z230" s="20">
        <v>17875</v>
      </c>
      <c r="AA230" s="20"/>
      <c r="AB230" s="20">
        <v>11000</v>
      </c>
      <c r="AC230" s="21">
        <v>102875</v>
      </c>
      <c r="AD230" s="20"/>
      <c r="AE230" s="20"/>
      <c r="AF230" s="20">
        <v>2000</v>
      </c>
      <c r="AG230" s="20"/>
      <c r="AH230" s="20"/>
      <c r="AI230" s="20"/>
      <c r="AJ230" s="20"/>
      <c r="AK230" s="20"/>
      <c r="AL230" s="20"/>
      <c r="AM230" s="20"/>
      <c r="AN230" s="20"/>
      <c r="AO230" s="20"/>
      <c r="AP230" s="21">
        <v>2000</v>
      </c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7"/>
      <c r="BD230" s="36"/>
      <c r="BE230" s="36"/>
      <c r="BF230" s="36">
        <v>766.30408971670681</v>
      </c>
      <c r="BG230" s="36">
        <v>757.44447074228992</v>
      </c>
      <c r="BH230" s="36"/>
      <c r="BI230" s="36"/>
      <c r="BJ230" s="36">
        <v>730.39246712655256</v>
      </c>
      <c r="BK230" s="36">
        <v>744.05807765083694</v>
      </c>
      <c r="BL230" s="36">
        <v>741.85732471090625</v>
      </c>
      <c r="BM230" s="36">
        <v>742.97179941052855</v>
      </c>
      <c r="BN230" s="36"/>
      <c r="BO230" s="36">
        <v>704.62817927787012</v>
      </c>
      <c r="BP230" s="37">
        <v>743.77734905875957</v>
      </c>
      <c r="BQ230" s="36"/>
      <c r="BR230" s="36"/>
      <c r="BS230" s="36">
        <v>699.30301655762241</v>
      </c>
      <c r="BT230" s="36"/>
      <c r="BU230" s="36"/>
      <c r="BV230" s="36"/>
      <c r="BW230" s="36"/>
      <c r="BX230" s="36"/>
      <c r="BY230" s="36"/>
      <c r="BZ230" s="36"/>
      <c r="CA230" s="36"/>
      <c r="CB230" s="36"/>
      <c r="CC230" s="37">
        <v>699.30301655762241</v>
      </c>
    </row>
    <row r="231" spans="2:81" s="22" customFormat="1" ht="14.5" outlineLevel="1" x14ac:dyDescent="0.35">
      <c r="B231" s="25" t="s">
        <v>191</v>
      </c>
      <c r="C231" s="23" t="s">
        <v>192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1"/>
      <c r="Q231" s="20"/>
      <c r="R231" s="20">
        <v>5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1">
        <v>5</v>
      </c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7"/>
      <c r="BD231" s="36"/>
      <c r="BE231" s="36">
        <v>830.95528287688489</v>
      </c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7">
        <v>830.95528287688489</v>
      </c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7"/>
    </row>
    <row r="232" spans="2:81" ht="14.5" x14ac:dyDescent="0.35">
      <c r="B232" s="15" t="s">
        <v>193</v>
      </c>
      <c r="C232" s="1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8"/>
      <c r="Q232" s="17"/>
      <c r="R232" s="17">
        <v>5</v>
      </c>
      <c r="S232" s="17">
        <v>23625</v>
      </c>
      <c r="T232" s="17">
        <v>6375</v>
      </c>
      <c r="U232" s="17"/>
      <c r="V232" s="17"/>
      <c r="W232" s="17">
        <v>11000</v>
      </c>
      <c r="X232" s="17">
        <v>16500</v>
      </c>
      <c r="Y232" s="17">
        <v>16500</v>
      </c>
      <c r="Z232" s="17">
        <v>17875</v>
      </c>
      <c r="AA232" s="17"/>
      <c r="AB232" s="17">
        <v>11000</v>
      </c>
      <c r="AC232" s="18">
        <v>102880</v>
      </c>
      <c r="AD232" s="17"/>
      <c r="AE232" s="17">
        <v>200</v>
      </c>
      <c r="AF232" s="17">
        <v>2000</v>
      </c>
      <c r="AG232" s="17"/>
      <c r="AH232" s="17"/>
      <c r="AI232" s="17"/>
      <c r="AJ232" s="17"/>
      <c r="AK232" s="17"/>
      <c r="AL232" s="17"/>
      <c r="AM232" s="17"/>
      <c r="AN232" s="17"/>
      <c r="AO232" s="17"/>
      <c r="AP232" s="18">
        <v>2200</v>
      </c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9"/>
      <c r="BD232" s="17"/>
      <c r="BE232" s="17">
        <v>830.95528287688489</v>
      </c>
      <c r="BF232" s="17">
        <v>766.30408971670681</v>
      </c>
      <c r="BG232" s="17">
        <v>757.44447074228992</v>
      </c>
      <c r="BH232" s="17"/>
      <c r="BI232" s="17"/>
      <c r="BJ232" s="17">
        <v>730.39246712655256</v>
      </c>
      <c r="BK232" s="17">
        <v>744.05807765083694</v>
      </c>
      <c r="BL232" s="17">
        <v>741.85732471090625</v>
      </c>
      <c r="BM232" s="17">
        <v>742.97179941052855</v>
      </c>
      <c r="BN232" s="17"/>
      <c r="BO232" s="17">
        <v>704.62817927787012</v>
      </c>
      <c r="BP232" s="19">
        <v>743.78158593345916</v>
      </c>
      <c r="BQ232" s="17"/>
      <c r="BR232" s="17">
        <v>764.07244377055008</v>
      </c>
      <c r="BS232" s="17">
        <v>699.30301655762241</v>
      </c>
      <c r="BT232" s="17"/>
      <c r="BU232" s="17"/>
      <c r="BV232" s="17"/>
      <c r="BW232" s="17"/>
      <c r="BX232" s="17"/>
      <c r="BY232" s="17"/>
      <c r="BZ232" s="17"/>
      <c r="CA232" s="17"/>
      <c r="CB232" s="17"/>
      <c r="CC232" s="19">
        <v>705.19114630425213</v>
      </c>
    </row>
    <row r="233" spans="2:81" s="22" customFormat="1" ht="14.5" outlineLevel="1" x14ac:dyDescent="0.35">
      <c r="B233" s="25" t="s">
        <v>194</v>
      </c>
      <c r="C233" s="23" t="s">
        <v>72</v>
      </c>
      <c r="D233" s="20"/>
      <c r="E233" s="20"/>
      <c r="F233" s="20"/>
      <c r="G233" s="20"/>
      <c r="H233" s="20"/>
      <c r="I233" s="20"/>
      <c r="J233" s="20"/>
      <c r="K233" s="20">
        <v>50</v>
      </c>
      <c r="L233" s="20"/>
      <c r="M233" s="20"/>
      <c r="N233" s="20"/>
      <c r="O233" s="20"/>
      <c r="P233" s="21">
        <v>50</v>
      </c>
      <c r="Q233" s="20"/>
      <c r="R233" s="20">
        <v>500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1">
        <v>500</v>
      </c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/>
      <c r="AQ233" s="36"/>
      <c r="AR233" s="36"/>
      <c r="AS233" s="36"/>
      <c r="AT233" s="36"/>
      <c r="AU233" s="36"/>
      <c r="AV233" s="36"/>
      <c r="AW233" s="36"/>
      <c r="AX233" s="36">
        <v>817.66616280580945</v>
      </c>
      <c r="AY233" s="36"/>
      <c r="AZ233" s="36"/>
      <c r="BA233" s="36"/>
      <c r="BB233" s="36"/>
      <c r="BC233" s="37">
        <v>817.66616280580945</v>
      </c>
      <c r="BD233" s="36"/>
      <c r="BE233" s="36">
        <v>1150.0975181489016</v>
      </c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7">
        <v>1150.0975181489016</v>
      </c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7"/>
    </row>
    <row r="234" spans="2:81" s="22" customFormat="1" ht="14.5" outlineLevel="1" x14ac:dyDescent="0.35">
      <c r="B234" s="25" t="s">
        <v>194</v>
      </c>
      <c r="C234" s="23" t="s">
        <v>195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1"/>
      <c r="Q234" s="20"/>
      <c r="R234" s="20">
        <v>100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1">
        <v>100</v>
      </c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1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7"/>
      <c r="BD234" s="36"/>
      <c r="BE234" s="36">
        <v>773.57979905919512</v>
      </c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>
        <v>773.57979905919512</v>
      </c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7"/>
    </row>
    <row r="235" spans="2:81" s="22" customFormat="1" ht="14.5" outlineLevel="1" x14ac:dyDescent="0.35">
      <c r="B235" s="25" t="s">
        <v>194</v>
      </c>
      <c r="C235" s="23" t="s">
        <v>196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1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1"/>
      <c r="AD235" s="20"/>
      <c r="AE235" s="20"/>
      <c r="AF235" s="20"/>
      <c r="AG235" s="20">
        <v>25</v>
      </c>
      <c r="AH235" s="20"/>
      <c r="AI235" s="20"/>
      <c r="AJ235" s="20"/>
      <c r="AK235" s="20"/>
      <c r="AL235" s="20"/>
      <c r="AM235" s="20"/>
      <c r="AN235" s="20"/>
      <c r="AO235" s="20"/>
      <c r="AP235" s="21">
        <v>25</v>
      </c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7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7"/>
      <c r="BQ235" s="36"/>
      <c r="BR235" s="36"/>
      <c r="BS235" s="36"/>
      <c r="BT235" s="36">
        <v>1194.9767831991776</v>
      </c>
      <c r="BU235" s="36"/>
      <c r="BV235" s="36"/>
      <c r="BW235" s="36"/>
      <c r="BX235" s="36"/>
      <c r="BY235" s="36"/>
      <c r="BZ235" s="36"/>
      <c r="CA235" s="36"/>
      <c r="CB235" s="36"/>
      <c r="CC235" s="37">
        <v>1194.9767831991776</v>
      </c>
    </row>
    <row r="236" spans="2:81" s="22" customFormat="1" ht="14.5" outlineLevel="1" x14ac:dyDescent="0.35">
      <c r="B236" s="25" t="s">
        <v>194</v>
      </c>
      <c r="C236" s="23" t="s">
        <v>197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1"/>
      <c r="Q236" s="20"/>
      <c r="R236" s="20"/>
      <c r="S236" s="20"/>
      <c r="T236" s="20">
        <v>100</v>
      </c>
      <c r="U236" s="20"/>
      <c r="V236" s="20"/>
      <c r="W236" s="20"/>
      <c r="X236" s="20"/>
      <c r="Y236" s="20"/>
      <c r="Z236" s="20"/>
      <c r="AA236" s="20"/>
      <c r="AB236" s="20"/>
      <c r="AC236" s="21">
        <v>100</v>
      </c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1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7"/>
      <c r="BD236" s="36"/>
      <c r="BE236" s="36"/>
      <c r="BF236" s="36"/>
      <c r="BG236" s="36">
        <v>742.56220377795148</v>
      </c>
      <c r="BH236" s="36"/>
      <c r="BI236" s="36"/>
      <c r="BJ236" s="36"/>
      <c r="BK236" s="36"/>
      <c r="BL236" s="36"/>
      <c r="BM236" s="36"/>
      <c r="BN236" s="36"/>
      <c r="BO236" s="36"/>
      <c r="BP236" s="37">
        <v>742.56220377795148</v>
      </c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7"/>
    </row>
    <row r="237" spans="2:81" s="22" customFormat="1" ht="14.5" outlineLevel="1" x14ac:dyDescent="0.35">
      <c r="B237" s="25" t="s">
        <v>194</v>
      </c>
      <c r="C237" s="23" t="s">
        <v>192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1"/>
      <c r="Q237" s="20"/>
      <c r="R237" s="20">
        <v>5</v>
      </c>
      <c r="S237" s="20"/>
      <c r="T237" s="20"/>
      <c r="U237" s="20"/>
      <c r="V237" s="20"/>
      <c r="W237" s="20"/>
      <c r="X237" s="20"/>
      <c r="Y237" s="20">
        <v>25</v>
      </c>
      <c r="Z237" s="20"/>
      <c r="AA237" s="20"/>
      <c r="AB237" s="20"/>
      <c r="AC237" s="21">
        <v>30</v>
      </c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1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7"/>
      <c r="BD237" s="36"/>
      <c r="BE237" s="36">
        <v>706.31199044535208</v>
      </c>
      <c r="BF237" s="36"/>
      <c r="BG237" s="36"/>
      <c r="BH237" s="36"/>
      <c r="BI237" s="36"/>
      <c r="BJ237" s="36"/>
      <c r="BK237" s="36"/>
      <c r="BL237" s="36">
        <v>667.67159293350028</v>
      </c>
      <c r="BM237" s="36"/>
      <c r="BN237" s="36"/>
      <c r="BO237" s="36"/>
      <c r="BP237" s="37">
        <v>674.11165918547567</v>
      </c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7"/>
    </row>
    <row r="238" spans="2:81" s="22" customFormat="1" ht="14.5" outlineLevel="1" x14ac:dyDescent="0.35">
      <c r="B238" s="25" t="s">
        <v>194</v>
      </c>
      <c r="C238" s="23" t="s">
        <v>198</v>
      </c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1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1"/>
      <c r="AD238" s="20"/>
      <c r="AE238" s="20"/>
      <c r="AF238" s="20"/>
      <c r="AG238" s="20">
        <v>100</v>
      </c>
      <c r="AH238" s="20"/>
      <c r="AI238" s="20"/>
      <c r="AJ238" s="20"/>
      <c r="AK238" s="20"/>
      <c r="AL238" s="20"/>
      <c r="AM238" s="20"/>
      <c r="AN238" s="20"/>
      <c r="AO238" s="20"/>
      <c r="AP238" s="21">
        <v>100</v>
      </c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7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7"/>
      <c r="BQ238" s="36"/>
      <c r="BR238" s="36"/>
      <c r="BS238" s="36"/>
      <c r="BT238" s="36">
        <v>761.89846036085839</v>
      </c>
      <c r="BU238" s="36"/>
      <c r="BV238" s="36"/>
      <c r="BW238" s="36"/>
      <c r="BX238" s="36"/>
      <c r="BY238" s="36"/>
      <c r="BZ238" s="36"/>
      <c r="CA238" s="36"/>
      <c r="CB238" s="36"/>
      <c r="CC238" s="37">
        <v>761.89846036085839</v>
      </c>
    </row>
    <row r="239" spans="2:81" ht="14.5" x14ac:dyDescent="0.35">
      <c r="B239" s="15" t="s">
        <v>199</v>
      </c>
      <c r="C239" s="16"/>
      <c r="D239" s="17"/>
      <c r="E239" s="17"/>
      <c r="F239" s="17"/>
      <c r="G239" s="17"/>
      <c r="H239" s="17"/>
      <c r="I239" s="17"/>
      <c r="J239" s="17"/>
      <c r="K239" s="17">
        <v>50</v>
      </c>
      <c r="L239" s="17"/>
      <c r="M239" s="17"/>
      <c r="N239" s="17"/>
      <c r="O239" s="17"/>
      <c r="P239" s="18">
        <v>50</v>
      </c>
      <c r="Q239" s="17"/>
      <c r="R239" s="17">
        <v>605</v>
      </c>
      <c r="S239" s="17"/>
      <c r="T239" s="17">
        <v>100</v>
      </c>
      <c r="U239" s="17"/>
      <c r="V239" s="17"/>
      <c r="W239" s="17"/>
      <c r="X239" s="17"/>
      <c r="Y239" s="17">
        <v>25</v>
      </c>
      <c r="Z239" s="17"/>
      <c r="AA239" s="17"/>
      <c r="AB239" s="17"/>
      <c r="AC239" s="18">
        <v>730</v>
      </c>
      <c r="AD239" s="17"/>
      <c r="AE239" s="17"/>
      <c r="AF239" s="17"/>
      <c r="AG239" s="17">
        <v>125</v>
      </c>
      <c r="AH239" s="17"/>
      <c r="AI239" s="17"/>
      <c r="AJ239" s="17"/>
      <c r="AK239" s="17"/>
      <c r="AL239" s="17"/>
      <c r="AM239" s="17"/>
      <c r="AN239" s="17"/>
      <c r="AO239" s="17"/>
      <c r="AP239" s="18">
        <v>125</v>
      </c>
      <c r="AQ239" s="17"/>
      <c r="AR239" s="17"/>
      <c r="AS239" s="17"/>
      <c r="AT239" s="17"/>
      <c r="AU239" s="17"/>
      <c r="AV239" s="17"/>
      <c r="AW239" s="17"/>
      <c r="AX239" s="17">
        <v>817.66616280580945</v>
      </c>
      <c r="AY239" s="17"/>
      <c r="AZ239" s="17"/>
      <c r="BA239" s="17"/>
      <c r="BB239" s="17"/>
      <c r="BC239" s="19">
        <v>817.66616280580945</v>
      </c>
      <c r="BD239" s="17"/>
      <c r="BE239" s="17">
        <v>1084.1955354257802</v>
      </c>
      <c r="BF239" s="17"/>
      <c r="BG239" s="17">
        <v>742.56220377795148</v>
      </c>
      <c r="BH239" s="17"/>
      <c r="BI239" s="17"/>
      <c r="BJ239" s="17"/>
      <c r="BK239" s="17"/>
      <c r="BL239" s="17">
        <v>667.67159293350028</v>
      </c>
      <c r="BM239" s="17"/>
      <c r="BN239" s="17"/>
      <c r="BO239" s="17"/>
      <c r="BP239" s="19">
        <v>1023.1319303201776</v>
      </c>
      <c r="BQ239" s="17"/>
      <c r="BR239" s="17"/>
      <c r="BS239" s="17"/>
      <c r="BT239" s="17">
        <v>848.51412492852228</v>
      </c>
      <c r="BU239" s="17"/>
      <c r="BV239" s="17"/>
      <c r="BW239" s="17"/>
      <c r="BX239" s="17"/>
      <c r="BY239" s="17"/>
      <c r="BZ239" s="17"/>
      <c r="CA239" s="17"/>
      <c r="CB239" s="17"/>
      <c r="CC239" s="19">
        <v>848.51412492852228</v>
      </c>
    </row>
    <row r="240" spans="2:81" s="22" customFormat="1" ht="14.5" outlineLevel="1" x14ac:dyDescent="0.35">
      <c r="B240" s="25" t="s">
        <v>200</v>
      </c>
      <c r="C240" s="23" t="s">
        <v>201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1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1"/>
      <c r="AD240" s="20"/>
      <c r="AE240" s="20"/>
      <c r="AF240" s="20">
        <v>200</v>
      </c>
      <c r="AG240" s="20">
        <v>15000</v>
      </c>
      <c r="AH240" s="20"/>
      <c r="AI240" s="20"/>
      <c r="AJ240" s="20"/>
      <c r="AK240" s="20"/>
      <c r="AL240" s="20"/>
      <c r="AM240" s="20"/>
      <c r="AN240" s="20"/>
      <c r="AO240" s="20"/>
      <c r="AP240" s="21">
        <v>15200</v>
      </c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7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7"/>
      <c r="BQ240" s="36"/>
      <c r="BR240" s="36"/>
      <c r="BS240" s="36">
        <v>763.57959288955215</v>
      </c>
      <c r="BT240" s="36">
        <v>813.42946272736515</v>
      </c>
      <c r="BU240" s="36"/>
      <c r="BV240" s="36"/>
      <c r="BW240" s="36"/>
      <c r="BX240" s="36"/>
      <c r="BY240" s="36"/>
      <c r="BZ240" s="36"/>
      <c r="CA240" s="36"/>
      <c r="CB240" s="36"/>
      <c r="CC240" s="37">
        <v>812.77354338739394</v>
      </c>
    </row>
    <row r="241" spans="2:81" ht="14.5" x14ac:dyDescent="0.35">
      <c r="B241" s="15" t="s">
        <v>202</v>
      </c>
      <c r="C241" s="1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8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/>
      <c r="AD241" s="17"/>
      <c r="AE241" s="17"/>
      <c r="AF241" s="17">
        <v>200</v>
      </c>
      <c r="AG241" s="17">
        <v>15000</v>
      </c>
      <c r="AH241" s="17"/>
      <c r="AI241" s="17"/>
      <c r="AJ241" s="17"/>
      <c r="AK241" s="17"/>
      <c r="AL241" s="17"/>
      <c r="AM241" s="17"/>
      <c r="AN241" s="17"/>
      <c r="AO241" s="17"/>
      <c r="AP241" s="18">
        <v>15200</v>
      </c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9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9"/>
      <c r="BQ241" s="17"/>
      <c r="BR241" s="17"/>
      <c r="BS241" s="17">
        <v>763.57959288955215</v>
      </c>
      <c r="BT241" s="17">
        <v>813.42946272736515</v>
      </c>
      <c r="BU241" s="17"/>
      <c r="BV241" s="17"/>
      <c r="BW241" s="17"/>
      <c r="BX241" s="17"/>
      <c r="BY241" s="17"/>
      <c r="BZ241" s="17"/>
      <c r="CA241" s="17"/>
      <c r="CB241" s="17"/>
      <c r="CC241" s="19">
        <v>812.77354338739394</v>
      </c>
    </row>
    <row r="242" spans="2:81" s="22" customFormat="1" ht="14.5" outlineLevel="1" x14ac:dyDescent="0.35">
      <c r="B242" s="25" t="s">
        <v>203</v>
      </c>
      <c r="C242" s="23" t="s">
        <v>204</v>
      </c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1"/>
      <c r="Q242" s="20"/>
      <c r="R242" s="20"/>
      <c r="S242" s="20"/>
      <c r="T242" s="20"/>
      <c r="U242" s="20"/>
      <c r="V242" s="20"/>
      <c r="W242" s="20"/>
      <c r="X242" s="20"/>
      <c r="Y242" s="20"/>
      <c r="Z242" s="20">
        <v>50</v>
      </c>
      <c r="AA242" s="20"/>
      <c r="AB242" s="20"/>
      <c r="AC242" s="21">
        <v>50</v>
      </c>
      <c r="AD242" s="20"/>
      <c r="AE242" s="20"/>
      <c r="AF242" s="20"/>
      <c r="AG242" s="20">
        <v>25</v>
      </c>
      <c r="AH242" s="20"/>
      <c r="AI242" s="20"/>
      <c r="AJ242" s="20"/>
      <c r="AK242" s="20"/>
      <c r="AL242" s="20"/>
      <c r="AM242" s="20"/>
      <c r="AN242" s="20"/>
      <c r="AO242" s="20"/>
      <c r="AP242" s="21">
        <v>25</v>
      </c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7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>
        <v>1093.8997132804279</v>
      </c>
      <c r="BN242" s="36"/>
      <c r="BO242" s="36"/>
      <c r="BP242" s="37">
        <v>1093.8997132804279</v>
      </c>
      <c r="BQ242" s="36"/>
      <c r="BR242" s="36"/>
      <c r="BS242" s="36"/>
      <c r="BT242" s="36">
        <v>1235.1897839370235</v>
      </c>
      <c r="BU242" s="36"/>
      <c r="BV242" s="36"/>
      <c r="BW242" s="36"/>
      <c r="BX242" s="36"/>
      <c r="BY242" s="36"/>
      <c r="BZ242" s="36"/>
      <c r="CA242" s="36"/>
      <c r="CB242" s="36"/>
      <c r="CC242" s="37">
        <v>1235.1897839370235</v>
      </c>
    </row>
    <row r="243" spans="2:81" ht="14.5" x14ac:dyDescent="0.35">
      <c r="B243" s="15" t="s">
        <v>205</v>
      </c>
      <c r="C243" s="1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8"/>
      <c r="Q243" s="17"/>
      <c r="R243" s="17"/>
      <c r="S243" s="17"/>
      <c r="T243" s="17"/>
      <c r="U243" s="17"/>
      <c r="V243" s="17"/>
      <c r="W243" s="17"/>
      <c r="X243" s="17"/>
      <c r="Y243" s="17"/>
      <c r="Z243" s="17">
        <v>50</v>
      </c>
      <c r="AA243" s="17"/>
      <c r="AB243" s="17"/>
      <c r="AC243" s="18">
        <v>50</v>
      </c>
      <c r="AD243" s="17"/>
      <c r="AE243" s="17"/>
      <c r="AF243" s="17"/>
      <c r="AG243" s="17">
        <v>25</v>
      </c>
      <c r="AH243" s="17"/>
      <c r="AI243" s="17"/>
      <c r="AJ243" s="17"/>
      <c r="AK243" s="17"/>
      <c r="AL243" s="17"/>
      <c r="AM243" s="17"/>
      <c r="AN243" s="17"/>
      <c r="AO243" s="17"/>
      <c r="AP243" s="18">
        <v>25</v>
      </c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9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>
        <v>1093.8997132804279</v>
      </c>
      <c r="BN243" s="17"/>
      <c r="BO243" s="17"/>
      <c r="BP243" s="19">
        <v>1093.8997132804279</v>
      </c>
      <c r="BQ243" s="17"/>
      <c r="BR243" s="17"/>
      <c r="BS243" s="17"/>
      <c r="BT243" s="17">
        <v>1235.1897839370235</v>
      </c>
      <c r="BU243" s="17"/>
      <c r="BV243" s="17"/>
      <c r="BW243" s="17"/>
      <c r="BX243" s="17"/>
      <c r="BY243" s="17"/>
      <c r="BZ243" s="17"/>
      <c r="CA243" s="17"/>
      <c r="CB243" s="17"/>
      <c r="CC243" s="19">
        <v>1235.1897839370235</v>
      </c>
    </row>
    <row r="244" spans="2:81" s="22" customFormat="1" ht="14.5" outlineLevel="1" x14ac:dyDescent="0.35">
      <c r="B244" s="25" t="s">
        <v>206</v>
      </c>
      <c r="C244" s="23" t="s">
        <v>58</v>
      </c>
      <c r="D244" s="20">
        <v>11150</v>
      </c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1">
        <v>11150</v>
      </c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1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1"/>
      <c r="AQ244" s="36">
        <v>278.97356875669595</v>
      </c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7">
        <v>278.97356875669595</v>
      </c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7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7"/>
    </row>
    <row r="245" spans="2:81" ht="14.5" x14ac:dyDescent="0.35">
      <c r="B245" s="15" t="s">
        <v>207</v>
      </c>
      <c r="C245" s="16"/>
      <c r="D245" s="17">
        <v>11150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8">
        <v>11150</v>
      </c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8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8"/>
      <c r="AQ245" s="17">
        <v>278.97356875669595</v>
      </c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9">
        <v>278.97356875669595</v>
      </c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9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9"/>
    </row>
    <row r="246" spans="2:81" s="22" customFormat="1" ht="14.5" outlineLevel="1" x14ac:dyDescent="0.35">
      <c r="B246" s="25" t="s">
        <v>208</v>
      </c>
      <c r="C246" s="23" t="s">
        <v>209</v>
      </c>
      <c r="D246" s="20"/>
      <c r="E246" s="20"/>
      <c r="F246" s="20"/>
      <c r="G246" s="20"/>
      <c r="H246" s="20"/>
      <c r="I246" s="20"/>
      <c r="J246" s="20">
        <v>2250</v>
      </c>
      <c r="K246" s="20"/>
      <c r="L246" s="20"/>
      <c r="M246" s="20"/>
      <c r="N246" s="20"/>
      <c r="O246" s="20"/>
      <c r="P246" s="21">
        <v>2250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1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1"/>
      <c r="AQ246" s="36"/>
      <c r="AR246" s="36"/>
      <c r="AS246" s="36"/>
      <c r="AT246" s="36"/>
      <c r="AU246" s="36"/>
      <c r="AV246" s="36"/>
      <c r="AW246" s="36">
        <v>878.0300670095919</v>
      </c>
      <c r="AX246" s="36"/>
      <c r="AY246" s="36"/>
      <c r="AZ246" s="36"/>
      <c r="BA246" s="36"/>
      <c r="BB246" s="36"/>
      <c r="BC246" s="37">
        <v>878.0300670095919</v>
      </c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7"/>
    </row>
    <row r="247" spans="2:81" s="22" customFormat="1" ht="14.5" outlineLevel="1" x14ac:dyDescent="0.35">
      <c r="B247" s="25" t="s">
        <v>208</v>
      </c>
      <c r="C247" s="23" t="s">
        <v>58</v>
      </c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1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>
        <v>500</v>
      </c>
      <c r="AC247" s="21">
        <v>500</v>
      </c>
      <c r="AD247" s="20">
        <v>1000</v>
      </c>
      <c r="AE247" s="20"/>
      <c r="AF247" s="20">
        <v>1000</v>
      </c>
      <c r="AG247" s="20"/>
      <c r="AH247" s="20"/>
      <c r="AI247" s="20"/>
      <c r="AJ247" s="20"/>
      <c r="AK247" s="20"/>
      <c r="AL247" s="20"/>
      <c r="AM247" s="20"/>
      <c r="AN247" s="20"/>
      <c r="AO247" s="20"/>
      <c r="AP247" s="21">
        <v>2000</v>
      </c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7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>
        <v>1186.044489712627</v>
      </c>
      <c r="BP247" s="37">
        <v>1186.044489712627</v>
      </c>
      <c r="BQ247" s="36">
        <v>1334.1871991571713</v>
      </c>
      <c r="BR247" s="36"/>
      <c r="BS247" s="36">
        <v>1335.410959953306</v>
      </c>
      <c r="BT247" s="36"/>
      <c r="BU247" s="36"/>
      <c r="BV247" s="36"/>
      <c r="BW247" s="36"/>
      <c r="BX247" s="36"/>
      <c r="BY247" s="36"/>
      <c r="BZ247" s="36"/>
      <c r="CA247" s="36"/>
      <c r="CB247" s="36"/>
      <c r="CC247" s="37">
        <v>1334.7990795552387</v>
      </c>
    </row>
    <row r="248" spans="2:81" s="22" customFormat="1" ht="14.5" outlineLevel="1" x14ac:dyDescent="0.35">
      <c r="B248" s="25" t="s">
        <v>208</v>
      </c>
      <c r="C248" s="23" t="s">
        <v>49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1"/>
      <c r="Q248" s="20"/>
      <c r="R248" s="20">
        <v>750</v>
      </c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1">
        <v>750</v>
      </c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1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7"/>
      <c r="BD248" s="36"/>
      <c r="BE248" s="36">
        <v>685.88109373376301</v>
      </c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7">
        <v>685.88109373376301</v>
      </c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7"/>
    </row>
    <row r="249" spans="2:81" s="22" customFormat="1" ht="14.5" outlineLevel="1" x14ac:dyDescent="0.35">
      <c r="B249" s="25" t="s">
        <v>208</v>
      </c>
      <c r="C249" s="23" t="s">
        <v>147</v>
      </c>
      <c r="D249" s="20"/>
      <c r="E249" s="20"/>
      <c r="F249" s="20"/>
      <c r="G249" s="20"/>
      <c r="H249" s="20"/>
      <c r="I249" s="20"/>
      <c r="J249" s="20"/>
      <c r="K249" s="20"/>
      <c r="L249" s="20"/>
      <c r="M249" s="20">
        <v>24750</v>
      </c>
      <c r="N249" s="20">
        <v>4500</v>
      </c>
      <c r="O249" s="20">
        <v>5250</v>
      </c>
      <c r="P249" s="21">
        <v>34500</v>
      </c>
      <c r="Q249" s="20"/>
      <c r="R249" s="20"/>
      <c r="S249" s="20"/>
      <c r="T249" s="20"/>
      <c r="U249" s="20">
        <v>5250</v>
      </c>
      <c r="V249" s="20">
        <v>4500</v>
      </c>
      <c r="W249" s="20"/>
      <c r="X249" s="20"/>
      <c r="Y249" s="20">
        <v>10500</v>
      </c>
      <c r="Z249" s="20">
        <v>14250</v>
      </c>
      <c r="AA249" s="20"/>
      <c r="AB249" s="20">
        <v>10500</v>
      </c>
      <c r="AC249" s="21">
        <v>45000</v>
      </c>
      <c r="AD249" s="20"/>
      <c r="AE249" s="20">
        <v>5250</v>
      </c>
      <c r="AF249" s="20">
        <v>14250</v>
      </c>
      <c r="AG249" s="20"/>
      <c r="AH249" s="20"/>
      <c r="AI249" s="20"/>
      <c r="AJ249" s="20"/>
      <c r="AK249" s="20"/>
      <c r="AL249" s="20"/>
      <c r="AM249" s="20"/>
      <c r="AN249" s="20"/>
      <c r="AO249" s="20"/>
      <c r="AP249" s="21">
        <v>19500</v>
      </c>
      <c r="AQ249" s="36"/>
      <c r="AR249" s="36"/>
      <c r="AS249" s="36"/>
      <c r="AT249" s="36"/>
      <c r="AU249" s="36"/>
      <c r="AV249" s="36"/>
      <c r="AW249" s="36"/>
      <c r="AX249" s="36"/>
      <c r="AY249" s="36"/>
      <c r="AZ249" s="36">
        <v>824.15928715758912</v>
      </c>
      <c r="BA249" s="36">
        <v>814.2244056758426</v>
      </c>
      <c r="BB249" s="36">
        <v>813.08614511289818</v>
      </c>
      <c r="BC249" s="37">
        <v>821.17838969664751</v>
      </c>
      <c r="BD249" s="36"/>
      <c r="BE249" s="36"/>
      <c r="BF249" s="36"/>
      <c r="BG249" s="36"/>
      <c r="BH249" s="36">
        <v>637.80983723940199</v>
      </c>
      <c r="BI249" s="36">
        <v>639.22916746037845</v>
      </c>
      <c r="BJ249" s="36"/>
      <c r="BK249" s="36"/>
      <c r="BL249" s="36">
        <v>609.83931264164653</v>
      </c>
      <c r="BM249" s="36">
        <v>611.05115627281782</v>
      </c>
      <c r="BN249" s="36"/>
      <c r="BO249" s="36">
        <v>616.06451836917722</v>
      </c>
      <c r="BP249" s="37">
        <v>617.8778244795526</v>
      </c>
      <c r="BQ249" s="36"/>
      <c r="BR249" s="36">
        <v>615.66936663509352</v>
      </c>
      <c r="BS249" s="36">
        <v>610.35446354019041</v>
      </c>
      <c r="BT249" s="36"/>
      <c r="BU249" s="36"/>
      <c r="BV249" s="36"/>
      <c r="BW249" s="36"/>
      <c r="BX249" s="36"/>
      <c r="BY249" s="36"/>
      <c r="BZ249" s="36"/>
      <c r="CA249" s="36"/>
      <c r="CB249" s="36"/>
      <c r="CC249" s="37">
        <v>611.78539898881809</v>
      </c>
    </row>
    <row r="250" spans="2:81" s="22" customFormat="1" ht="14.5" outlineLevel="1" x14ac:dyDescent="0.35">
      <c r="B250" s="25" t="s">
        <v>208</v>
      </c>
      <c r="C250" s="23" t="s">
        <v>141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1"/>
      <c r="Q250" s="20"/>
      <c r="R250" s="20"/>
      <c r="S250" s="20">
        <v>50</v>
      </c>
      <c r="T250" s="20">
        <v>6000</v>
      </c>
      <c r="U250" s="20">
        <v>15000</v>
      </c>
      <c r="V250" s="20">
        <v>6000</v>
      </c>
      <c r="W250" s="20">
        <v>7500</v>
      </c>
      <c r="X250" s="20">
        <v>5250</v>
      </c>
      <c r="Y250" s="20"/>
      <c r="Z250" s="20"/>
      <c r="AA250" s="20"/>
      <c r="AB250" s="20"/>
      <c r="AC250" s="21">
        <v>39800</v>
      </c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1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7"/>
      <c r="BD250" s="36"/>
      <c r="BE250" s="36"/>
      <c r="BF250" s="36">
        <v>675.0778225345515</v>
      </c>
      <c r="BG250" s="36">
        <v>622.45208854211114</v>
      </c>
      <c r="BH250" s="36">
        <v>616.97736706798912</v>
      </c>
      <c r="BI250" s="36">
        <v>613.73796167740011</v>
      </c>
      <c r="BJ250" s="36">
        <v>653.6793114031102</v>
      </c>
      <c r="BK250" s="36">
        <v>608.75683616335925</v>
      </c>
      <c r="BL250" s="36"/>
      <c r="BM250" s="36"/>
      <c r="BN250" s="36"/>
      <c r="BO250" s="36"/>
      <c r="BP250" s="37">
        <v>623.21916894081892</v>
      </c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7"/>
    </row>
    <row r="251" spans="2:81" s="22" customFormat="1" ht="14.5" outlineLevel="1" x14ac:dyDescent="0.35">
      <c r="B251" s="25" t="s">
        <v>208</v>
      </c>
      <c r="C251" s="23" t="s">
        <v>25</v>
      </c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1"/>
      <c r="Q251" s="20"/>
      <c r="R251" s="20"/>
      <c r="S251" s="20"/>
      <c r="T251" s="20">
        <v>25</v>
      </c>
      <c r="U251" s="20"/>
      <c r="V251" s="20"/>
      <c r="W251" s="20"/>
      <c r="X251" s="20"/>
      <c r="Y251" s="20"/>
      <c r="Z251" s="20"/>
      <c r="AA251" s="20"/>
      <c r="AB251" s="20"/>
      <c r="AC251" s="21">
        <v>25</v>
      </c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1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7"/>
      <c r="BD251" s="36"/>
      <c r="BE251" s="36"/>
      <c r="BF251" s="36"/>
      <c r="BG251" s="36">
        <v>584.31430757246051</v>
      </c>
      <c r="BH251" s="36"/>
      <c r="BI251" s="36"/>
      <c r="BJ251" s="36"/>
      <c r="BK251" s="36"/>
      <c r="BL251" s="36"/>
      <c r="BM251" s="36"/>
      <c r="BN251" s="36"/>
      <c r="BO251" s="36"/>
      <c r="BP251" s="37">
        <v>584.31430757246051</v>
      </c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7"/>
    </row>
    <row r="252" spans="2:81" s="22" customFormat="1" ht="14.5" outlineLevel="1" x14ac:dyDescent="0.35">
      <c r="B252" s="25" t="s">
        <v>208</v>
      </c>
      <c r="C252" s="23" t="s">
        <v>210</v>
      </c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1"/>
      <c r="Q252" s="20">
        <v>6000</v>
      </c>
      <c r="R252" s="20">
        <v>9750</v>
      </c>
      <c r="S252" s="20">
        <v>14250</v>
      </c>
      <c r="T252" s="20">
        <v>23250</v>
      </c>
      <c r="U252" s="20">
        <v>14250</v>
      </c>
      <c r="V252" s="20">
        <v>12000</v>
      </c>
      <c r="W252" s="20">
        <v>9000</v>
      </c>
      <c r="X252" s="20">
        <v>23250</v>
      </c>
      <c r="Y252" s="20">
        <v>12750</v>
      </c>
      <c r="Z252" s="20">
        <v>10500</v>
      </c>
      <c r="AA252" s="20">
        <v>10500</v>
      </c>
      <c r="AB252" s="20"/>
      <c r="AC252" s="21">
        <v>145500</v>
      </c>
      <c r="AD252" s="20">
        <v>18750</v>
      </c>
      <c r="AE252" s="20">
        <v>14250</v>
      </c>
      <c r="AF252" s="20">
        <v>40500</v>
      </c>
      <c r="AG252" s="20"/>
      <c r="AH252" s="20"/>
      <c r="AI252" s="20"/>
      <c r="AJ252" s="20"/>
      <c r="AK252" s="20"/>
      <c r="AL252" s="20"/>
      <c r="AM252" s="20"/>
      <c r="AN252" s="20"/>
      <c r="AO252" s="20"/>
      <c r="AP252" s="21">
        <v>73500</v>
      </c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7"/>
      <c r="BD252" s="36">
        <v>623.34138536632963</v>
      </c>
      <c r="BE252" s="36">
        <v>613.6304835799931</v>
      </c>
      <c r="BF252" s="36">
        <v>612.58431682396713</v>
      </c>
      <c r="BG252" s="36">
        <v>599.06555761964296</v>
      </c>
      <c r="BH252" s="36">
        <v>595.46434818063449</v>
      </c>
      <c r="BI252" s="36">
        <v>598.73158244188244</v>
      </c>
      <c r="BJ252" s="36">
        <v>596.53086102194356</v>
      </c>
      <c r="BK252" s="36">
        <v>585.15727647049414</v>
      </c>
      <c r="BL252" s="36">
        <v>581.15045540433459</v>
      </c>
      <c r="BM252" s="36">
        <v>584.16265242580585</v>
      </c>
      <c r="BN252" s="36">
        <v>583.79883336923319</v>
      </c>
      <c r="BO252" s="36"/>
      <c r="BP252" s="37">
        <v>595.86007245200983</v>
      </c>
      <c r="BQ252" s="36">
        <v>590.82163348394386</v>
      </c>
      <c r="BR252" s="36">
        <v>596.2831486792337</v>
      </c>
      <c r="BS252" s="36">
        <v>602.5246604254063</v>
      </c>
      <c r="BT252" s="36"/>
      <c r="BU252" s="36"/>
      <c r="BV252" s="36"/>
      <c r="BW252" s="36"/>
      <c r="BX252" s="36"/>
      <c r="BY252" s="36"/>
      <c r="BZ252" s="36"/>
      <c r="CA252" s="36"/>
      <c r="CB252" s="36"/>
      <c r="CC252" s="37">
        <v>598.32910535689768</v>
      </c>
    </row>
    <row r="253" spans="2:81" s="22" customFormat="1" ht="14.5" outlineLevel="1" x14ac:dyDescent="0.35">
      <c r="B253" s="25" t="s">
        <v>208</v>
      </c>
      <c r="C253" s="23" t="s">
        <v>211</v>
      </c>
      <c r="D253" s="20"/>
      <c r="E253" s="20"/>
      <c r="F253" s="20">
        <v>6000</v>
      </c>
      <c r="G253" s="20">
        <v>13750</v>
      </c>
      <c r="H253" s="20"/>
      <c r="I253" s="20"/>
      <c r="J253" s="20"/>
      <c r="K253" s="20"/>
      <c r="L253" s="20"/>
      <c r="M253" s="20"/>
      <c r="N253" s="20"/>
      <c r="O253" s="20"/>
      <c r="P253" s="21">
        <v>19750</v>
      </c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1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1"/>
      <c r="AQ253" s="36"/>
      <c r="AR253" s="36"/>
      <c r="AS253" s="36">
        <v>888.01464220904495</v>
      </c>
      <c r="AT253" s="36">
        <v>894.12530867002476</v>
      </c>
      <c r="AU253" s="36"/>
      <c r="AV253" s="36"/>
      <c r="AW253" s="36"/>
      <c r="AX253" s="36"/>
      <c r="AY253" s="36"/>
      <c r="AZ253" s="36"/>
      <c r="BA253" s="36"/>
      <c r="BB253" s="36"/>
      <c r="BC253" s="37">
        <v>892.26890366922078</v>
      </c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7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7"/>
    </row>
    <row r="254" spans="2:81" ht="14.5" x14ac:dyDescent="0.35">
      <c r="B254" s="15" t="s">
        <v>212</v>
      </c>
      <c r="C254" s="16"/>
      <c r="D254" s="17"/>
      <c r="E254" s="17"/>
      <c r="F254" s="17">
        <v>6000</v>
      </c>
      <c r="G254" s="17">
        <v>13750</v>
      </c>
      <c r="H254" s="17"/>
      <c r="I254" s="17"/>
      <c r="J254" s="17">
        <v>2250</v>
      </c>
      <c r="K254" s="17"/>
      <c r="L254" s="17"/>
      <c r="M254" s="17">
        <v>24750</v>
      </c>
      <c r="N254" s="17">
        <v>4500</v>
      </c>
      <c r="O254" s="17">
        <v>5250</v>
      </c>
      <c r="P254" s="18">
        <v>56500</v>
      </c>
      <c r="Q254" s="17">
        <v>6000</v>
      </c>
      <c r="R254" s="17">
        <v>10500</v>
      </c>
      <c r="S254" s="17">
        <v>14300</v>
      </c>
      <c r="T254" s="17">
        <v>29275</v>
      </c>
      <c r="U254" s="17">
        <v>34500</v>
      </c>
      <c r="V254" s="17">
        <v>22500</v>
      </c>
      <c r="W254" s="17">
        <v>16500</v>
      </c>
      <c r="X254" s="17">
        <v>28500</v>
      </c>
      <c r="Y254" s="17">
        <v>23250</v>
      </c>
      <c r="Z254" s="17">
        <v>24750</v>
      </c>
      <c r="AA254" s="17">
        <v>10500</v>
      </c>
      <c r="AB254" s="17">
        <v>11000</v>
      </c>
      <c r="AC254" s="18">
        <v>231575</v>
      </c>
      <c r="AD254" s="17">
        <v>19750</v>
      </c>
      <c r="AE254" s="17">
        <v>19500</v>
      </c>
      <c r="AF254" s="17">
        <v>55750</v>
      </c>
      <c r="AG254" s="17"/>
      <c r="AH254" s="17"/>
      <c r="AI254" s="17"/>
      <c r="AJ254" s="17"/>
      <c r="AK254" s="17"/>
      <c r="AL254" s="17"/>
      <c r="AM254" s="17"/>
      <c r="AN254" s="17"/>
      <c r="AO254" s="17"/>
      <c r="AP254" s="18">
        <v>95000</v>
      </c>
      <c r="AQ254" s="17"/>
      <c r="AR254" s="17"/>
      <c r="AS254" s="17">
        <v>888.01464220904495</v>
      </c>
      <c r="AT254" s="17">
        <v>894.12530867002476</v>
      </c>
      <c r="AU254" s="17"/>
      <c r="AV254" s="17"/>
      <c r="AW254" s="17">
        <v>878.0300670095919</v>
      </c>
      <c r="AX254" s="17"/>
      <c r="AY254" s="17"/>
      <c r="AZ254" s="17">
        <v>824.15928715758912</v>
      </c>
      <c r="BA254" s="17">
        <v>814.2244056758426</v>
      </c>
      <c r="BB254" s="17">
        <v>813.08614511289818</v>
      </c>
      <c r="BC254" s="19">
        <v>848.29261845615974</v>
      </c>
      <c r="BD254" s="17">
        <v>623.34138536632963</v>
      </c>
      <c r="BE254" s="17">
        <v>618.79124144811942</v>
      </c>
      <c r="BF254" s="17">
        <v>612.80282558519298</v>
      </c>
      <c r="BG254" s="17">
        <v>603.84610089150044</v>
      </c>
      <c r="BH254" s="17">
        <v>611.26171342320993</v>
      </c>
      <c r="BI254" s="17">
        <v>610.83280057505306</v>
      </c>
      <c r="BJ254" s="17">
        <v>622.50742937701932</v>
      </c>
      <c r="BK254" s="17">
        <v>589.50456378233775</v>
      </c>
      <c r="BL254" s="17">
        <v>594.10671351150768</v>
      </c>
      <c r="BM254" s="17">
        <v>599.64391221650965</v>
      </c>
      <c r="BN254" s="17">
        <v>583.79883336923319</v>
      </c>
      <c r="BO254" s="17">
        <v>641.97269888478854</v>
      </c>
      <c r="BP254" s="19">
        <v>606.40529629725961</v>
      </c>
      <c r="BQ254" s="17">
        <v>628.46039630284145</v>
      </c>
      <c r="BR254" s="17">
        <v>601.50251505196502</v>
      </c>
      <c r="BS254" s="17">
        <v>617.67194282744344</v>
      </c>
      <c r="BT254" s="17"/>
      <c r="BU254" s="17"/>
      <c r="BV254" s="17"/>
      <c r="BW254" s="17"/>
      <c r="BX254" s="17"/>
      <c r="BY254" s="17"/>
      <c r="BZ254" s="17"/>
      <c r="CA254" s="17"/>
      <c r="CB254" s="17"/>
      <c r="CC254" s="19">
        <v>616.59581771709895</v>
      </c>
    </row>
    <row r="255" spans="2:81" s="22" customFormat="1" ht="14.5" outlineLevel="1" x14ac:dyDescent="0.35">
      <c r="B255" s="25" t="s">
        <v>213</v>
      </c>
      <c r="C255" s="23" t="s">
        <v>214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1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>
        <v>25</v>
      </c>
      <c r="AC255" s="21">
        <v>25</v>
      </c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7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>
        <v>602.23360199641706</v>
      </c>
      <c r="BP255" s="37">
        <v>602.23360199641706</v>
      </c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7"/>
    </row>
    <row r="256" spans="2:81" s="22" customFormat="1" ht="14.5" outlineLevel="1" x14ac:dyDescent="0.35">
      <c r="B256" s="25" t="s">
        <v>213</v>
      </c>
      <c r="C256" s="23" t="s">
        <v>57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1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>
        <v>750</v>
      </c>
      <c r="AC256" s="21">
        <v>750</v>
      </c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1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7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>
        <v>611.83001391538403</v>
      </c>
      <c r="BP256" s="37">
        <v>611.83001391538403</v>
      </c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7"/>
    </row>
    <row r="257" spans="2:81" s="22" customFormat="1" ht="14.5" outlineLevel="1" x14ac:dyDescent="0.35">
      <c r="B257" s="25" t="s">
        <v>213</v>
      </c>
      <c r="C257" s="23" t="s">
        <v>58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1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>
        <v>500</v>
      </c>
      <c r="AC257" s="21">
        <v>500</v>
      </c>
      <c r="AD257" s="20">
        <v>1000</v>
      </c>
      <c r="AE257" s="20"/>
      <c r="AF257" s="20">
        <v>1000</v>
      </c>
      <c r="AG257" s="20"/>
      <c r="AH257" s="20"/>
      <c r="AI257" s="20"/>
      <c r="AJ257" s="20"/>
      <c r="AK257" s="20"/>
      <c r="AL257" s="20"/>
      <c r="AM257" s="20"/>
      <c r="AN257" s="20"/>
      <c r="AO257" s="20"/>
      <c r="AP257" s="21">
        <v>2000</v>
      </c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7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>
        <v>1071.2659907081793</v>
      </c>
      <c r="BP257" s="37">
        <v>1071.2659907081793</v>
      </c>
      <c r="BQ257" s="36">
        <v>1067.3497593257371</v>
      </c>
      <c r="BR257" s="36"/>
      <c r="BS257" s="36">
        <v>1068.3287679626449</v>
      </c>
      <c r="BT257" s="36"/>
      <c r="BU257" s="36"/>
      <c r="BV257" s="36"/>
      <c r="BW257" s="36"/>
      <c r="BX257" s="36"/>
      <c r="BY257" s="36"/>
      <c r="BZ257" s="36"/>
      <c r="CA257" s="36"/>
      <c r="CB257" s="36"/>
      <c r="CC257" s="37">
        <v>1067.8392636441909</v>
      </c>
    </row>
    <row r="258" spans="2:81" s="22" customFormat="1" ht="14.5" outlineLevel="1" x14ac:dyDescent="0.35">
      <c r="B258" s="25" t="s">
        <v>213</v>
      </c>
      <c r="C258" s="23" t="s">
        <v>49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1"/>
      <c r="Q258" s="20"/>
      <c r="R258" s="20">
        <v>750</v>
      </c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1">
        <v>750</v>
      </c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1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7"/>
      <c r="BD258" s="36"/>
      <c r="BE258" s="36">
        <v>685.88109373376301</v>
      </c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7">
        <v>685.88109373376301</v>
      </c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7"/>
    </row>
    <row r="259" spans="2:81" s="22" customFormat="1" ht="14.5" outlineLevel="1" x14ac:dyDescent="0.35">
      <c r="B259" s="25" t="s">
        <v>213</v>
      </c>
      <c r="C259" s="23" t="s">
        <v>141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1"/>
      <c r="Q259" s="20"/>
      <c r="R259" s="20"/>
      <c r="S259" s="20">
        <v>50</v>
      </c>
      <c r="T259" s="20"/>
      <c r="U259" s="20"/>
      <c r="V259" s="20"/>
      <c r="W259" s="20"/>
      <c r="X259" s="20"/>
      <c r="Y259" s="20"/>
      <c r="Z259" s="20"/>
      <c r="AA259" s="20"/>
      <c r="AB259" s="20"/>
      <c r="AC259" s="21">
        <v>50</v>
      </c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1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7"/>
      <c r="BD259" s="36"/>
      <c r="BE259" s="36"/>
      <c r="BF259" s="36">
        <v>675.0778225345515</v>
      </c>
      <c r="BG259" s="36"/>
      <c r="BH259" s="36"/>
      <c r="BI259" s="36"/>
      <c r="BJ259" s="36"/>
      <c r="BK259" s="36"/>
      <c r="BL259" s="36"/>
      <c r="BM259" s="36"/>
      <c r="BN259" s="36"/>
      <c r="BO259" s="36"/>
      <c r="BP259" s="37">
        <v>675.0778225345515</v>
      </c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7"/>
    </row>
    <row r="260" spans="2:81" s="22" customFormat="1" ht="14.5" outlineLevel="1" x14ac:dyDescent="0.35">
      <c r="B260" s="25" t="s">
        <v>213</v>
      </c>
      <c r="C260" s="23" t="s">
        <v>215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1"/>
      <c r="Q260" s="20"/>
      <c r="R260" s="20"/>
      <c r="S260" s="20"/>
      <c r="T260" s="20"/>
      <c r="U260" s="20"/>
      <c r="V260" s="20"/>
      <c r="W260" s="20"/>
      <c r="X260" s="20">
        <v>3000</v>
      </c>
      <c r="Y260" s="20">
        <v>6000</v>
      </c>
      <c r="Z260" s="20"/>
      <c r="AA260" s="20"/>
      <c r="AB260" s="20"/>
      <c r="AC260" s="21">
        <v>9000</v>
      </c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1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7"/>
      <c r="BD260" s="36"/>
      <c r="BE260" s="36"/>
      <c r="BF260" s="36"/>
      <c r="BG260" s="36"/>
      <c r="BH260" s="36"/>
      <c r="BI260" s="36"/>
      <c r="BJ260" s="36"/>
      <c r="BK260" s="36">
        <v>565.53060156647075</v>
      </c>
      <c r="BL260" s="36">
        <v>563.9148111366685</v>
      </c>
      <c r="BM260" s="36"/>
      <c r="BN260" s="36"/>
      <c r="BO260" s="36"/>
      <c r="BP260" s="37">
        <v>564.45340794660262</v>
      </c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7"/>
    </row>
    <row r="261" spans="2:81" s="22" customFormat="1" ht="14.5" outlineLevel="1" x14ac:dyDescent="0.35">
      <c r="B261" s="25" t="s">
        <v>213</v>
      </c>
      <c r="C261" s="23" t="s">
        <v>216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1"/>
      <c r="Q261" s="20"/>
      <c r="R261" s="20">
        <v>750</v>
      </c>
      <c r="S261" s="20"/>
      <c r="T261" s="20"/>
      <c r="U261" s="20"/>
      <c r="V261" s="20"/>
      <c r="W261" s="20"/>
      <c r="X261" s="20"/>
      <c r="Y261" s="20">
        <v>190500</v>
      </c>
      <c r="Z261" s="20"/>
      <c r="AA261" s="20"/>
      <c r="AB261" s="20"/>
      <c r="AC261" s="21">
        <v>191250</v>
      </c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1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7"/>
      <c r="BD261" s="36"/>
      <c r="BE261" s="36">
        <v>584.31989249325477</v>
      </c>
      <c r="BF261" s="36"/>
      <c r="BG261" s="36"/>
      <c r="BH261" s="36"/>
      <c r="BI261" s="36"/>
      <c r="BJ261" s="36"/>
      <c r="BK261" s="36"/>
      <c r="BL261" s="36">
        <v>557.0288718188059</v>
      </c>
      <c r="BM261" s="36"/>
      <c r="BN261" s="36"/>
      <c r="BO261" s="36"/>
      <c r="BP261" s="37">
        <v>557.13589542929401</v>
      </c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7"/>
    </row>
    <row r="262" spans="2:81" s="22" customFormat="1" ht="14.5" outlineLevel="1" x14ac:dyDescent="0.35">
      <c r="B262" s="25" t="s">
        <v>213</v>
      </c>
      <c r="C262" s="23" t="s">
        <v>25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1"/>
      <c r="Q262" s="20"/>
      <c r="R262" s="20"/>
      <c r="S262" s="20"/>
      <c r="T262" s="20">
        <v>25</v>
      </c>
      <c r="U262" s="20"/>
      <c r="V262" s="20"/>
      <c r="W262" s="20"/>
      <c r="X262" s="20"/>
      <c r="Y262" s="20"/>
      <c r="Z262" s="20"/>
      <c r="AA262" s="20"/>
      <c r="AB262" s="20"/>
      <c r="AC262" s="21">
        <v>25</v>
      </c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1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7"/>
      <c r="BD262" s="36"/>
      <c r="BE262" s="36"/>
      <c r="BF262" s="36"/>
      <c r="BG262" s="36">
        <v>584.31430757246051</v>
      </c>
      <c r="BH262" s="36"/>
      <c r="BI262" s="36"/>
      <c r="BJ262" s="36"/>
      <c r="BK262" s="36"/>
      <c r="BL262" s="36"/>
      <c r="BM262" s="36"/>
      <c r="BN262" s="36"/>
      <c r="BO262" s="36"/>
      <c r="BP262" s="37">
        <v>584.31430757246051</v>
      </c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7"/>
    </row>
    <row r="263" spans="2:81" s="22" customFormat="1" ht="14.5" outlineLevel="1" x14ac:dyDescent="0.35">
      <c r="B263" s="25" t="s">
        <v>213</v>
      </c>
      <c r="C263" s="23" t="s">
        <v>210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1"/>
      <c r="Q263" s="20"/>
      <c r="R263" s="20"/>
      <c r="S263" s="20"/>
      <c r="T263" s="20">
        <v>4500</v>
      </c>
      <c r="U263" s="20"/>
      <c r="V263" s="20"/>
      <c r="W263" s="20">
        <v>750</v>
      </c>
      <c r="X263" s="20">
        <v>3775</v>
      </c>
      <c r="Y263" s="20">
        <v>21000</v>
      </c>
      <c r="Z263" s="20">
        <v>6000</v>
      </c>
      <c r="AA263" s="20"/>
      <c r="AB263" s="20">
        <v>3750</v>
      </c>
      <c r="AC263" s="21">
        <v>39775</v>
      </c>
      <c r="AD263" s="20">
        <v>3000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>
        <v>3000</v>
      </c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7"/>
      <c r="BD263" s="36"/>
      <c r="BE263" s="36"/>
      <c r="BF263" s="36"/>
      <c r="BG263" s="36">
        <v>590.10525751633486</v>
      </c>
      <c r="BH263" s="36"/>
      <c r="BI263" s="36"/>
      <c r="BJ263" s="36">
        <v>579.23895259027324</v>
      </c>
      <c r="BK263" s="36">
        <v>565.58660859111319</v>
      </c>
      <c r="BL263" s="36">
        <v>563.9148111366685</v>
      </c>
      <c r="BM263" s="36">
        <v>565.05766327367667</v>
      </c>
      <c r="BN263" s="36"/>
      <c r="BO263" s="36">
        <v>565.8780797708697</v>
      </c>
      <c r="BP263" s="37">
        <v>567.68302032308043</v>
      </c>
      <c r="BQ263" s="36">
        <v>588.66716868079686</v>
      </c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7">
        <v>588.66716868079686</v>
      </c>
    </row>
    <row r="264" spans="2:81" s="22" customFormat="1" ht="14.5" outlineLevel="1" x14ac:dyDescent="0.35">
      <c r="B264" s="25" t="s">
        <v>213</v>
      </c>
      <c r="C264" s="23" t="s">
        <v>154</v>
      </c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1"/>
      <c r="Q264" s="20"/>
      <c r="R264" s="20"/>
      <c r="S264" s="20"/>
      <c r="T264" s="20"/>
      <c r="U264" s="20"/>
      <c r="V264" s="20"/>
      <c r="W264" s="20"/>
      <c r="X264" s="20"/>
      <c r="Y264" s="20"/>
      <c r="Z264" s="20">
        <v>15750</v>
      </c>
      <c r="AA264" s="20">
        <v>10500</v>
      </c>
      <c r="AB264" s="20">
        <v>21000</v>
      </c>
      <c r="AC264" s="21">
        <v>47250</v>
      </c>
      <c r="AD264" s="20">
        <v>52500</v>
      </c>
      <c r="AE264" s="20">
        <v>24000</v>
      </c>
      <c r="AF264" s="20">
        <v>36000</v>
      </c>
      <c r="AG264" s="20"/>
      <c r="AH264" s="20"/>
      <c r="AI264" s="20"/>
      <c r="AJ264" s="20"/>
      <c r="AK264" s="20"/>
      <c r="AL264" s="20"/>
      <c r="AM264" s="20"/>
      <c r="AN264" s="20"/>
      <c r="AO264" s="20"/>
      <c r="AP264" s="21">
        <v>112500</v>
      </c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7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>
        <v>598.6824441814241</v>
      </c>
      <c r="BN264" s="36">
        <v>598.30915827320041</v>
      </c>
      <c r="BO264" s="36">
        <v>599.6138919081983</v>
      </c>
      <c r="BP264" s="37">
        <v>599.01346852482948</v>
      </c>
      <c r="BQ264" s="36">
        <v>601.0731927599212</v>
      </c>
      <c r="BR264" s="36">
        <v>615.66936846782448</v>
      </c>
      <c r="BS264" s="36">
        <v>605.12049843165767</v>
      </c>
      <c r="BT264" s="36"/>
      <c r="BU264" s="36"/>
      <c r="BV264" s="36"/>
      <c r="BW264" s="36"/>
      <c r="BX264" s="36"/>
      <c r="BY264" s="36"/>
      <c r="BZ264" s="36"/>
      <c r="CA264" s="36"/>
      <c r="CB264" s="36"/>
      <c r="CC264" s="37">
        <v>605.48218139256289</v>
      </c>
    </row>
    <row r="265" spans="2:81" s="22" customFormat="1" ht="14.5" outlineLevel="1" x14ac:dyDescent="0.35">
      <c r="B265" s="25" t="s">
        <v>213</v>
      </c>
      <c r="C265" s="23" t="s">
        <v>217</v>
      </c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1"/>
      <c r="Q265" s="20"/>
      <c r="R265" s="20"/>
      <c r="S265" s="20"/>
      <c r="T265" s="20"/>
      <c r="U265" s="20"/>
      <c r="V265" s="20"/>
      <c r="W265" s="20"/>
      <c r="X265" s="20"/>
      <c r="Y265" s="20"/>
      <c r="Z265" s="20">
        <v>182250</v>
      </c>
      <c r="AA265" s="20">
        <v>63000</v>
      </c>
      <c r="AB265" s="20"/>
      <c r="AC265" s="21">
        <v>245250</v>
      </c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1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7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>
        <v>557.86568324217444</v>
      </c>
      <c r="BN265" s="36">
        <v>557.50195683663333</v>
      </c>
      <c r="BO265" s="36"/>
      <c r="BP265" s="37">
        <v>557.77224893616403</v>
      </c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7"/>
    </row>
    <row r="266" spans="2:81" ht="14.5" x14ac:dyDescent="0.35">
      <c r="B266" s="15" t="s">
        <v>218</v>
      </c>
      <c r="C266" s="1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8"/>
      <c r="Q266" s="17"/>
      <c r="R266" s="17">
        <v>1500</v>
      </c>
      <c r="S266" s="17">
        <v>50</v>
      </c>
      <c r="T266" s="17">
        <v>4525</v>
      </c>
      <c r="U266" s="17"/>
      <c r="V266" s="17"/>
      <c r="W266" s="17">
        <v>750</v>
      </c>
      <c r="X266" s="17">
        <v>6775</v>
      </c>
      <c r="Y266" s="17">
        <v>217500</v>
      </c>
      <c r="Z266" s="17">
        <v>204000</v>
      </c>
      <c r="AA266" s="17">
        <v>73500</v>
      </c>
      <c r="AB266" s="17">
        <v>26025</v>
      </c>
      <c r="AC266" s="18">
        <v>534625</v>
      </c>
      <c r="AD266" s="17">
        <v>56500</v>
      </c>
      <c r="AE266" s="17">
        <v>24000</v>
      </c>
      <c r="AF266" s="17">
        <v>37000</v>
      </c>
      <c r="AG266" s="17"/>
      <c r="AH266" s="17"/>
      <c r="AI266" s="17"/>
      <c r="AJ266" s="17"/>
      <c r="AK266" s="17"/>
      <c r="AL266" s="17"/>
      <c r="AM266" s="17"/>
      <c r="AN266" s="17"/>
      <c r="AO266" s="17"/>
      <c r="AP266" s="18">
        <v>117500</v>
      </c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9"/>
      <c r="BD266" s="17"/>
      <c r="BE266" s="17">
        <v>635.10049311350895</v>
      </c>
      <c r="BF266" s="17">
        <v>675.0778225345515</v>
      </c>
      <c r="BG266" s="17">
        <v>590.07326331775005</v>
      </c>
      <c r="BH266" s="17"/>
      <c r="BI266" s="17"/>
      <c r="BJ266" s="17">
        <v>579.23895259027324</v>
      </c>
      <c r="BK266" s="17">
        <v>565.56180843259995</v>
      </c>
      <c r="BL266" s="17">
        <v>557.88367807895429</v>
      </c>
      <c r="BM266" s="17">
        <v>561.22850610973433</v>
      </c>
      <c r="BN266" s="17">
        <v>563.3315570418572</v>
      </c>
      <c r="BO266" s="17">
        <v>604.16890970426368</v>
      </c>
      <c r="BP266" s="19">
        <v>562.78938912335127</v>
      </c>
      <c r="BQ266" s="17">
        <v>608.66714841175212</v>
      </c>
      <c r="BR266" s="17">
        <v>615.66936846782448</v>
      </c>
      <c r="BS266" s="17">
        <v>617.63964085141413</v>
      </c>
      <c r="BT266" s="17"/>
      <c r="BU266" s="17"/>
      <c r="BV266" s="17"/>
      <c r="BW266" s="17"/>
      <c r="BX266" s="17"/>
      <c r="BY266" s="17"/>
      <c r="BZ266" s="17"/>
      <c r="CA266" s="17"/>
      <c r="CB266" s="17"/>
      <c r="CC266" s="19">
        <v>612.92276970207774</v>
      </c>
    </row>
    <row r="267" spans="2:81" s="22" customFormat="1" ht="14.5" outlineLevel="1" x14ac:dyDescent="0.35">
      <c r="B267" s="25" t="s">
        <v>219</v>
      </c>
      <c r="C267" s="23" t="s">
        <v>147</v>
      </c>
      <c r="D267" s="20"/>
      <c r="E267" s="20"/>
      <c r="F267" s="20"/>
      <c r="G267" s="20"/>
      <c r="H267" s="20"/>
      <c r="I267" s="20"/>
      <c r="J267" s="20"/>
      <c r="K267" s="20"/>
      <c r="L267" s="20"/>
      <c r="M267" s="20">
        <v>8250</v>
      </c>
      <c r="N267" s="20">
        <v>5250</v>
      </c>
      <c r="O267" s="20">
        <v>4500</v>
      </c>
      <c r="P267" s="21">
        <v>18000</v>
      </c>
      <c r="Q267" s="20"/>
      <c r="R267" s="20"/>
      <c r="S267" s="20"/>
      <c r="T267" s="20"/>
      <c r="U267" s="20"/>
      <c r="V267" s="20"/>
      <c r="W267" s="20"/>
      <c r="X267" s="20"/>
      <c r="Y267" s="20"/>
      <c r="Z267" s="20">
        <v>8250</v>
      </c>
      <c r="AA267" s="20"/>
      <c r="AB267" s="20"/>
      <c r="AC267" s="21">
        <v>8250</v>
      </c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>
        <v>818.67803326873695</v>
      </c>
      <c r="BA267" s="36">
        <v>814.22440567584272</v>
      </c>
      <c r="BB267" s="36">
        <v>813.08614511289818</v>
      </c>
      <c r="BC267" s="37">
        <v>815.98108651518316</v>
      </c>
      <c r="BD267" s="36"/>
      <c r="BE267" s="36"/>
      <c r="BF267" s="36"/>
      <c r="BG267" s="36"/>
      <c r="BH267" s="36"/>
      <c r="BI267" s="36"/>
      <c r="BJ267" s="36"/>
      <c r="BK267" s="36"/>
      <c r="BL267" s="36"/>
      <c r="BM267" s="36">
        <v>611.05115773540081</v>
      </c>
      <c r="BN267" s="36"/>
      <c r="BO267" s="36"/>
      <c r="BP267" s="37">
        <v>611.05115773540081</v>
      </c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7"/>
    </row>
    <row r="268" spans="2:81" s="22" customFormat="1" ht="14.5" outlineLevel="1" x14ac:dyDescent="0.35">
      <c r="B268" s="25" t="s">
        <v>219</v>
      </c>
      <c r="C268" s="23" t="s">
        <v>141</v>
      </c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1"/>
      <c r="Q268" s="20"/>
      <c r="R268" s="20"/>
      <c r="S268" s="20">
        <v>50</v>
      </c>
      <c r="T268" s="20"/>
      <c r="U268" s="20">
        <v>25500</v>
      </c>
      <c r="V268" s="20"/>
      <c r="W268" s="20"/>
      <c r="X268" s="20">
        <v>5250</v>
      </c>
      <c r="Y268" s="20"/>
      <c r="Z268" s="20"/>
      <c r="AA268" s="20"/>
      <c r="AB268" s="20"/>
      <c r="AC268" s="21">
        <v>30800</v>
      </c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1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7"/>
      <c r="BD268" s="36"/>
      <c r="BE268" s="36"/>
      <c r="BF268" s="36">
        <v>675.0778225345515</v>
      </c>
      <c r="BG268" s="36"/>
      <c r="BH268" s="36">
        <v>618.16054901383416</v>
      </c>
      <c r="BI268" s="36"/>
      <c r="BJ268" s="36"/>
      <c r="BK268" s="36">
        <v>608.75683616335925</v>
      </c>
      <c r="BL268" s="36"/>
      <c r="BM268" s="36"/>
      <c r="BN268" s="36"/>
      <c r="BO268" s="36"/>
      <c r="BP268" s="37">
        <v>616.65004158562124</v>
      </c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7"/>
    </row>
    <row r="269" spans="2:81" s="22" customFormat="1" ht="14.5" outlineLevel="1" x14ac:dyDescent="0.35">
      <c r="B269" s="25" t="s">
        <v>219</v>
      </c>
      <c r="C269" s="23" t="s">
        <v>216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1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>
        <v>4500</v>
      </c>
      <c r="AB269" s="20">
        <v>6750</v>
      </c>
      <c r="AC269" s="21">
        <v>11250</v>
      </c>
      <c r="AD269" s="20"/>
      <c r="AE269" s="20"/>
      <c r="AF269" s="20">
        <v>4500</v>
      </c>
      <c r="AG269" s="20"/>
      <c r="AH269" s="20"/>
      <c r="AI269" s="20"/>
      <c r="AJ269" s="20"/>
      <c r="AK269" s="20"/>
      <c r="AL269" s="20"/>
      <c r="AM269" s="20"/>
      <c r="AN269" s="20"/>
      <c r="AO269" s="20"/>
      <c r="AP269" s="21">
        <v>4500</v>
      </c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7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>
        <v>591.43584647658417</v>
      </c>
      <c r="BO269" s="36">
        <v>592.70123872587078</v>
      </c>
      <c r="BP269" s="37">
        <v>592.19508182615618</v>
      </c>
      <c r="BQ269" s="36"/>
      <c r="BR269" s="36"/>
      <c r="BS269" s="36">
        <v>591.13585286570276</v>
      </c>
      <c r="BT269" s="36"/>
      <c r="BU269" s="36"/>
      <c r="BV269" s="36"/>
      <c r="BW269" s="36"/>
      <c r="BX269" s="36"/>
      <c r="BY269" s="36"/>
      <c r="BZ269" s="36"/>
      <c r="CA269" s="36"/>
      <c r="CB269" s="36"/>
      <c r="CC269" s="37">
        <v>591.13585286570276</v>
      </c>
    </row>
    <row r="270" spans="2:81" s="22" customFormat="1" ht="14.5" outlineLevel="1" x14ac:dyDescent="0.35">
      <c r="B270" s="25" t="s">
        <v>219</v>
      </c>
      <c r="C270" s="23" t="s">
        <v>25</v>
      </c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1"/>
      <c r="Q270" s="20"/>
      <c r="R270" s="20"/>
      <c r="S270" s="20"/>
      <c r="T270" s="20">
        <v>25</v>
      </c>
      <c r="U270" s="20"/>
      <c r="V270" s="20"/>
      <c r="W270" s="20"/>
      <c r="X270" s="20"/>
      <c r="Y270" s="20"/>
      <c r="Z270" s="20"/>
      <c r="AA270" s="20"/>
      <c r="AB270" s="20"/>
      <c r="AC270" s="21">
        <v>25</v>
      </c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1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7"/>
      <c r="BD270" s="36"/>
      <c r="BE270" s="36"/>
      <c r="BF270" s="36"/>
      <c r="BG270" s="36">
        <v>584.31430757246051</v>
      </c>
      <c r="BH270" s="36"/>
      <c r="BI270" s="36"/>
      <c r="BJ270" s="36"/>
      <c r="BK270" s="36"/>
      <c r="BL270" s="36"/>
      <c r="BM270" s="36"/>
      <c r="BN270" s="36"/>
      <c r="BO270" s="36"/>
      <c r="BP270" s="37">
        <v>584.31430757246051</v>
      </c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7"/>
    </row>
    <row r="271" spans="2:81" s="22" customFormat="1" ht="14.5" outlineLevel="1" x14ac:dyDescent="0.35">
      <c r="B271" s="25" t="s">
        <v>219</v>
      </c>
      <c r="C271" s="23" t="s">
        <v>210</v>
      </c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1"/>
      <c r="Q271" s="20">
        <v>1500</v>
      </c>
      <c r="R271" s="20">
        <v>1500</v>
      </c>
      <c r="S271" s="20">
        <v>7500</v>
      </c>
      <c r="T271" s="20">
        <v>9750</v>
      </c>
      <c r="U271" s="20">
        <v>3000</v>
      </c>
      <c r="V271" s="20"/>
      <c r="W271" s="20"/>
      <c r="X271" s="20">
        <v>7500</v>
      </c>
      <c r="Y271" s="20">
        <v>14250</v>
      </c>
      <c r="Z271" s="20">
        <v>3750</v>
      </c>
      <c r="AA271" s="20">
        <v>5250</v>
      </c>
      <c r="AB271" s="20">
        <v>2250</v>
      </c>
      <c r="AC271" s="21">
        <v>56250</v>
      </c>
      <c r="AD271" s="20"/>
      <c r="AE271" s="20">
        <v>6000</v>
      </c>
      <c r="AF271" s="20">
        <v>18000</v>
      </c>
      <c r="AG271" s="20"/>
      <c r="AH271" s="20"/>
      <c r="AI271" s="20"/>
      <c r="AJ271" s="20"/>
      <c r="AK271" s="20"/>
      <c r="AL271" s="20"/>
      <c r="AM271" s="20"/>
      <c r="AN271" s="20"/>
      <c r="AO271" s="20"/>
      <c r="AP271" s="21">
        <v>24000</v>
      </c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7"/>
      <c r="BD271" s="36">
        <v>624.5392377174586</v>
      </c>
      <c r="BE271" s="36">
        <v>613.63048155079821</v>
      </c>
      <c r="BF271" s="36">
        <v>618.01428296161055</v>
      </c>
      <c r="BG271" s="36">
        <v>588.93956446546258</v>
      </c>
      <c r="BH271" s="36">
        <v>573.15734717101623</v>
      </c>
      <c r="BI271" s="36"/>
      <c r="BJ271" s="36"/>
      <c r="BK271" s="36">
        <v>584.18026303009083</v>
      </c>
      <c r="BL271" s="36">
        <v>583.55339212581021</v>
      </c>
      <c r="BM271" s="36">
        <v>586.30241121084441</v>
      </c>
      <c r="BN271" s="36">
        <v>589.52659319974657</v>
      </c>
      <c r="BO271" s="36">
        <v>590.64557591113112</v>
      </c>
      <c r="BP271" s="37">
        <v>591.53037349019803</v>
      </c>
      <c r="BQ271" s="36"/>
      <c r="BR271" s="36">
        <v>594.3587811322509</v>
      </c>
      <c r="BS271" s="36">
        <v>601.52238255422833</v>
      </c>
      <c r="BT271" s="36"/>
      <c r="BU271" s="36"/>
      <c r="BV271" s="36"/>
      <c r="BW271" s="36"/>
      <c r="BX271" s="36"/>
      <c r="BY271" s="36"/>
      <c r="BZ271" s="36"/>
      <c r="CA271" s="36"/>
      <c r="CB271" s="36"/>
      <c r="CC271" s="37">
        <v>599.73148219873394</v>
      </c>
    </row>
    <row r="272" spans="2:81" s="22" customFormat="1" ht="14.5" outlineLevel="1" x14ac:dyDescent="0.35">
      <c r="B272" s="25" t="s">
        <v>219</v>
      </c>
      <c r="C272" s="23" t="s">
        <v>220</v>
      </c>
      <c r="D272" s="20"/>
      <c r="E272" s="20"/>
      <c r="F272" s="20"/>
      <c r="G272" s="20"/>
      <c r="H272" s="20"/>
      <c r="I272" s="20"/>
      <c r="J272" s="20"/>
      <c r="K272" s="20"/>
      <c r="L272" s="20">
        <v>5250</v>
      </c>
      <c r="M272" s="20"/>
      <c r="N272" s="20"/>
      <c r="O272" s="20"/>
      <c r="P272" s="21">
        <v>5250</v>
      </c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1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1"/>
      <c r="AQ272" s="36"/>
      <c r="AR272" s="36"/>
      <c r="AS272" s="36"/>
      <c r="AT272" s="36"/>
      <c r="AU272" s="36"/>
      <c r="AV272" s="36"/>
      <c r="AW272" s="36"/>
      <c r="AX272" s="36"/>
      <c r="AY272" s="36">
        <v>831.19448562763239</v>
      </c>
      <c r="AZ272" s="36"/>
      <c r="BA272" s="36"/>
      <c r="BB272" s="36"/>
      <c r="BC272" s="37">
        <v>831.19448562763239</v>
      </c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7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7"/>
    </row>
    <row r="273" spans="2:81" s="22" customFormat="1" ht="14.5" outlineLevel="1" x14ac:dyDescent="0.35">
      <c r="B273" s="25" t="s">
        <v>219</v>
      </c>
      <c r="C273" s="23" t="s">
        <v>221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1"/>
      <c r="Q273" s="20"/>
      <c r="R273" s="20"/>
      <c r="S273" s="20">
        <v>10000</v>
      </c>
      <c r="T273" s="20"/>
      <c r="U273" s="20"/>
      <c r="V273" s="20"/>
      <c r="W273" s="20"/>
      <c r="X273" s="20"/>
      <c r="Y273" s="20"/>
      <c r="Z273" s="20"/>
      <c r="AA273" s="20"/>
      <c r="AB273" s="20"/>
      <c r="AC273" s="21">
        <v>10000</v>
      </c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1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7"/>
      <c r="BD273" s="36"/>
      <c r="BE273" s="36"/>
      <c r="BF273" s="36">
        <v>565.95391352375236</v>
      </c>
      <c r="BG273" s="36"/>
      <c r="BH273" s="36"/>
      <c r="BI273" s="36"/>
      <c r="BJ273" s="36"/>
      <c r="BK273" s="36"/>
      <c r="BL273" s="36"/>
      <c r="BM273" s="36"/>
      <c r="BN273" s="36"/>
      <c r="BO273" s="36"/>
      <c r="BP273" s="37">
        <v>565.95391352375236</v>
      </c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7"/>
    </row>
    <row r="274" spans="2:81" s="22" customFormat="1" ht="14.5" outlineLevel="1" x14ac:dyDescent="0.35">
      <c r="B274" s="25" t="s">
        <v>219</v>
      </c>
      <c r="C274" s="23" t="s">
        <v>211</v>
      </c>
      <c r="D274" s="20"/>
      <c r="E274" s="20">
        <v>9750</v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1">
        <v>9750</v>
      </c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1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1"/>
      <c r="AQ274" s="36"/>
      <c r="AR274" s="36">
        <v>821.06460594461157</v>
      </c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7">
        <v>821.06460594461157</v>
      </c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7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7"/>
    </row>
    <row r="275" spans="2:81" s="22" customFormat="1" ht="14.5" outlineLevel="1" x14ac:dyDescent="0.35">
      <c r="B275" s="25" t="s">
        <v>219</v>
      </c>
      <c r="C275" s="23" t="s">
        <v>222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1"/>
      <c r="Q275" s="20"/>
      <c r="R275" s="20"/>
      <c r="S275" s="20"/>
      <c r="T275" s="20">
        <v>750</v>
      </c>
      <c r="U275" s="20"/>
      <c r="V275" s="20"/>
      <c r="W275" s="20"/>
      <c r="X275" s="20"/>
      <c r="Y275" s="20"/>
      <c r="Z275" s="20"/>
      <c r="AA275" s="20"/>
      <c r="AB275" s="20"/>
      <c r="AC275" s="21">
        <v>750</v>
      </c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1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7"/>
      <c r="BD275" s="36"/>
      <c r="BE275" s="36"/>
      <c r="BF275" s="36"/>
      <c r="BG275" s="36">
        <v>604.41772085985792</v>
      </c>
      <c r="BH275" s="36"/>
      <c r="BI275" s="36"/>
      <c r="BJ275" s="36"/>
      <c r="BK275" s="36"/>
      <c r="BL275" s="36"/>
      <c r="BM275" s="36"/>
      <c r="BN275" s="36"/>
      <c r="BO275" s="36"/>
      <c r="BP275" s="37">
        <v>604.41772085985792</v>
      </c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7"/>
    </row>
    <row r="276" spans="2:81" ht="14.5" x14ac:dyDescent="0.35">
      <c r="B276" s="15" t="s">
        <v>223</v>
      </c>
      <c r="C276" s="16"/>
      <c r="D276" s="17"/>
      <c r="E276" s="17">
        <v>9750</v>
      </c>
      <c r="F276" s="17"/>
      <c r="G276" s="17"/>
      <c r="H276" s="17"/>
      <c r="I276" s="17"/>
      <c r="J276" s="17"/>
      <c r="K276" s="17"/>
      <c r="L276" s="17">
        <v>5250</v>
      </c>
      <c r="M276" s="17">
        <v>8250</v>
      </c>
      <c r="N276" s="17">
        <v>5250</v>
      </c>
      <c r="O276" s="17">
        <v>4500</v>
      </c>
      <c r="P276" s="18">
        <v>33000</v>
      </c>
      <c r="Q276" s="17">
        <v>1500</v>
      </c>
      <c r="R276" s="17">
        <v>1500</v>
      </c>
      <c r="S276" s="17">
        <v>17550</v>
      </c>
      <c r="T276" s="17">
        <v>10525</v>
      </c>
      <c r="U276" s="17">
        <v>28500</v>
      </c>
      <c r="V276" s="17"/>
      <c r="W276" s="17"/>
      <c r="X276" s="17">
        <v>12750</v>
      </c>
      <c r="Y276" s="17">
        <v>14250</v>
      </c>
      <c r="Z276" s="17">
        <v>12000</v>
      </c>
      <c r="AA276" s="17">
        <v>9750</v>
      </c>
      <c r="AB276" s="17">
        <v>9000</v>
      </c>
      <c r="AC276" s="18">
        <v>117325</v>
      </c>
      <c r="AD276" s="17"/>
      <c r="AE276" s="17">
        <v>6000</v>
      </c>
      <c r="AF276" s="17">
        <v>22500</v>
      </c>
      <c r="AG276" s="17"/>
      <c r="AH276" s="17"/>
      <c r="AI276" s="17"/>
      <c r="AJ276" s="17"/>
      <c r="AK276" s="17"/>
      <c r="AL276" s="17"/>
      <c r="AM276" s="17"/>
      <c r="AN276" s="17"/>
      <c r="AO276" s="17"/>
      <c r="AP276" s="18">
        <v>28500</v>
      </c>
      <c r="AQ276" s="17"/>
      <c r="AR276" s="17">
        <v>821.06460594461157</v>
      </c>
      <c r="AS276" s="17"/>
      <c r="AT276" s="17"/>
      <c r="AU276" s="17"/>
      <c r="AV276" s="17"/>
      <c r="AW276" s="17"/>
      <c r="AX276" s="17"/>
      <c r="AY276" s="17">
        <v>831.19448562763239</v>
      </c>
      <c r="AZ276" s="17">
        <v>818.67803326873695</v>
      </c>
      <c r="BA276" s="17">
        <v>814.22440567584272</v>
      </c>
      <c r="BB276" s="17">
        <v>813.08614511289818</v>
      </c>
      <c r="BC276" s="19">
        <v>819.90334893267664</v>
      </c>
      <c r="BD276" s="17">
        <v>624.5392377174586</v>
      </c>
      <c r="BE276" s="17">
        <v>613.63048155079821</v>
      </c>
      <c r="BF276" s="17">
        <v>588.51282897870828</v>
      </c>
      <c r="BG276" s="17">
        <v>590.03153461971169</v>
      </c>
      <c r="BH276" s="17">
        <v>613.42336987248495</v>
      </c>
      <c r="BI276" s="17"/>
      <c r="BJ276" s="17"/>
      <c r="BK276" s="17">
        <v>594.30002843790726</v>
      </c>
      <c r="BL276" s="17">
        <v>583.55339212581021</v>
      </c>
      <c r="BM276" s="17">
        <v>603.31717444647688</v>
      </c>
      <c r="BN276" s="17">
        <v>590.40778701982549</v>
      </c>
      <c r="BO276" s="17">
        <v>592.18732302218586</v>
      </c>
      <c r="BP276" s="19">
        <v>597.46202254501441</v>
      </c>
      <c r="BQ276" s="17"/>
      <c r="BR276" s="17">
        <v>594.3587811322509</v>
      </c>
      <c r="BS276" s="17">
        <v>599.44507661652312</v>
      </c>
      <c r="BT276" s="17"/>
      <c r="BU276" s="17"/>
      <c r="BV276" s="17"/>
      <c r="BW276" s="17"/>
      <c r="BX276" s="17"/>
      <c r="BY276" s="17"/>
      <c r="BZ276" s="17"/>
      <c r="CA276" s="17"/>
      <c r="CB276" s="17"/>
      <c r="CC276" s="19">
        <v>598.37427756720274</v>
      </c>
    </row>
    <row r="277" spans="2:81" s="22" customFormat="1" ht="14.5" outlineLevel="1" x14ac:dyDescent="0.35">
      <c r="B277" s="25" t="s">
        <v>224</v>
      </c>
      <c r="C277" s="23" t="s">
        <v>49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1"/>
      <c r="Q277" s="20"/>
      <c r="R277" s="20">
        <v>750</v>
      </c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1">
        <v>750</v>
      </c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1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7"/>
      <c r="BD277" s="36"/>
      <c r="BE277" s="36">
        <v>685.88109373376301</v>
      </c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7">
        <v>685.88109373376301</v>
      </c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7"/>
    </row>
    <row r="278" spans="2:81" s="22" customFormat="1" ht="14.5" outlineLevel="1" x14ac:dyDescent="0.35">
      <c r="B278" s="25" t="s">
        <v>224</v>
      </c>
      <c r="C278" s="23" t="s">
        <v>147</v>
      </c>
      <c r="D278" s="20"/>
      <c r="E278" s="20">
        <v>19500</v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1">
        <v>19500</v>
      </c>
      <c r="Q278" s="20"/>
      <c r="R278" s="20"/>
      <c r="S278" s="20"/>
      <c r="T278" s="20"/>
      <c r="U278" s="20"/>
      <c r="V278" s="20"/>
      <c r="W278" s="20"/>
      <c r="X278" s="20"/>
      <c r="Y278" s="20">
        <v>5250</v>
      </c>
      <c r="Z278" s="20"/>
      <c r="AA278" s="20"/>
      <c r="AB278" s="20"/>
      <c r="AC278" s="21">
        <v>5250</v>
      </c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1"/>
      <c r="AQ278" s="36"/>
      <c r="AR278" s="36">
        <v>858.9045311488552</v>
      </c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7">
        <v>858.9045311488552</v>
      </c>
      <c r="BD278" s="36"/>
      <c r="BE278" s="36"/>
      <c r="BF278" s="36"/>
      <c r="BG278" s="36"/>
      <c r="BH278" s="36"/>
      <c r="BI278" s="36"/>
      <c r="BJ278" s="36"/>
      <c r="BK278" s="36"/>
      <c r="BL278" s="36">
        <v>609.83931627523339</v>
      </c>
      <c r="BM278" s="36"/>
      <c r="BN278" s="36"/>
      <c r="BO278" s="36"/>
      <c r="BP278" s="37">
        <v>609.83931627523339</v>
      </c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7"/>
    </row>
    <row r="279" spans="2:81" s="22" customFormat="1" ht="14.5" outlineLevel="1" x14ac:dyDescent="0.35">
      <c r="B279" s="25" t="s">
        <v>224</v>
      </c>
      <c r="C279" s="23" t="s">
        <v>141</v>
      </c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1"/>
      <c r="Q279" s="20"/>
      <c r="R279" s="20"/>
      <c r="S279" s="20">
        <v>50</v>
      </c>
      <c r="T279" s="20"/>
      <c r="U279" s="20"/>
      <c r="V279" s="20"/>
      <c r="W279" s="20"/>
      <c r="X279" s="20"/>
      <c r="Y279" s="20"/>
      <c r="Z279" s="20"/>
      <c r="AA279" s="20"/>
      <c r="AB279" s="20"/>
      <c r="AC279" s="21">
        <v>50</v>
      </c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1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7"/>
      <c r="BD279" s="36"/>
      <c r="BE279" s="36"/>
      <c r="BF279" s="36">
        <v>675.0778225345515</v>
      </c>
      <c r="BG279" s="36"/>
      <c r="BH279" s="36"/>
      <c r="BI279" s="36"/>
      <c r="BJ279" s="36"/>
      <c r="BK279" s="36"/>
      <c r="BL279" s="36"/>
      <c r="BM279" s="36"/>
      <c r="BN279" s="36"/>
      <c r="BO279" s="36"/>
      <c r="BP279" s="37">
        <v>675.0778225345515</v>
      </c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7"/>
    </row>
    <row r="280" spans="2:81" s="22" customFormat="1" ht="14.5" outlineLevel="1" x14ac:dyDescent="0.35">
      <c r="B280" s="25" t="s">
        <v>224</v>
      </c>
      <c r="C280" s="23" t="s">
        <v>225</v>
      </c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1"/>
      <c r="Q280" s="20"/>
      <c r="R280" s="20"/>
      <c r="S280" s="20"/>
      <c r="T280" s="20">
        <v>50</v>
      </c>
      <c r="U280" s="20"/>
      <c r="V280" s="20"/>
      <c r="W280" s="20"/>
      <c r="X280" s="20"/>
      <c r="Y280" s="20"/>
      <c r="Z280" s="20"/>
      <c r="AA280" s="20"/>
      <c r="AB280" s="20"/>
      <c r="AC280" s="21">
        <v>50</v>
      </c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1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7"/>
      <c r="BD280" s="36"/>
      <c r="BE280" s="36"/>
      <c r="BF280" s="36"/>
      <c r="BG280" s="36">
        <v>584.31430757246051</v>
      </c>
      <c r="BH280" s="36"/>
      <c r="BI280" s="36"/>
      <c r="BJ280" s="36"/>
      <c r="BK280" s="36"/>
      <c r="BL280" s="36"/>
      <c r="BM280" s="36"/>
      <c r="BN280" s="36"/>
      <c r="BO280" s="36"/>
      <c r="BP280" s="37">
        <v>584.31430757246051</v>
      </c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7"/>
    </row>
    <row r="281" spans="2:81" s="22" customFormat="1" ht="14.5" outlineLevel="1" x14ac:dyDescent="0.35">
      <c r="B281" s="25" t="s">
        <v>224</v>
      </c>
      <c r="C281" s="23" t="s">
        <v>216</v>
      </c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1"/>
      <c r="Q281" s="20"/>
      <c r="R281" s="20">
        <v>750</v>
      </c>
      <c r="S281" s="20">
        <v>24000</v>
      </c>
      <c r="T281" s="20">
        <v>9000</v>
      </c>
      <c r="U281" s="20">
        <v>15750</v>
      </c>
      <c r="V281" s="20">
        <v>26250</v>
      </c>
      <c r="W281" s="20">
        <v>10500</v>
      </c>
      <c r="X281" s="20">
        <v>2250</v>
      </c>
      <c r="Y281" s="20"/>
      <c r="Z281" s="20">
        <v>6750</v>
      </c>
      <c r="AA281" s="20">
        <v>14250</v>
      </c>
      <c r="AB281" s="20">
        <v>9000</v>
      </c>
      <c r="AC281" s="21">
        <v>118500</v>
      </c>
      <c r="AD281" s="20"/>
      <c r="AE281" s="20"/>
      <c r="AF281" s="20">
        <v>1500</v>
      </c>
      <c r="AG281" s="20"/>
      <c r="AH281" s="20"/>
      <c r="AI281" s="20"/>
      <c r="AJ281" s="20"/>
      <c r="AK281" s="20"/>
      <c r="AL281" s="20"/>
      <c r="AM281" s="20"/>
      <c r="AN281" s="20"/>
      <c r="AO281" s="20"/>
      <c r="AP281" s="21">
        <v>1500</v>
      </c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7"/>
      <c r="BD281" s="36"/>
      <c r="BE281" s="36">
        <v>584.31989249325477</v>
      </c>
      <c r="BF281" s="36">
        <v>582.16697802715578</v>
      </c>
      <c r="BG281" s="36">
        <v>595.0398138271421</v>
      </c>
      <c r="BH281" s="36">
        <v>592.55309419153195</v>
      </c>
      <c r="BI281" s="36">
        <v>589.44192461815544</v>
      </c>
      <c r="BJ281" s="36">
        <v>607.0295123832268</v>
      </c>
      <c r="BK281" s="36">
        <v>591.88578033783938</v>
      </c>
      <c r="BL281" s="36"/>
      <c r="BM281" s="36">
        <v>593.36135090646064</v>
      </c>
      <c r="BN281" s="36">
        <v>592.99153552274277</v>
      </c>
      <c r="BO281" s="36">
        <v>593.68742053959534</v>
      </c>
      <c r="BP281" s="37">
        <v>591.35211511955481</v>
      </c>
      <c r="BQ281" s="36"/>
      <c r="BR281" s="36"/>
      <c r="BS281" s="36">
        <v>591.13585286570265</v>
      </c>
      <c r="BT281" s="36"/>
      <c r="BU281" s="36"/>
      <c r="BV281" s="36"/>
      <c r="BW281" s="36"/>
      <c r="BX281" s="36"/>
      <c r="BY281" s="36"/>
      <c r="BZ281" s="36"/>
      <c r="CA281" s="36"/>
      <c r="CB281" s="36"/>
      <c r="CC281" s="37">
        <v>591.13585286570265</v>
      </c>
    </row>
    <row r="282" spans="2:81" s="22" customFormat="1" ht="14.5" outlineLevel="1" x14ac:dyDescent="0.35">
      <c r="B282" s="25" t="s">
        <v>224</v>
      </c>
      <c r="C282" s="23" t="s">
        <v>25</v>
      </c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1"/>
      <c r="Q282" s="20"/>
      <c r="R282" s="20"/>
      <c r="S282" s="20"/>
      <c r="T282" s="20">
        <v>25</v>
      </c>
      <c r="U282" s="20"/>
      <c r="V282" s="20"/>
      <c r="W282" s="20"/>
      <c r="X282" s="20"/>
      <c r="Y282" s="20"/>
      <c r="Z282" s="20"/>
      <c r="AA282" s="20"/>
      <c r="AB282" s="20"/>
      <c r="AC282" s="21">
        <v>25</v>
      </c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1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7"/>
      <c r="BD282" s="36"/>
      <c r="BE282" s="36"/>
      <c r="BF282" s="36"/>
      <c r="BG282" s="36">
        <v>584.31430757246051</v>
      </c>
      <c r="BH282" s="36"/>
      <c r="BI282" s="36"/>
      <c r="BJ282" s="36"/>
      <c r="BK282" s="36"/>
      <c r="BL282" s="36"/>
      <c r="BM282" s="36"/>
      <c r="BN282" s="36"/>
      <c r="BO282" s="36"/>
      <c r="BP282" s="37">
        <v>584.31430757246051</v>
      </c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7"/>
    </row>
    <row r="283" spans="2:81" s="22" customFormat="1" ht="14.5" outlineLevel="1" x14ac:dyDescent="0.35">
      <c r="B283" s="25" t="s">
        <v>224</v>
      </c>
      <c r="C283" s="23" t="s">
        <v>210</v>
      </c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1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1"/>
      <c r="AD283" s="20"/>
      <c r="AE283" s="20">
        <v>3750</v>
      </c>
      <c r="AF283" s="20">
        <v>1500</v>
      </c>
      <c r="AG283" s="20"/>
      <c r="AH283" s="20"/>
      <c r="AI283" s="20"/>
      <c r="AJ283" s="20"/>
      <c r="AK283" s="20"/>
      <c r="AL283" s="20"/>
      <c r="AM283" s="20"/>
      <c r="AN283" s="20"/>
      <c r="AO283" s="20"/>
      <c r="AP283" s="21">
        <v>5250</v>
      </c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7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7"/>
      <c r="BQ283" s="36"/>
      <c r="BR283" s="36">
        <v>597.85115414639597</v>
      </c>
      <c r="BS283" s="36">
        <v>592.69029948575417</v>
      </c>
      <c r="BT283" s="36"/>
      <c r="BU283" s="36"/>
      <c r="BV283" s="36"/>
      <c r="BW283" s="36"/>
      <c r="BX283" s="36"/>
      <c r="BY283" s="36"/>
      <c r="BZ283" s="36"/>
      <c r="CA283" s="36"/>
      <c r="CB283" s="36"/>
      <c r="CC283" s="37">
        <v>596.37662424335542</v>
      </c>
    </row>
    <row r="284" spans="2:81" s="22" customFormat="1" ht="14.5" outlineLevel="1" x14ac:dyDescent="0.35">
      <c r="B284" s="25" t="s">
        <v>224</v>
      </c>
      <c r="C284" s="23" t="s">
        <v>211</v>
      </c>
      <c r="D284" s="20">
        <v>2250</v>
      </c>
      <c r="E284" s="20">
        <v>7500</v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1">
        <v>9750</v>
      </c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1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1"/>
      <c r="AQ284" s="36">
        <v>824.93676363550753</v>
      </c>
      <c r="AR284" s="36">
        <v>821.06460594461157</v>
      </c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7">
        <v>821.95818079635683</v>
      </c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7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7"/>
    </row>
    <row r="285" spans="2:81" s="22" customFormat="1" ht="14.5" outlineLevel="1" x14ac:dyDescent="0.35">
      <c r="B285" s="25" t="s">
        <v>224</v>
      </c>
      <c r="C285" s="23" t="s">
        <v>226</v>
      </c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>
        <v>325</v>
      </c>
      <c r="O285" s="20"/>
      <c r="P285" s="21">
        <v>325</v>
      </c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1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1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>
        <v>849.00627841851383</v>
      </c>
      <c r="BB285" s="36"/>
      <c r="BC285" s="37">
        <v>849.00627841851383</v>
      </c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7"/>
    </row>
    <row r="286" spans="2:81" s="22" customFormat="1" ht="14.5" outlineLevel="1" x14ac:dyDescent="0.35">
      <c r="B286" s="25" t="s">
        <v>224</v>
      </c>
      <c r="C286" s="23" t="s">
        <v>222</v>
      </c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1"/>
      <c r="Q286" s="20"/>
      <c r="R286" s="20"/>
      <c r="S286" s="20"/>
      <c r="T286" s="20">
        <v>750</v>
      </c>
      <c r="U286" s="20"/>
      <c r="V286" s="20"/>
      <c r="W286" s="20"/>
      <c r="X286" s="20"/>
      <c r="Y286" s="20"/>
      <c r="Z286" s="20"/>
      <c r="AA286" s="20"/>
      <c r="AB286" s="20"/>
      <c r="AC286" s="21">
        <v>750</v>
      </c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1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7"/>
      <c r="BD286" s="36"/>
      <c r="BE286" s="36"/>
      <c r="BF286" s="36"/>
      <c r="BG286" s="36">
        <v>604.41772085985792</v>
      </c>
      <c r="BH286" s="36"/>
      <c r="BI286" s="36"/>
      <c r="BJ286" s="36"/>
      <c r="BK286" s="36"/>
      <c r="BL286" s="36"/>
      <c r="BM286" s="36"/>
      <c r="BN286" s="36"/>
      <c r="BO286" s="36"/>
      <c r="BP286" s="37">
        <v>604.41772085985792</v>
      </c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7"/>
    </row>
    <row r="287" spans="2:81" ht="14.5" x14ac:dyDescent="0.35">
      <c r="B287" s="15" t="s">
        <v>227</v>
      </c>
      <c r="C287" s="16"/>
      <c r="D287" s="17">
        <v>2250</v>
      </c>
      <c r="E287" s="17">
        <v>27000</v>
      </c>
      <c r="F287" s="17"/>
      <c r="G287" s="17"/>
      <c r="H287" s="17"/>
      <c r="I287" s="17"/>
      <c r="J287" s="17"/>
      <c r="K287" s="17"/>
      <c r="L287" s="17"/>
      <c r="M287" s="17"/>
      <c r="N287" s="17">
        <v>325</v>
      </c>
      <c r="O287" s="17"/>
      <c r="P287" s="18">
        <v>29575</v>
      </c>
      <c r="Q287" s="17"/>
      <c r="R287" s="17">
        <v>1500</v>
      </c>
      <c r="S287" s="17">
        <v>24050</v>
      </c>
      <c r="T287" s="17">
        <v>9825</v>
      </c>
      <c r="U287" s="17">
        <v>15750</v>
      </c>
      <c r="V287" s="17">
        <v>26250</v>
      </c>
      <c r="W287" s="17">
        <v>10500</v>
      </c>
      <c r="X287" s="17">
        <v>2250</v>
      </c>
      <c r="Y287" s="17">
        <v>5250</v>
      </c>
      <c r="Z287" s="17">
        <v>6750</v>
      </c>
      <c r="AA287" s="17">
        <v>14250</v>
      </c>
      <c r="AB287" s="17">
        <v>9000</v>
      </c>
      <c r="AC287" s="18">
        <v>125375</v>
      </c>
      <c r="AD287" s="17"/>
      <c r="AE287" s="17">
        <v>3750</v>
      </c>
      <c r="AF287" s="17">
        <v>3000</v>
      </c>
      <c r="AG287" s="17"/>
      <c r="AH287" s="17"/>
      <c r="AI287" s="17"/>
      <c r="AJ287" s="17"/>
      <c r="AK287" s="17"/>
      <c r="AL287" s="17"/>
      <c r="AM287" s="17"/>
      <c r="AN287" s="17"/>
      <c r="AO287" s="17"/>
      <c r="AP287" s="18">
        <v>6750</v>
      </c>
      <c r="AQ287" s="17">
        <v>824.93676363550753</v>
      </c>
      <c r="AR287" s="17">
        <v>848.39344081434331</v>
      </c>
      <c r="AS287" s="17"/>
      <c r="AT287" s="17"/>
      <c r="AU287" s="17"/>
      <c r="AV287" s="17"/>
      <c r="AW287" s="17"/>
      <c r="AX287" s="17"/>
      <c r="AY287" s="17"/>
      <c r="AZ287" s="17"/>
      <c r="BA287" s="17">
        <v>849.00627841851383</v>
      </c>
      <c r="BB287" s="17"/>
      <c r="BC287" s="19">
        <v>846.61564364000594</v>
      </c>
      <c r="BD287" s="17"/>
      <c r="BE287" s="17">
        <v>635.10049311350895</v>
      </c>
      <c r="BF287" s="17">
        <v>582.36013986604848</v>
      </c>
      <c r="BG287" s="17">
        <v>595.67381049945106</v>
      </c>
      <c r="BH287" s="17">
        <v>592.55309419153195</v>
      </c>
      <c r="BI287" s="17">
        <v>589.44192461815544</v>
      </c>
      <c r="BJ287" s="17">
        <v>607.0295123832268</v>
      </c>
      <c r="BK287" s="17">
        <v>591.88578033783938</v>
      </c>
      <c r="BL287" s="17">
        <v>609.83931627523339</v>
      </c>
      <c r="BM287" s="17">
        <v>593.36135090646064</v>
      </c>
      <c r="BN287" s="17">
        <v>592.99153552274277</v>
      </c>
      <c r="BO287" s="17">
        <v>593.68742053959534</v>
      </c>
      <c r="BP287" s="19">
        <v>592.79907180260909</v>
      </c>
      <c r="BQ287" s="17"/>
      <c r="BR287" s="17">
        <v>597.85115414639597</v>
      </c>
      <c r="BS287" s="17">
        <v>591.91307617572841</v>
      </c>
      <c r="BT287" s="17"/>
      <c r="BU287" s="17"/>
      <c r="BV287" s="17"/>
      <c r="BW287" s="17"/>
      <c r="BX287" s="17"/>
      <c r="BY287" s="17"/>
      <c r="BZ287" s="17"/>
      <c r="CA287" s="17"/>
      <c r="CB287" s="17"/>
      <c r="CC287" s="19">
        <v>595.21200838165475</v>
      </c>
    </row>
    <row r="288" spans="2:81" s="22" customFormat="1" ht="14.5" outlineLevel="1" x14ac:dyDescent="0.35">
      <c r="B288" s="25" t="s">
        <v>228</v>
      </c>
      <c r="C288" s="23" t="s">
        <v>147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20">
        <v>5250</v>
      </c>
      <c r="N288" s="20"/>
      <c r="O288" s="20"/>
      <c r="P288" s="21">
        <v>5250</v>
      </c>
      <c r="Q288" s="20"/>
      <c r="R288" s="20"/>
      <c r="S288" s="20"/>
      <c r="T288" s="20"/>
      <c r="U288" s="20"/>
      <c r="V288" s="20"/>
      <c r="W288" s="20"/>
      <c r="X288" s="20"/>
      <c r="Y288" s="20"/>
      <c r="Z288" s="20">
        <v>5250</v>
      </c>
      <c r="AA288" s="20"/>
      <c r="AB288" s="20"/>
      <c r="AC288" s="21">
        <v>5250</v>
      </c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1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>
        <v>818.67803326873684</v>
      </c>
      <c r="BA288" s="36"/>
      <c r="BB288" s="36"/>
      <c r="BC288" s="37">
        <v>818.67803326873684</v>
      </c>
      <c r="BD288" s="36"/>
      <c r="BE288" s="36"/>
      <c r="BF288" s="36"/>
      <c r="BG288" s="36"/>
      <c r="BH288" s="36"/>
      <c r="BI288" s="36"/>
      <c r="BJ288" s="36"/>
      <c r="BK288" s="36"/>
      <c r="BL288" s="36"/>
      <c r="BM288" s="36">
        <v>611.05115244224362</v>
      </c>
      <c r="BN288" s="36"/>
      <c r="BO288" s="36"/>
      <c r="BP288" s="37">
        <v>611.05115244224362</v>
      </c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7"/>
    </row>
    <row r="289" spans="2:81" s="22" customFormat="1" ht="14.5" outlineLevel="1" x14ac:dyDescent="0.35">
      <c r="B289" s="25" t="s">
        <v>228</v>
      </c>
      <c r="C289" s="23" t="s">
        <v>141</v>
      </c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1"/>
      <c r="Q289" s="20"/>
      <c r="R289" s="20"/>
      <c r="S289" s="20">
        <v>10550</v>
      </c>
      <c r="T289" s="20"/>
      <c r="U289" s="20">
        <v>5250</v>
      </c>
      <c r="V289" s="20"/>
      <c r="W289" s="20"/>
      <c r="X289" s="20"/>
      <c r="Y289" s="20"/>
      <c r="Z289" s="20"/>
      <c r="AA289" s="20"/>
      <c r="AB289" s="20"/>
      <c r="AC289" s="21">
        <v>15800</v>
      </c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1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7"/>
      <c r="BD289" s="36"/>
      <c r="BE289" s="36"/>
      <c r="BF289" s="36">
        <v>629.82036248254974</v>
      </c>
      <c r="BG289" s="36"/>
      <c r="BH289" s="36">
        <v>616.97737150130263</v>
      </c>
      <c r="BI289" s="36"/>
      <c r="BJ289" s="36"/>
      <c r="BK289" s="36"/>
      <c r="BL289" s="36"/>
      <c r="BM289" s="36"/>
      <c r="BN289" s="36"/>
      <c r="BO289" s="36"/>
      <c r="BP289" s="37">
        <v>625.55291294764163</v>
      </c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7"/>
    </row>
    <row r="290" spans="2:81" s="22" customFormat="1" ht="14.5" outlineLevel="1" x14ac:dyDescent="0.35">
      <c r="B290" s="25" t="s">
        <v>228</v>
      </c>
      <c r="C290" s="23" t="s">
        <v>216</v>
      </c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1"/>
      <c r="Q290" s="20"/>
      <c r="R290" s="20">
        <v>750</v>
      </c>
      <c r="S290" s="20"/>
      <c r="T290" s="20">
        <v>3000</v>
      </c>
      <c r="U290" s="20">
        <v>10500</v>
      </c>
      <c r="V290" s="20">
        <v>5250</v>
      </c>
      <c r="W290" s="20"/>
      <c r="X290" s="20">
        <v>5250</v>
      </c>
      <c r="Y290" s="20"/>
      <c r="Z290" s="20">
        <v>5250</v>
      </c>
      <c r="AA290" s="20">
        <v>4500</v>
      </c>
      <c r="AB290" s="20"/>
      <c r="AC290" s="21">
        <v>34500</v>
      </c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1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7"/>
      <c r="BD290" s="36"/>
      <c r="BE290" s="36">
        <v>584.31989249325477</v>
      </c>
      <c r="BF290" s="36"/>
      <c r="BG290" s="36">
        <v>595.0398138271421</v>
      </c>
      <c r="BH290" s="36">
        <v>592.55309419153207</v>
      </c>
      <c r="BI290" s="36">
        <v>589.44192461815544</v>
      </c>
      <c r="BJ290" s="36"/>
      <c r="BK290" s="36">
        <v>593.87567211892144</v>
      </c>
      <c r="BL290" s="36"/>
      <c r="BM290" s="36">
        <v>593.36135899322858</v>
      </c>
      <c r="BN290" s="36">
        <v>592.9915399888323</v>
      </c>
      <c r="BO290" s="36"/>
      <c r="BP290" s="37">
        <v>592.49835644626955</v>
      </c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7"/>
    </row>
    <row r="291" spans="2:81" s="22" customFormat="1" ht="14.5" outlineLevel="1" x14ac:dyDescent="0.35">
      <c r="B291" s="25" t="s">
        <v>228</v>
      </c>
      <c r="C291" s="23" t="s">
        <v>25</v>
      </c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1"/>
      <c r="Q291" s="20"/>
      <c r="R291" s="20"/>
      <c r="S291" s="20"/>
      <c r="T291" s="20">
        <v>25</v>
      </c>
      <c r="U291" s="20"/>
      <c r="V291" s="20"/>
      <c r="W291" s="20"/>
      <c r="X291" s="20"/>
      <c r="Y291" s="20"/>
      <c r="Z291" s="20"/>
      <c r="AA291" s="20"/>
      <c r="AB291" s="20"/>
      <c r="AC291" s="21">
        <v>25</v>
      </c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1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7"/>
      <c r="BD291" s="36"/>
      <c r="BE291" s="36"/>
      <c r="BF291" s="36"/>
      <c r="BG291" s="36">
        <v>584.31430757246051</v>
      </c>
      <c r="BH291" s="36"/>
      <c r="BI291" s="36"/>
      <c r="BJ291" s="36"/>
      <c r="BK291" s="36"/>
      <c r="BL291" s="36"/>
      <c r="BM291" s="36"/>
      <c r="BN291" s="36"/>
      <c r="BO291" s="36"/>
      <c r="BP291" s="37">
        <v>584.31430757246051</v>
      </c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7"/>
    </row>
    <row r="292" spans="2:81" s="22" customFormat="1" ht="14.5" outlineLevel="1" x14ac:dyDescent="0.35">
      <c r="B292" s="25" t="s">
        <v>228</v>
      </c>
      <c r="C292" s="23" t="s">
        <v>210</v>
      </c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1"/>
      <c r="Q292" s="20"/>
      <c r="R292" s="20">
        <v>750</v>
      </c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1">
        <v>750</v>
      </c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1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7"/>
      <c r="BD292" s="36"/>
      <c r="BE292" s="36">
        <v>622.85010320627975</v>
      </c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7">
        <v>622.85010320627975</v>
      </c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7"/>
    </row>
    <row r="293" spans="2:81" s="22" customFormat="1" ht="14.5" outlineLevel="1" x14ac:dyDescent="0.35">
      <c r="B293" s="25" t="s">
        <v>228</v>
      </c>
      <c r="C293" s="23" t="s">
        <v>221</v>
      </c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1"/>
      <c r="Q293" s="20"/>
      <c r="R293" s="20"/>
      <c r="S293" s="20">
        <v>10000</v>
      </c>
      <c r="T293" s="20"/>
      <c r="U293" s="20"/>
      <c r="V293" s="20"/>
      <c r="W293" s="20"/>
      <c r="X293" s="20"/>
      <c r="Y293" s="20"/>
      <c r="Z293" s="20"/>
      <c r="AA293" s="20"/>
      <c r="AB293" s="20"/>
      <c r="AC293" s="21">
        <v>10000</v>
      </c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1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7"/>
      <c r="BD293" s="36"/>
      <c r="BE293" s="36"/>
      <c r="BF293" s="36">
        <v>565.95391352375236</v>
      </c>
      <c r="BG293" s="36"/>
      <c r="BH293" s="36"/>
      <c r="BI293" s="36"/>
      <c r="BJ293" s="36"/>
      <c r="BK293" s="36"/>
      <c r="BL293" s="36"/>
      <c r="BM293" s="36"/>
      <c r="BN293" s="36"/>
      <c r="BO293" s="36"/>
      <c r="BP293" s="37">
        <v>565.95391352375236</v>
      </c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7"/>
    </row>
    <row r="294" spans="2:81" s="22" customFormat="1" ht="14.5" outlineLevel="1" x14ac:dyDescent="0.35">
      <c r="B294" s="25" t="s">
        <v>228</v>
      </c>
      <c r="C294" s="23" t="s">
        <v>211</v>
      </c>
      <c r="D294" s="20"/>
      <c r="E294" s="20"/>
      <c r="F294" s="20">
        <v>6000</v>
      </c>
      <c r="G294" s="20">
        <v>9000</v>
      </c>
      <c r="H294" s="20"/>
      <c r="I294" s="20"/>
      <c r="J294" s="20"/>
      <c r="K294" s="20"/>
      <c r="L294" s="20"/>
      <c r="M294" s="20"/>
      <c r="N294" s="20"/>
      <c r="O294" s="20"/>
      <c r="P294" s="21">
        <v>15000</v>
      </c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1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1"/>
      <c r="AQ294" s="36"/>
      <c r="AR294" s="36"/>
      <c r="AS294" s="36">
        <v>888.01464220904495</v>
      </c>
      <c r="AT294" s="36">
        <v>870.75006701765585</v>
      </c>
      <c r="AU294" s="36"/>
      <c r="AV294" s="36"/>
      <c r="AW294" s="36"/>
      <c r="AX294" s="36"/>
      <c r="AY294" s="36"/>
      <c r="AZ294" s="36"/>
      <c r="BA294" s="36"/>
      <c r="BB294" s="36"/>
      <c r="BC294" s="37">
        <v>877.65589709421147</v>
      </c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7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7"/>
    </row>
    <row r="295" spans="2:81" ht="14.5" x14ac:dyDescent="0.35">
      <c r="B295" s="15" t="s">
        <v>229</v>
      </c>
      <c r="C295" s="16"/>
      <c r="D295" s="17"/>
      <c r="E295" s="17"/>
      <c r="F295" s="17">
        <v>6000</v>
      </c>
      <c r="G295" s="17">
        <v>9000</v>
      </c>
      <c r="H295" s="17"/>
      <c r="I295" s="17"/>
      <c r="J295" s="17"/>
      <c r="K295" s="17"/>
      <c r="L295" s="17"/>
      <c r="M295" s="17">
        <v>5250</v>
      </c>
      <c r="N295" s="17"/>
      <c r="O295" s="17"/>
      <c r="P295" s="18">
        <v>20250</v>
      </c>
      <c r="Q295" s="17"/>
      <c r="R295" s="17">
        <v>1500</v>
      </c>
      <c r="S295" s="17">
        <v>20550</v>
      </c>
      <c r="T295" s="17">
        <v>3025</v>
      </c>
      <c r="U295" s="17">
        <v>15750</v>
      </c>
      <c r="V295" s="17">
        <v>5250</v>
      </c>
      <c r="W295" s="17"/>
      <c r="X295" s="17">
        <v>5250</v>
      </c>
      <c r="Y295" s="17"/>
      <c r="Z295" s="17">
        <v>10500</v>
      </c>
      <c r="AA295" s="17">
        <v>4500</v>
      </c>
      <c r="AB295" s="17"/>
      <c r="AC295" s="18">
        <v>66325</v>
      </c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8"/>
      <c r="AQ295" s="17"/>
      <c r="AR295" s="17"/>
      <c r="AS295" s="17">
        <v>888.01464220904495</v>
      </c>
      <c r="AT295" s="17">
        <v>870.75006701765585</v>
      </c>
      <c r="AU295" s="17"/>
      <c r="AV295" s="17"/>
      <c r="AW295" s="17"/>
      <c r="AX295" s="17"/>
      <c r="AY295" s="17"/>
      <c r="AZ295" s="17">
        <v>818.67803326873684</v>
      </c>
      <c r="BA295" s="17"/>
      <c r="BB295" s="17"/>
      <c r="BC295" s="19">
        <v>862.36533980612546</v>
      </c>
      <c r="BD295" s="17"/>
      <c r="BE295" s="17">
        <v>603.58499784976732</v>
      </c>
      <c r="BF295" s="17">
        <v>598.74179851233202</v>
      </c>
      <c r="BG295" s="17">
        <v>594.95117327958269</v>
      </c>
      <c r="BH295" s="17">
        <v>600.69451996145563</v>
      </c>
      <c r="BI295" s="17">
        <v>589.44192461815544</v>
      </c>
      <c r="BJ295" s="17"/>
      <c r="BK295" s="17">
        <v>593.87567211892144</v>
      </c>
      <c r="BL295" s="17"/>
      <c r="BM295" s="17">
        <v>602.2062557177361</v>
      </c>
      <c r="BN295" s="17">
        <v>592.9915399888323</v>
      </c>
      <c r="BO295" s="17"/>
      <c r="BP295" s="19">
        <v>598.17915480772524</v>
      </c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9"/>
    </row>
    <row r="296" spans="2:81" s="22" customFormat="1" ht="14.5" outlineLevel="1" x14ac:dyDescent="0.35">
      <c r="B296" s="25" t="s">
        <v>230</v>
      </c>
      <c r="C296" s="23" t="s">
        <v>231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1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1"/>
      <c r="AD296" s="20">
        <v>2250</v>
      </c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1">
        <v>2250</v>
      </c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7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7"/>
      <c r="BQ296" s="36">
        <v>495.55524540123508</v>
      </c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7">
        <v>495.55524540123508</v>
      </c>
    </row>
    <row r="297" spans="2:81" s="22" customFormat="1" ht="14.5" outlineLevel="1" x14ac:dyDescent="0.35">
      <c r="B297" s="25" t="s">
        <v>230</v>
      </c>
      <c r="C297" s="23" t="s">
        <v>141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1"/>
      <c r="Q297" s="20"/>
      <c r="R297" s="20"/>
      <c r="S297" s="20"/>
      <c r="T297" s="20"/>
      <c r="U297" s="20"/>
      <c r="V297" s="20">
        <v>28000</v>
      </c>
      <c r="W297" s="20"/>
      <c r="X297" s="20">
        <v>-3500</v>
      </c>
      <c r="Y297" s="20"/>
      <c r="Z297" s="20"/>
      <c r="AA297" s="20"/>
      <c r="AB297" s="20"/>
      <c r="AC297" s="21">
        <v>24500</v>
      </c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1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7"/>
      <c r="BD297" s="36"/>
      <c r="BE297" s="36"/>
      <c r="BF297" s="36"/>
      <c r="BG297" s="36"/>
      <c r="BH297" s="36"/>
      <c r="BI297" s="36">
        <v>491.38838108350484</v>
      </c>
      <c r="BJ297" s="36"/>
      <c r="BK297" s="36">
        <v>486.9775799592623</v>
      </c>
      <c r="BL297" s="36"/>
      <c r="BM297" s="36"/>
      <c r="BN297" s="36"/>
      <c r="BO297" s="36"/>
      <c r="BP297" s="37">
        <v>492.01849552982532</v>
      </c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7"/>
    </row>
    <row r="298" spans="2:81" s="22" customFormat="1" ht="14.5" outlineLevel="1" x14ac:dyDescent="0.35">
      <c r="B298" s="25" t="s">
        <v>230</v>
      </c>
      <c r="C298" s="23" t="s">
        <v>25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1"/>
      <c r="Q298" s="20"/>
      <c r="R298" s="20"/>
      <c r="S298" s="20"/>
      <c r="T298" s="20">
        <v>25</v>
      </c>
      <c r="U298" s="20"/>
      <c r="V298" s="20"/>
      <c r="W298" s="20"/>
      <c r="X298" s="20"/>
      <c r="Y298" s="20"/>
      <c r="Z298" s="20"/>
      <c r="AA298" s="20"/>
      <c r="AB298" s="20"/>
      <c r="AC298" s="21">
        <v>25</v>
      </c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1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7"/>
      <c r="BD298" s="36"/>
      <c r="BE298" s="36"/>
      <c r="BF298" s="36"/>
      <c r="BG298" s="36">
        <v>584.31430757246051</v>
      </c>
      <c r="BH298" s="36"/>
      <c r="BI298" s="36"/>
      <c r="BJ298" s="36"/>
      <c r="BK298" s="36"/>
      <c r="BL298" s="36"/>
      <c r="BM298" s="36"/>
      <c r="BN298" s="36"/>
      <c r="BO298" s="36"/>
      <c r="BP298" s="37">
        <v>584.31430757246051</v>
      </c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7"/>
    </row>
    <row r="299" spans="2:81" s="22" customFormat="1" ht="14.5" outlineLevel="1" x14ac:dyDescent="0.35">
      <c r="B299" s="25" t="s">
        <v>230</v>
      </c>
      <c r="C299" s="23" t="s">
        <v>210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1"/>
      <c r="Q299" s="20"/>
      <c r="R299" s="20"/>
      <c r="S299" s="20">
        <v>6000</v>
      </c>
      <c r="T299" s="20"/>
      <c r="U299" s="20"/>
      <c r="V299" s="20"/>
      <c r="W299" s="20"/>
      <c r="X299" s="20"/>
      <c r="Y299" s="20"/>
      <c r="Z299" s="20">
        <v>9000</v>
      </c>
      <c r="AA299" s="20"/>
      <c r="AB299" s="20"/>
      <c r="AC299" s="21">
        <v>15000</v>
      </c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1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7"/>
      <c r="BD299" s="36"/>
      <c r="BE299" s="36"/>
      <c r="BF299" s="36">
        <v>465.39682930888489</v>
      </c>
      <c r="BG299" s="36"/>
      <c r="BH299" s="36"/>
      <c r="BI299" s="36"/>
      <c r="BJ299" s="36"/>
      <c r="BK299" s="36"/>
      <c r="BL299" s="36"/>
      <c r="BM299" s="36">
        <v>451.84291132735586</v>
      </c>
      <c r="BN299" s="36"/>
      <c r="BO299" s="36"/>
      <c r="BP299" s="37">
        <v>457.26447851996744</v>
      </c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7"/>
    </row>
    <row r="300" spans="2:81" ht="14.5" x14ac:dyDescent="0.35">
      <c r="B300" s="15" t="s">
        <v>232</v>
      </c>
      <c r="C300" s="1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8"/>
      <c r="Q300" s="17"/>
      <c r="R300" s="17"/>
      <c r="S300" s="17">
        <v>6000</v>
      </c>
      <c r="T300" s="17">
        <v>25</v>
      </c>
      <c r="U300" s="17"/>
      <c r="V300" s="17">
        <v>28000</v>
      </c>
      <c r="W300" s="17"/>
      <c r="X300" s="17">
        <v>-3500</v>
      </c>
      <c r="Y300" s="17"/>
      <c r="Z300" s="17">
        <v>9000</v>
      </c>
      <c r="AA300" s="17"/>
      <c r="AB300" s="17"/>
      <c r="AC300" s="18">
        <v>39525</v>
      </c>
      <c r="AD300" s="17">
        <v>2250</v>
      </c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8">
        <v>2250</v>
      </c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9"/>
      <c r="BD300" s="17"/>
      <c r="BE300" s="17"/>
      <c r="BF300" s="17">
        <v>465.39682930888489</v>
      </c>
      <c r="BG300" s="17">
        <v>584.31430757246051</v>
      </c>
      <c r="BH300" s="17"/>
      <c r="BI300" s="17">
        <v>491.38838108350484</v>
      </c>
      <c r="BJ300" s="17"/>
      <c r="BK300" s="17">
        <v>486.9775799592623</v>
      </c>
      <c r="BL300" s="17"/>
      <c r="BM300" s="17">
        <v>451.84291132735586</v>
      </c>
      <c r="BN300" s="17"/>
      <c r="BO300" s="17"/>
      <c r="BP300" s="19">
        <v>478.88749338316359</v>
      </c>
      <c r="BQ300" s="17">
        <v>495.55524540123508</v>
      </c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9">
        <v>495.55524540123508</v>
      </c>
    </row>
    <row r="301" spans="2:81" s="22" customFormat="1" ht="14.5" outlineLevel="1" x14ac:dyDescent="0.35">
      <c r="B301" s="25" t="s">
        <v>233</v>
      </c>
      <c r="C301" s="23" t="s">
        <v>58</v>
      </c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1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>
        <v>500</v>
      </c>
      <c r="AC301" s="21">
        <v>500</v>
      </c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1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7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>
        <v>765.18999336298521</v>
      </c>
      <c r="BP301" s="37">
        <v>765.18999336298521</v>
      </c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7"/>
    </row>
    <row r="302" spans="2:81" s="22" customFormat="1" ht="14.5" outlineLevel="1" x14ac:dyDescent="0.35">
      <c r="B302" s="25" t="s">
        <v>233</v>
      </c>
      <c r="C302" s="23" t="s">
        <v>141</v>
      </c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1"/>
      <c r="Q302" s="20"/>
      <c r="R302" s="20"/>
      <c r="S302" s="20">
        <v>50</v>
      </c>
      <c r="T302" s="20"/>
      <c r="U302" s="20"/>
      <c r="V302" s="20"/>
      <c r="W302" s="20"/>
      <c r="X302" s="20"/>
      <c r="Y302" s="20"/>
      <c r="Z302" s="20"/>
      <c r="AA302" s="20"/>
      <c r="AB302" s="20"/>
      <c r="AC302" s="21">
        <v>50</v>
      </c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1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7"/>
      <c r="BD302" s="36"/>
      <c r="BE302" s="36"/>
      <c r="BF302" s="36">
        <v>656.83023920005371</v>
      </c>
      <c r="BG302" s="36"/>
      <c r="BH302" s="36"/>
      <c r="BI302" s="36"/>
      <c r="BJ302" s="36"/>
      <c r="BK302" s="36"/>
      <c r="BL302" s="36"/>
      <c r="BM302" s="36"/>
      <c r="BN302" s="36"/>
      <c r="BO302" s="36"/>
      <c r="BP302" s="37">
        <v>656.83023920005371</v>
      </c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7"/>
    </row>
    <row r="303" spans="2:81" s="22" customFormat="1" ht="14.5" outlineLevel="1" x14ac:dyDescent="0.35">
      <c r="B303" s="25" t="s">
        <v>233</v>
      </c>
      <c r="C303" s="23" t="s">
        <v>25</v>
      </c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1"/>
      <c r="Q303" s="20"/>
      <c r="R303" s="20"/>
      <c r="S303" s="20"/>
      <c r="T303" s="20">
        <v>25</v>
      </c>
      <c r="U303" s="20"/>
      <c r="V303" s="20"/>
      <c r="W303" s="20"/>
      <c r="X303" s="20"/>
      <c r="Y303" s="20"/>
      <c r="Z303" s="20"/>
      <c r="AA303" s="20"/>
      <c r="AB303" s="20"/>
      <c r="AC303" s="21">
        <v>25</v>
      </c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1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7"/>
      <c r="BD303" s="36"/>
      <c r="BE303" s="36"/>
      <c r="BF303" s="36"/>
      <c r="BG303" s="36">
        <v>584.31430757246051</v>
      </c>
      <c r="BH303" s="36"/>
      <c r="BI303" s="36"/>
      <c r="BJ303" s="36"/>
      <c r="BK303" s="36"/>
      <c r="BL303" s="36"/>
      <c r="BM303" s="36"/>
      <c r="BN303" s="36"/>
      <c r="BO303" s="36"/>
      <c r="BP303" s="37">
        <v>584.31430757246051</v>
      </c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7"/>
    </row>
    <row r="304" spans="2:81" s="22" customFormat="1" ht="14.5" outlineLevel="1" x14ac:dyDescent="0.35">
      <c r="B304" s="25" t="s">
        <v>233</v>
      </c>
      <c r="C304" s="23" t="s">
        <v>210</v>
      </c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1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1"/>
      <c r="AD304" s="20"/>
      <c r="AE304" s="20"/>
      <c r="AF304" s="20"/>
      <c r="AG304" s="20">
        <v>50</v>
      </c>
      <c r="AH304" s="20"/>
      <c r="AI304" s="20"/>
      <c r="AJ304" s="20"/>
      <c r="AK304" s="20"/>
      <c r="AL304" s="20"/>
      <c r="AM304" s="20"/>
      <c r="AN304" s="20"/>
      <c r="AO304" s="20"/>
      <c r="AP304" s="21">
        <v>50</v>
      </c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7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7"/>
      <c r="BQ304" s="36"/>
      <c r="BR304" s="36"/>
      <c r="BS304" s="36"/>
      <c r="BT304" s="36">
        <v>647.61369130672961</v>
      </c>
      <c r="BU304" s="36"/>
      <c r="BV304" s="36"/>
      <c r="BW304" s="36"/>
      <c r="BX304" s="36"/>
      <c r="BY304" s="36"/>
      <c r="BZ304" s="36"/>
      <c r="CA304" s="36"/>
      <c r="CB304" s="36"/>
      <c r="CC304" s="37">
        <v>647.61369130672961</v>
      </c>
    </row>
    <row r="305" spans="2:81" ht="14.5" x14ac:dyDescent="0.35">
      <c r="B305" s="15" t="s">
        <v>234</v>
      </c>
      <c r="C305" s="1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8"/>
      <c r="Q305" s="17"/>
      <c r="R305" s="17"/>
      <c r="S305" s="17">
        <v>50</v>
      </c>
      <c r="T305" s="17">
        <v>25</v>
      </c>
      <c r="U305" s="17"/>
      <c r="V305" s="17"/>
      <c r="W305" s="17"/>
      <c r="X305" s="17"/>
      <c r="Y305" s="17"/>
      <c r="Z305" s="17"/>
      <c r="AA305" s="17"/>
      <c r="AB305" s="17">
        <v>500</v>
      </c>
      <c r="AC305" s="18">
        <v>575</v>
      </c>
      <c r="AD305" s="17"/>
      <c r="AE305" s="17"/>
      <c r="AF305" s="17"/>
      <c r="AG305" s="17">
        <v>50</v>
      </c>
      <c r="AH305" s="17"/>
      <c r="AI305" s="17"/>
      <c r="AJ305" s="17"/>
      <c r="AK305" s="17"/>
      <c r="AL305" s="17"/>
      <c r="AM305" s="17"/>
      <c r="AN305" s="17"/>
      <c r="AO305" s="17"/>
      <c r="AP305" s="18">
        <v>50</v>
      </c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9"/>
      <c r="BD305" s="17"/>
      <c r="BE305" s="17"/>
      <c r="BF305" s="17">
        <v>656.83023920005371</v>
      </c>
      <c r="BG305" s="17">
        <v>584.31430757246051</v>
      </c>
      <c r="BH305" s="17"/>
      <c r="BI305" s="17"/>
      <c r="BJ305" s="17"/>
      <c r="BK305" s="17"/>
      <c r="BL305" s="17"/>
      <c r="BM305" s="17"/>
      <c r="BN305" s="17"/>
      <c r="BO305" s="17">
        <v>765.18999336298521</v>
      </c>
      <c r="BP305" s="19">
        <v>747.90324579270737</v>
      </c>
      <c r="BQ305" s="17"/>
      <c r="BR305" s="17"/>
      <c r="BS305" s="17"/>
      <c r="BT305" s="17">
        <v>647.61369130672961</v>
      </c>
      <c r="BU305" s="17"/>
      <c r="BV305" s="17"/>
      <c r="BW305" s="17"/>
      <c r="BX305" s="17"/>
      <c r="BY305" s="17"/>
      <c r="BZ305" s="17"/>
      <c r="CA305" s="17"/>
      <c r="CB305" s="17"/>
      <c r="CC305" s="19">
        <v>647.61369130672961</v>
      </c>
    </row>
    <row r="306" spans="2:81" s="22" customFormat="1" ht="14.5" outlineLevel="1" x14ac:dyDescent="0.35">
      <c r="B306" s="25" t="s">
        <v>235</v>
      </c>
      <c r="C306" s="23" t="s">
        <v>58</v>
      </c>
      <c r="D306" s="20">
        <v>35250</v>
      </c>
      <c r="E306" s="20"/>
      <c r="F306" s="20"/>
      <c r="G306" s="20"/>
      <c r="H306" s="20"/>
      <c r="I306" s="20"/>
      <c r="J306" s="20"/>
      <c r="K306" s="20"/>
      <c r="L306" s="20"/>
      <c r="M306" s="20">
        <v>4500</v>
      </c>
      <c r="N306" s="20"/>
      <c r="O306" s="20"/>
      <c r="P306" s="21">
        <v>39750</v>
      </c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1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1"/>
      <c r="AQ306" s="36">
        <v>131.28167941491571</v>
      </c>
      <c r="AR306" s="36"/>
      <c r="AS306" s="36"/>
      <c r="AT306" s="36"/>
      <c r="AU306" s="36"/>
      <c r="AV306" s="36"/>
      <c r="AW306" s="36"/>
      <c r="AX306" s="36"/>
      <c r="AY306" s="36"/>
      <c r="AZ306" s="36">
        <v>129.14333125006723</v>
      </c>
      <c r="BA306" s="36"/>
      <c r="BB306" s="36"/>
      <c r="BC306" s="37">
        <v>131.03960226417817</v>
      </c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7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7"/>
    </row>
    <row r="307" spans="2:81" ht="14.5" x14ac:dyDescent="0.35">
      <c r="B307" s="15" t="s">
        <v>236</v>
      </c>
      <c r="C307" s="16"/>
      <c r="D307" s="17">
        <v>35250</v>
      </c>
      <c r="E307" s="17"/>
      <c r="F307" s="17"/>
      <c r="G307" s="17"/>
      <c r="H307" s="17"/>
      <c r="I307" s="17"/>
      <c r="J307" s="17"/>
      <c r="K307" s="17"/>
      <c r="L307" s="17"/>
      <c r="M307" s="17">
        <v>4500</v>
      </c>
      <c r="N307" s="17"/>
      <c r="O307" s="17"/>
      <c r="P307" s="18">
        <v>39750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8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8"/>
      <c r="AQ307" s="17">
        <v>131.28167941491571</v>
      </c>
      <c r="AR307" s="17"/>
      <c r="AS307" s="17"/>
      <c r="AT307" s="17"/>
      <c r="AU307" s="17"/>
      <c r="AV307" s="17"/>
      <c r="AW307" s="17"/>
      <c r="AX307" s="17"/>
      <c r="AY307" s="17"/>
      <c r="AZ307" s="17">
        <v>129.14333125006723</v>
      </c>
      <c r="BA307" s="17"/>
      <c r="BB307" s="17"/>
      <c r="BC307" s="19">
        <v>131.03960226417817</v>
      </c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9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9"/>
    </row>
    <row r="308" spans="2:81" s="22" customFormat="1" ht="14.5" outlineLevel="1" x14ac:dyDescent="0.35">
      <c r="B308" s="25" t="s">
        <v>237</v>
      </c>
      <c r="C308" s="23" t="s">
        <v>58</v>
      </c>
      <c r="D308" s="20">
        <v>49250</v>
      </c>
      <c r="E308" s="20"/>
      <c r="F308" s="20"/>
      <c r="G308" s="20"/>
      <c r="H308" s="20"/>
      <c r="I308" s="20"/>
      <c r="J308" s="20"/>
      <c r="K308" s="20"/>
      <c r="L308" s="20"/>
      <c r="M308" s="20">
        <v>3750</v>
      </c>
      <c r="N308" s="20"/>
      <c r="O308" s="20"/>
      <c r="P308" s="21">
        <v>53000</v>
      </c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1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1"/>
      <c r="AQ308" s="36">
        <v>131.28167941491571</v>
      </c>
      <c r="AR308" s="36"/>
      <c r="AS308" s="36"/>
      <c r="AT308" s="36"/>
      <c r="AU308" s="36"/>
      <c r="AV308" s="36"/>
      <c r="AW308" s="36"/>
      <c r="AX308" s="36"/>
      <c r="AY308" s="36"/>
      <c r="AZ308" s="36">
        <v>129.14333125006723</v>
      </c>
      <c r="BA308" s="36"/>
      <c r="BB308" s="36"/>
      <c r="BC308" s="37">
        <v>131.13038119570476</v>
      </c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7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7"/>
    </row>
    <row r="309" spans="2:81" ht="14.5" x14ac:dyDescent="0.35">
      <c r="B309" s="15" t="s">
        <v>238</v>
      </c>
      <c r="C309" s="16"/>
      <c r="D309" s="17">
        <v>49250</v>
      </c>
      <c r="E309" s="17"/>
      <c r="F309" s="17"/>
      <c r="G309" s="17"/>
      <c r="H309" s="17"/>
      <c r="I309" s="17"/>
      <c r="J309" s="17"/>
      <c r="K309" s="17"/>
      <c r="L309" s="17"/>
      <c r="M309" s="17">
        <v>3750</v>
      </c>
      <c r="N309" s="17"/>
      <c r="O309" s="17"/>
      <c r="P309" s="18">
        <v>53000</v>
      </c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8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8"/>
      <c r="AQ309" s="17">
        <v>131.28167941491571</v>
      </c>
      <c r="AR309" s="17"/>
      <c r="AS309" s="17"/>
      <c r="AT309" s="17"/>
      <c r="AU309" s="17"/>
      <c r="AV309" s="17"/>
      <c r="AW309" s="17"/>
      <c r="AX309" s="17"/>
      <c r="AY309" s="17"/>
      <c r="AZ309" s="17">
        <v>129.14333125006723</v>
      </c>
      <c r="BA309" s="17"/>
      <c r="BB309" s="17"/>
      <c r="BC309" s="19">
        <v>131.13038119570476</v>
      </c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9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9"/>
    </row>
    <row r="310" spans="2:81" s="22" customFormat="1" ht="14.5" outlineLevel="1" x14ac:dyDescent="0.35">
      <c r="B310" s="25" t="s">
        <v>239</v>
      </c>
      <c r="C310" s="23" t="s">
        <v>58</v>
      </c>
      <c r="D310" s="20">
        <v>14250</v>
      </c>
      <c r="E310" s="20"/>
      <c r="F310" s="20"/>
      <c r="G310" s="20"/>
      <c r="H310" s="20"/>
      <c r="I310" s="20"/>
      <c r="J310" s="20"/>
      <c r="K310" s="20"/>
      <c r="L310" s="20"/>
      <c r="M310" s="20">
        <v>1500</v>
      </c>
      <c r="N310" s="20"/>
      <c r="O310" s="20"/>
      <c r="P310" s="21">
        <v>15750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1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1"/>
      <c r="AQ310" s="36">
        <v>131.28167941491571</v>
      </c>
      <c r="AR310" s="36"/>
      <c r="AS310" s="36"/>
      <c r="AT310" s="36"/>
      <c r="AU310" s="36"/>
      <c r="AV310" s="36"/>
      <c r="AW310" s="36"/>
      <c r="AX310" s="36"/>
      <c r="AY310" s="36"/>
      <c r="AZ310" s="36">
        <v>129.14333125006723</v>
      </c>
      <c r="BA310" s="36"/>
      <c r="BB310" s="36"/>
      <c r="BC310" s="37">
        <v>131.07802720873968</v>
      </c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7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7"/>
    </row>
    <row r="311" spans="2:81" ht="14.5" x14ac:dyDescent="0.35">
      <c r="B311" s="15" t="s">
        <v>240</v>
      </c>
      <c r="C311" s="16"/>
      <c r="D311" s="17">
        <v>14250</v>
      </c>
      <c r="E311" s="17"/>
      <c r="F311" s="17"/>
      <c r="G311" s="17"/>
      <c r="H311" s="17"/>
      <c r="I311" s="17"/>
      <c r="J311" s="17"/>
      <c r="K311" s="17"/>
      <c r="L311" s="17"/>
      <c r="M311" s="17">
        <v>1500</v>
      </c>
      <c r="N311" s="17"/>
      <c r="O311" s="17"/>
      <c r="P311" s="18">
        <v>15750</v>
      </c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8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8"/>
      <c r="AQ311" s="17">
        <v>131.28167941491571</v>
      </c>
      <c r="AR311" s="17"/>
      <c r="AS311" s="17"/>
      <c r="AT311" s="17"/>
      <c r="AU311" s="17"/>
      <c r="AV311" s="17"/>
      <c r="AW311" s="17"/>
      <c r="AX311" s="17"/>
      <c r="AY311" s="17"/>
      <c r="AZ311" s="17">
        <v>129.14333125006723</v>
      </c>
      <c r="BA311" s="17"/>
      <c r="BB311" s="17"/>
      <c r="BC311" s="19">
        <v>131.07802720873968</v>
      </c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9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9"/>
    </row>
    <row r="312" spans="2:81" s="22" customFormat="1" ht="14.5" outlineLevel="1" x14ac:dyDescent="0.35">
      <c r="B312" s="25" t="s">
        <v>241</v>
      </c>
      <c r="C312" s="23" t="s">
        <v>58</v>
      </c>
      <c r="D312" s="20">
        <v>34250</v>
      </c>
      <c r="E312" s="20"/>
      <c r="F312" s="20"/>
      <c r="G312" s="20"/>
      <c r="H312" s="20"/>
      <c r="I312" s="20"/>
      <c r="J312" s="20"/>
      <c r="K312" s="20"/>
      <c r="L312" s="20"/>
      <c r="M312" s="20">
        <v>1500</v>
      </c>
      <c r="N312" s="20"/>
      <c r="O312" s="20"/>
      <c r="P312" s="21">
        <v>35750</v>
      </c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1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1"/>
      <c r="AQ312" s="36">
        <v>131.28167941491571</v>
      </c>
      <c r="AR312" s="36"/>
      <c r="AS312" s="36"/>
      <c r="AT312" s="36"/>
      <c r="AU312" s="36"/>
      <c r="AV312" s="36"/>
      <c r="AW312" s="36"/>
      <c r="AX312" s="36"/>
      <c r="AY312" s="36"/>
      <c r="AZ312" s="36">
        <v>129.14333125006723</v>
      </c>
      <c r="BA312" s="36"/>
      <c r="BB312" s="36"/>
      <c r="BC312" s="37">
        <v>131.1919585128941</v>
      </c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7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7"/>
    </row>
    <row r="313" spans="2:81" ht="14.5" x14ac:dyDescent="0.35">
      <c r="B313" s="15" t="s">
        <v>242</v>
      </c>
      <c r="C313" s="16"/>
      <c r="D313" s="17">
        <v>34250</v>
      </c>
      <c r="E313" s="17"/>
      <c r="F313" s="17"/>
      <c r="G313" s="17"/>
      <c r="H313" s="17"/>
      <c r="I313" s="17"/>
      <c r="J313" s="17"/>
      <c r="K313" s="17"/>
      <c r="L313" s="17"/>
      <c r="M313" s="17">
        <v>1500</v>
      </c>
      <c r="N313" s="17"/>
      <c r="O313" s="17"/>
      <c r="P313" s="18">
        <v>35750</v>
      </c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8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8"/>
      <c r="AQ313" s="17">
        <v>131.28167941491571</v>
      </c>
      <c r="AR313" s="17"/>
      <c r="AS313" s="17"/>
      <c r="AT313" s="17"/>
      <c r="AU313" s="17"/>
      <c r="AV313" s="17"/>
      <c r="AW313" s="17"/>
      <c r="AX313" s="17"/>
      <c r="AY313" s="17"/>
      <c r="AZ313" s="17">
        <v>129.14333125006723</v>
      </c>
      <c r="BA313" s="17"/>
      <c r="BB313" s="17"/>
      <c r="BC313" s="19">
        <v>131.1919585128941</v>
      </c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9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9"/>
    </row>
    <row r="314" spans="2:81" s="22" customFormat="1" ht="14.5" outlineLevel="1" x14ac:dyDescent="0.35">
      <c r="B314" s="25" t="s">
        <v>243</v>
      </c>
      <c r="C314" s="23" t="s">
        <v>58</v>
      </c>
      <c r="D314" s="20">
        <v>6000</v>
      </c>
      <c r="E314" s="20"/>
      <c r="F314" s="20"/>
      <c r="G314" s="20"/>
      <c r="H314" s="20"/>
      <c r="I314" s="20"/>
      <c r="J314" s="20"/>
      <c r="K314" s="20"/>
      <c r="L314" s="20"/>
      <c r="M314" s="20">
        <v>1500</v>
      </c>
      <c r="N314" s="20"/>
      <c r="O314" s="20"/>
      <c r="P314" s="21">
        <v>7500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1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1"/>
      <c r="AQ314" s="36">
        <v>131.28167941491574</v>
      </c>
      <c r="AR314" s="36"/>
      <c r="AS314" s="36"/>
      <c r="AT314" s="36"/>
      <c r="AU314" s="36"/>
      <c r="AV314" s="36"/>
      <c r="AW314" s="36"/>
      <c r="AX314" s="36"/>
      <c r="AY314" s="36"/>
      <c r="AZ314" s="36">
        <v>129.14333125006723</v>
      </c>
      <c r="BA314" s="36"/>
      <c r="BB314" s="36"/>
      <c r="BC314" s="37">
        <v>130.85400978194602</v>
      </c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7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7"/>
    </row>
    <row r="315" spans="2:81" ht="14.5" x14ac:dyDescent="0.35">
      <c r="B315" s="15" t="s">
        <v>244</v>
      </c>
      <c r="C315" s="16"/>
      <c r="D315" s="17">
        <v>6000</v>
      </c>
      <c r="E315" s="17"/>
      <c r="F315" s="17"/>
      <c r="G315" s="17"/>
      <c r="H315" s="17"/>
      <c r="I315" s="17"/>
      <c r="J315" s="17"/>
      <c r="K315" s="17"/>
      <c r="L315" s="17"/>
      <c r="M315" s="17">
        <v>1500</v>
      </c>
      <c r="N315" s="17"/>
      <c r="O315" s="17"/>
      <c r="P315" s="18">
        <v>7500</v>
      </c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8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8"/>
      <c r="AQ315" s="17">
        <v>131.28167941491574</v>
      </c>
      <c r="AR315" s="17"/>
      <c r="AS315" s="17"/>
      <c r="AT315" s="17"/>
      <c r="AU315" s="17"/>
      <c r="AV315" s="17"/>
      <c r="AW315" s="17"/>
      <c r="AX315" s="17"/>
      <c r="AY315" s="17"/>
      <c r="AZ315" s="17">
        <v>129.14333125006723</v>
      </c>
      <c r="BA315" s="17"/>
      <c r="BB315" s="17"/>
      <c r="BC315" s="19">
        <v>130.85400978194602</v>
      </c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9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9"/>
    </row>
    <row r="316" spans="2:81" s="22" customFormat="1" ht="14.5" outlineLevel="1" x14ac:dyDescent="0.35">
      <c r="B316" s="25" t="s">
        <v>245</v>
      </c>
      <c r="C316" s="23" t="s">
        <v>58</v>
      </c>
      <c r="D316" s="20"/>
      <c r="E316" s="20"/>
      <c r="F316" s="20"/>
      <c r="G316" s="20"/>
      <c r="H316" s="20"/>
      <c r="I316" s="20"/>
      <c r="J316" s="20"/>
      <c r="K316" s="20"/>
      <c r="L316" s="20"/>
      <c r="M316" s="20">
        <v>13750</v>
      </c>
      <c r="N316" s="20"/>
      <c r="O316" s="20"/>
      <c r="P316" s="21">
        <v>13750</v>
      </c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1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1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>
        <v>129.14333125006723</v>
      </c>
      <c r="BA316" s="36"/>
      <c r="BB316" s="36"/>
      <c r="BC316" s="37">
        <v>129.14333125006723</v>
      </c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7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7"/>
    </row>
    <row r="317" spans="2:81" ht="14.5" x14ac:dyDescent="0.35">
      <c r="B317" s="15" t="s">
        <v>246</v>
      </c>
      <c r="C317" s="16"/>
      <c r="D317" s="17"/>
      <c r="E317" s="17"/>
      <c r="F317" s="17"/>
      <c r="G317" s="17"/>
      <c r="H317" s="17"/>
      <c r="I317" s="17"/>
      <c r="J317" s="17"/>
      <c r="K317" s="17"/>
      <c r="L317" s="17"/>
      <c r="M317" s="17">
        <v>13750</v>
      </c>
      <c r="N317" s="17"/>
      <c r="O317" s="17"/>
      <c r="P317" s="18">
        <v>13750</v>
      </c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8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8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>
        <v>129.14333125006723</v>
      </c>
      <c r="BA317" s="17"/>
      <c r="BB317" s="17"/>
      <c r="BC317" s="19">
        <v>129.14333125006723</v>
      </c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9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9"/>
    </row>
    <row r="318" spans="2:81" s="22" customFormat="1" ht="14.5" outlineLevel="1" x14ac:dyDescent="0.35">
      <c r="B318" s="25" t="s">
        <v>247</v>
      </c>
      <c r="C318" s="23" t="s">
        <v>58</v>
      </c>
      <c r="D318" s="20"/>
      <c r="E318" s="20"/>
      <c r="F318" s="20"/>
      <c r="G318" s="20"/>
      <c r="H318" s="20"/>
      <c r="I318" s="20"/>
      <c r="J318" s="20"/>
      <c r="K318" s="20"/>
      <c r="L318" s="20"/>
      <c r="M318" s="20">
        <v>12750</v>
      </c>
      <c r="N318" s="20"/>
      <c r="O318" s="20"/>
      <c r="P318" s="21">
        <v>12750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1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1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>
        <v>129.14333125006723</v>
      </c>
      <c r="BA318" s="36"/>
      <c r="BB318" s="36"/>
      <c r="BC318" s="37">
        <v>129.14333125006723</v>
      </c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7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7"/>
    </row>
    <row r="319" spans="2:81" ht="14.5" x14ac:dyDescent="0.35">
      <c r="B319" s="15" t="s">
        <v>248</v>
      </c>
      <c r="C319" s="16"/>
      <c r="D319" s="17"/>
      <c r="E319" s="17"/>
      <c r="F319" s="17"/>
      <c r="G319" s="17"/>
      <c r="H319" s="17"/>
      <c r="I319" s="17"/>
      <c r="J319" s="17"/>
      <c r="K319" s="17"/>
      <c r="L319" s="17"/>
      <c r="M319" s="17">
        <v>12750</v>
      </c>
      <c r="N319" s="17"/>
      <c r="O319" s="17"/>
      <c r="P319" s="18">
        <v>12750</v>
      </c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8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8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>
        <v>129.14333125006723</v>
      </c>
      <c r="BA319" s="17"/>
      <c r="BB319" s="17"/>
      <c r="BC319" s="19">
        <v>129.14333125006723</v>
      </c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9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9"/>
    </row>
    <row r="320" spans="2:81" s="22" customFormat="1" ht="14.5" outlineLevel="1" x14ac:dyDescent="0.35">
      <c r="B320" s="25" t="s">
        <v>249</v>
      </c>
      <c r="C320" s="23" t="s">
        <v>58</v>
      </c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1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1"/>
      <c r="AD320" s="20">
        <v>1500</v>
      </c>
      <c r="AE320" s="20"/>
      <c r="AF320" s="20">
        <v>1500</v>
      </c>
      <c r="AG320" s="20"/>
      <c r="AH320" s="20"/>
      <c r="AI320" s="20"/>
      <c r="AJ320" s="20"/>
      <c r="AK320" s="20"/>
      <c r="AL320" s="20"/>
      <c r="AM320" s="20"/>
      <c r="AN320" s="20"/>
      <c r="AO320" s="20"/>
      <c r="AP320" s="21">
        <v>3000</v>
      </c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7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7"/>
      <c r="BQ320" s="36">
        <v>838.63195375593625</v>
      </c>
      <c r="BR320" s="36"/>
      <c r="BS320" s="36">
        <v>839.40117482779237</v>
      </c>
      <c r="BT320" s="36"/>
      <c r="BU320" s="36"/>
      <c r="BV320" s="36"/>
      <c r="BW320" s="36"/>
      <c r="BX320" s="36"/>
      <c r="BY320" s="36"/>
      <c r="BZ320" s="36"/>
      <c r="CA320" s="36"/>
      <c r="CB320" s="36"/>
      <c r="CC320" s="37">
        <v>839.01656429186437</v>
      </c>
    </row>
    <row r="321" spans="2:81" s="22" customFormat="1" ht="14.5" outlineLevel="1" x14ac:dyDescent="0.35">
      <c r="B321" s="25" t="s">
        <v>249</v>
      </c>
      <c r="C321" s="23" t="s">
        <v>147</v>
      </c>
      <c r="D321" s="20"/>
      <c r="E321" s="20"/>
      <c r="F321" s="20">
        <v>39000</v>
      </c>
      <c r="G321" s="20">
        <v>30500</v>
      </c>
      <c r="H321" s="20">
        <v>35250</v>
      </c>
      <c r="I321" s="20">
        <v>5250</v>
      </c>
      <c r="J321" s="20"/>
      <c r="K321" s="20"/>
      <c r="L321" s="20"/>
      <c r="M321" s="20"/>
      <c r="N321" s="20"/>
      <c r="O321" s="20"/>
      <c r="P321" s="21">
        <v>110000</v>
      </c>
      <c r="Q321" s="20"/>
      <c r="R321" s="20"/>
      <c r="S321" s="20">
        <v>5250</v>
      </c>
      <c r="T321" s="20"/>
      <c r="U321" s="20">
        <v>20250</v>
      </c>
      <c r="V321" s="20"/>
      <c r="W321" s="20">
        <v>9750</v>
      </c>
      <c r="X321" s="20"/>
      <c r="Y321" s="20"/>
      <c r="Z321" s="20"/>
      <c r="AA321" s="20"/>
      <c r="AB321" s="20"/>
      <c r="AC321" s="21">
        <v>35250</v>
      </c>
      <c r="AD321" s="20">
        <v>9750</v>
      </c>
      <c r="AE321" s="20"/>
      <c r="AF321" s="20">
        <v>20000</v>
      </c>
      <c r="AG321" s="20"/>
      <c r="AH321" s="20"/>
      <c r="AI321" s="20"/>
      <c r="AJ321" s="20"/>
      <c r="AK321" s="20"/>
      <c r="AL321" s="20"/>
      <c r="AM321" s="20"/>
      <c r="AN321" s="20"/>
      <c r="AO321" s="20"/>
      <c r="AP321" s="21">
        <v>29750</v>
      </c>
      <c r="AQ321" s="36"/>
      <c r="AR321" s="36"/>
      <c r="AS321" s="36">
        <v>888.01464220904484</v>
      </c>
      <c r="AT321" s="36">
        <v>871.09306158739923</v>
      </c>
      <c r="AU321" s="36">
        <v>864.45386642273354</v>
      </c>
      <c r="AV321" s="36">
        <v>864.01674726135354</v>
      </c>
      <c r="AW321" s="36"/>
      <c r="AX321" s="36"/>
      <c r="AY321" s="36"/>
      <c r="AZ321" s="36"/>
      <c r="BA321" s="36"/>
      <c r="BB321" s="36"/>
      <c r="BC321" s="37">
        <v>874.62723762810799</v>
      </c>
      <c r="BD321" s="36"/>
      <c r="BE321" s="36"/>
      <c r="BF321" s="36">
        <v>720.83152622865066</v>
      </c>
      <c r="BG321" s="36"/>
      <c r="BH321" s="36">
        <v>691.68691229639023</v>
      </c>
      <c r="BI321" s="36"/>
      <c r="BJ321" s="36">
        <v>686.12567366567862</v>
      </c>
      <c r="BK321" s="36"/>
      <c r="BL321" s="36"/>
      <c r="BM321" s="36"/>
      <c r="BN321" s="36"/>
      <c r="BO321" s="36"/>
      <c r="BP321" s="37">
        <v>694.48938453738117</v>
      </c>
      <c r="BQ321" s="36">
        <v>645.07010943936632</v>
      </c>
      <c r="BR321" s="36"/>
      <c r="BS321" s="36">
        <v>646.31051963056689</v>
      </c>
      <c r="BT321" s="36"/>
      <c r="BU321" s="36"/>
      <c r="BV321" s="36"/>
      <c r="BW321" s="36"/>
      <c r="BX321" s="36"/>
      <c r="BY321" s="36"/>
      <c r="BZ321" s="36"/>
      <c r="CA321" s="36"/>
      <c r="CB321" s="36"/>
      <c r="CC321" s="37">
        <v>645.90399864353481</v>
      </c>
    </row>
    <row r="322" spans="2:81" s="22" customFormat="1" ht="14.5" outlineLevel="1" x14ac:dyDescent="0.35">
      <c r="B322" s="25" t="s">
        <v>249</v>
      </c>
      <c r="C322" s="23" t="s">
        <v>197</v>
      </c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1"/>
      <c r="Q322" s="20"/>
      <c r="R322" s="20"/>
      <c r="S322" s="20"/>
      <c r="T322" s="20">
        <v>100</v>
      </c>
      <c r="U322" s="20"/>
      <c r="V322" s="20"/>
      <c r="W322" s="20"/>
      <c r="X322" s="20"/>
      <c r="Y322" s="20"/>
      <c r="Z322" s="20"/>
      <c r="AA322" s="20"/>
      <c r="AB322" s="20"/>
      <c r="AC322" s="21">
        <v>100</v>
      </c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1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7"/>
      <c r="BD322" s="36"/>
      <c r="BE322" s="36"/>
      <c r="BF322" s="36"/>
      <c r="BG322" s="36">
        <v>787.71801346715108</v>
      </c>
      <c r="BH322" s="36"/>
      <c r="BI322" s="36"/>
      <c r="BJ322" s="36"/>
      <c r="BK322" s="36"/>
      <c r="BL322" s="36"/>
      <c r="BM322" s="36"/>
      <c r="BN322" s="36"/>
      <c r="BO322" s="36"/>
      <c r="BP322" s="37">
        <v>787.71801346715108</v>
      </c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7"/>
    </row>
    <row r="323" spans="2:81" s="22" customFormat="1" ht="14.5" outlineLevel="1" x14ac:dyDescent="0.35">
      <c r="B323" s="25" t="s">
        <v>249</v>
      </c>
      <c r="C323" s="23" t="s">
        <v>215</v>
      </c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1"/>
      <c r="Q323" s="20"/>
      <c r="R323" s="20"/>
      <c r="S323" s="20"/>
      <c r="T323" s="20"/>
      <c r="U323" s="20"/>
      <c r="V323" s="20"/>
      <c r="W323" s="20">
        <v>6000</v>
      </c>
      <c r="X323" s="20"/>
      <c r="Y323" s="20">
        <v>6000</v>
      </c>
      <c r="Z323" s="20"/>
      <c r="AA323" s="20"/>
      <c r="AB323" s="20"/>
      <c r="AC323" s="21">
        <v>12000</v>
      </c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1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7"/>
      <c r="BD323" s="36"/>
      <c r="BE323" s="36"/>
      <c r="BF323" s="36"/>
      <c r="BG323" s="36"/>
      <c r="BH323" s="36"/>
      <c r="BI323" s="36"/>
      <c r="BJ323" s="36">
        <v>614.86786915299103</v>
      </c>
      <c r="BK323" s="36"/>
      <c r="BL323" s="36">
        <v>609.83931082485299</v>
      </c>
      <c r="BM323" s="36"/>
      <c r="BN323" s="36"/>
      <c r="BO323" s="36"/>
      <c r="BP323" s="37">
        <v>612.35358998892207</v>
      </c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7"/>
    </row>
    <row r="324" spans="2:81" s="22" customFormat="1" ht="14.5" outlineLevel="1" x14ac:dyDescent="0.35">
      <c r="B324" s="25" t="s">
        <v>249</v>
      </c>
      <c r="C324" s="23" t="s">
        <v>211</v>
      </c>
      <c r="D324" s="20">
        <v>15000</v>
      </c>
      <c r="E324" s="20">
        <v>15000</v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1">
        <v>30000</v>
      </c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1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1"/>
      <c r="AQ324" s="36">
        <v>806.41605980168924</v>
      </c>
      <c r="AR324" s="36">
        <v>802.14464334248976</v>
      </c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7">
        <v>804.28035157208967</v>
      </c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7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7"/>
    </row>
    <row r="325" spans="2:81" ht="14.5" x14ac:dyDescent="0.35">
      <c r="B325" s="15" t="s">
        <v>250</v>
      </c>
      <c r="C325" s="16"/>
      <c r="D325" s="17">
        <v>15000</v>
      </c>
      <c r="E325" s="17">
        <v>15000</v>
      </c>
      <c r="F325" s="17">
        <v>39000</v>
      </c>
      <c r="G325" s="17">
        <v>30500</v>
      </c>
      <c r="H325" s="17">
        <v>35250</v>
      </c>
      <c r="I325" s="17">
        <v>5250</v>
      </c>
      <c r="J325" s="17"/>
      <c r="K325" s="17"/>
      <c r="L325" s="17"/>
      <c r="M325" s="17"/>
      <c r="N325" s="17"/>
      <c r="O325" s="17"/>
      <c r="P325" s="18">
        <v>140000</v>
      </c>
      <c r="Q325" s="17"/>
      <c r="R325" s="17"/>
      <c r="S325" s="17">
        <v>5250</v>
      </c>
      <c r="T325" s="17">
        <v>100</v>
      </c>
      <c r="U325" s="17">
        <v>20250</v>
      </c>
      <c r="V325" s="17"/>
      <c r="W325" s="17">
        <v>15750</v>
      </c>
      <c r="X325" s="17"/>
      <c r="Y325" s="17">
        <v>6000</v>
      </c>
      <c r="Z325" s="17"/>
      <c r="AA325" s="17"/>
      <c r="AB325" s="17"/>
      <c r="AC325" s="18">
        <v>47350</v>
      </c>
      <c r="AD325" s="17">
        <v>11250</v>
      </c>
      <c r="AE325" s="17"/>
      <c r="AF325" s="17">
        <v>21500</v>
      </c>
      <c r="AG325" s="17"/>
      <c r="AH325" s="17"/>
      <c r="AI325" s="17"/>
      <c r="AJ325" s="17"/>
      <c r="AK325" s="17"/>
      <c r="AL325" s="17"/>
      <c r="AM325" s="17"/>
      <c r="AN325" s="17"/>
      <c r="AO325" s="17"/>
      <c r="AP325" s="18">
        <v>32750</v>
      </c>
      <c r="AQ325" s="17">
        <v>806.41605980168924</v>
      </c>
      <c r="AR325" s="17">
        <v>802.14464334248976</v>
      </c>
      <c r="AS325" s="17">
        <v>888.01464220904484</v>
      </c>
      <c r="AT325" s="17">
        <v>871.09306158739923</v>
      </c>
      <c r="AU325" s="17">
        <v>864.45386642273354</v>
      </c>
      <c r="AV325" s="17">
        <v>864.01674726135354</v>
      </c>
      <c r="AW325" s="17"/>
      <c r="AX325" s="17"/>
      <c r="AY325" s="17"/>
      <c r="AZ325" s="17"/>
      <c r="BA325" s="17"/>
      <c r="BB325" s="17"/>
      <c r="BC325" s="19">
        <v>859.55290490181835</v>
      </c>
      <c r="BD325" s="17"/>
      <c r="BE325" s="17"/>
      <c r="BF325" s="17">
        <v>720.83152622865066</v>
      </c>
      <c r="BG325" s="17">
        <v>787.71801346715108</v>
      </c>
      <c r="BH325" s="17">
        <v>691.68691229639023</v>
      </c>
      <c r="BI325" s="17"/>
      <c r="BJ325" s="17">
        <v>658.97984337513105</v>
      </c>
      <c r="BK325" s="17"/>
      <c r="BL325" s="17">
        <v>609.83931082485299</v>
      </c>
      <c r="BM325" s="17"/>
      <c r="BN325" s="17"/>
      <c r="BO325" s="17"/>
      <c r="BP325" s="19">
        <v>673.87044743730667</v>
      </c>
      <c r="BQ325" s="17">
        <v>670.87835534824228</v>
      </c>
      <c r="BR325" s="17"/>
      <c r="BS325" s="17">
        <v>659.78196069083845</v>
      </c>
      <c r="BT325" s="17"/>
      <c r="BU325" s="17"/>
      <c r="BV325" s="17"/>
      <c r="BW325" s="17"/>
      <c r="BX325" s="17"/>
      <c r="BY325" s="17"/>
      <c r="BZ325" s="17"/>
      <c r="CA325" s="17"/>
      <c r="CB325" s="17"/>
      <c r="CC325" s="19">
        <v>663.59369931361084</v>
      </c>
    </row>
    <row r="326" spans="2:81" s="22" customFormat="1" ht="14.5" outlineLevel="1" x14ac:dyDescent="0.35">
      <c r="B326" s="25" t="s">
        <v>251</v>
      </c>
      <c r="C326" s="23" t="s">
        <v>197</v>
      </c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1"/>
      <c r="Q326" s="20"/>
      <c r="R326" s="20"/>
      <c r="S326" s="20"/>
      <c r="T326" s="20">
        <v>100</v>
      </c>
      <c r="U326" s="20"/>
      <c r="V326" s="20"/>
      <c r="W326" s="20"/>
      <c r="X326" s="20"/>
      <c r="Y326" s="20"/>
      <c r="Z326" s="20"/>
      <c r="AA326" s="20"/>
      <c r="AB326" s="20"/>
      <c r="AC326" s="21">
        <v>100</v>
      </c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1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7"/>
      <c r="BD326" s="36"/>
      <c r="BE326" s="36"/>
      <c r="BF326" s="36"/>
      <c r="BG326" s="36">
        <v>787.71801346715108</v>
      </c>
      <c r="BH326" s="36"/>
      <c r="BI326" s="36"/>
      <c r="BJ326" s="36"/>
      <c r="BK326" s="36"/>
      <c r="BL326" s="36"/>
      <c r="BM326" s="36"/>
      <c r="BN326" s="36"/>
      <c r="BO326" s="36"/>
      <c r="BP326" s="37">
        <v>787.71801346715108</v>
      </c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7"/>
    </row>
    <row r="327" spans="2:81" ht="14.5" x14ac:dyDescent="0.35">
      <c r="B327" s="15" t="s">
        <v>252</v>
      </c>
      <c r="C327" s="1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8"/>
      <c r="Q327" s="17"/>
      <c r="R327" s="17"/>
      <c r="S327" s="17"/>
      <c r="T327" s="17">
        <v>100</v>
      </c>
      <c r="U327" s="17"/>
      <c r="V327" s="17"/>
      <c r="W327" s="17"/>
      <c r="X327" s="17"/>
      <c r="Y327" s="17"/>
      <c r="Z327" s="17"/>
      <c r="AA327" s="17"/>
      <c r="AB327" s="17"/>
      <c r="AC327" s="18">
        <v>100</v>
      </c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8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9"/>
      <c r="BD327" s="17"/>
      <c r="BE327" s="17"/>
      <c r="BF327" s="17"/>
      <c r="BG327" s="17">
        <v>787.71801346715108</v>
      </c>
      <c r="BH327" s="17"/>
      <c r="BI327" s="17"/>
      <c r="BJ327" s="17"/>
      <c r="BK327" s="17"/>
      <c r="BL327" s="17"/>
      <c r="BM327" s="17"/>
      <c r="BN327" s="17"/>
      <c r="BO327" s="17"/>
      <c r="BP327" s="19">
        <v>787.71801346715108</v>
      </c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9"/>
    </row>
    <row r="328" spans="2:81" s="22" customFormat="1" ht="14.5" outlineLevel="1" x14ac:dyDescent="0.35">
      <c r="B328" s="25" t="s">
        <v>253</v>
      </c>
      <c r="C328" s="23" t="s">
        <v>5</v>
      </c>
      <c r="D328" s="20">
        <v>500</v>
      </c>
      <c r="E328" s="20"/>
      <c r="F328" s="20"/>
      <c r="G328" s="20"/>
      <c r="H328" s="20">
        <v>11000</v>
      </c>
      <c r="I328" s="20"/>
      <c r="J328" s="20"/>
      <c r="K328" s="20"/>
      <c r="L328" s="20"/>
      <c r="M328" s="20"/>
      <c r="N328" s="20">
        <v>5500</v>
      </c>
      <c r="O328" s="20">
        <v>300</v>
      </c>
      <c r="P328" s="21">
        <v>17300</v>
      </c>
      <c r="Q328" s="20"/>
      <c r="R328" s="20"/>
      <c r="S328" s="20"/>
      <c r="T328" s="20"/>
      <c r="U328" s="20">
        <v>25</v>
      </c>
      <c r="V328" s="20">
        <v>5500</v>
      </c>
      <c r="W328" s="20"/>
      <c r="X328" s="20"/>
      <c r="Y328" s="20"/>
      <c r="Z328" s="20"/>
      <c r="AA328" s="20"/>
      <c r="AB328" s="20"/>
      <c r="AC328" s="21">
        <v>5525</v>
      </c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1"/>
      <c r="AQ328" s="36">
        <v>1462.0676534339896</v>
      </c>
      <c r="AR328" s="36"/>
      <c r="AS328" s="36"/>
      <c r="AT328" s="36"/>
      <c r="AU328" s="36">
        <v>1338.2434719886903</v>
      </c>
      <c r="AV328" s="36"/>
      <c r="AW328" s="36"/>
      <c r="AX328" s="36"/>
      <c r="AY328" s="36"/>
      <c r="AZ328" s="36"/>
      <c r="BA328" s="36">
        <v>1326.5102771876827</v>
      </c>
      <c r="BB328" s="36">
        <v>1363.2553138736289</v>
      </c>
      <c r="BC328" s="37">
        <v>1338.5257304790134</v>
      </c>
      <c r="BD328" s="36"/>
      <c r="BE328" s="36"/>
      <c r="BF328" s="36"/>
      <c r="BG328" s="36"/>
      <c r="BH328" s="36">
        <v>1293.502368798197</v>
      </c>
      <c r="BI328" s="36">
        <v>1286.7109010754677</v>
      </c>
      <c r="BJ328" s="36"/>
      <c r="BK328" s="36"/>
      <c r="BL328" s="36"/>
      <c r="BM328" s="36"/>
      <c r="BN328" s="36"/>
      <c r="BO328" s="36"/>
      <c r="BP328" s="37">
        <v>1286.7416316986476</v>
      </c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7"/>
    </row>
    <row r="329" spans="2:81" s="22" customFormat="1" ht="14.5" outlineLevel="1" x14ac:dyDescent="0.35">
      <c r="B329" s="25" t="s">
        <v>253</v>
      </c>
      <c r="C329" s="23" t="s">
        <v>50</v>
      </c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1"/>
      <c r="Q329" s="20"/>
      <c r="R329" s="20"/>
      <c r="S329" s="20"/>
      <c r="T329" s="20"/>
      <c r="U329" s="20"/>
      <c r="V329" s="20"/>
      <c r="W329" s="20"/>
      <c r="X329" s="20"/>
      <c r="Y329" s="20"/>
      <c r="Z329" s="20">
        <v>2750</v>
      </c>
      <c r="AA329" s="20"/>
      <c r="AB329" s="20"/>
      <c r="AC329" s="21">
        <v>2750</v>
      </c>
      <c r="AD329" s="20"/>
      <c r="AE329" s="20"/>
      <c r="AF329" s="20"/>
      <c r="AG329" s="20">
        <v>28875</v>
      </c>
      <c r="AH329" s="20"/>
      <c r="AI329" s="20"/>
      <c r="AJ329" s="20"/>
      <c r="AK329" s="20"/>
      <c r="AL329" s="20"/>
      <c r="AM329" s="20"/>
      <c r="AN329" s="20"/>
      <c r="AO329" s="20"/>
      <c r="AP329" s="21">
        <v>28875</v>
      </c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7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>
        <v>1318.8009778280812</v>
      </c>
      <c r="BN329" s="36"/>
      <c r="BO329" s="36"/>
      <c r="BP329" s="37">
        <v>1318.8009778280812</v>
      </c>
      <c r="BQ329" s="36"/>
      <c r="BR329" s="36"/>
      <c r="BS329" s="36"/>
      <c r="BT329" s="36">
        <v>1278.5319541962931</v>
      </c>
      <c r="BU329" s="36"/>
      <c r="BV329" s="36"/>
      <c r="BW329" s="36"/>
      <c r="BX329" s="36"/>
      <c r="BY329" s="36"/>
      <c r="BZ329" s="36"/>
      <c r="CA329" s="36"/>
      <c r="CB329" s="36"/>
      <c r="CC329" s="37">
        <v>1278.5319541962931</v>
      </c>
    </row>
    <row r="330" spans="2:81" s="22" customFormat="1" ht="14.5" outlineLevel="1" x14ac:dyDescent="0.35">
      <c r="B330" s="25" t="s">
        <v>253</v>
      </c>
      <c r="C330" s="23" t="s">
        <v>54</v>
      </c>
      <c r="D330" s="20"/>
      <c r="E330" s="20"/>
      <c r="F330" s="20">
        <v>300</v>
      </c>
      <c r="G330" s="20"/>
      <c r="H330" s="20"/>
      <c r="I330" s="20"/>
      <c r="J330" s="20"/>
      <c r="K330" s="20">
        <v>5500</v>
      </c>
      <c r="L330" s="20">
        <v>5500</v>
      </c>
      <c r="M330" s="20"/>
      <c r="N330" s="20"/>
      <c r="O330" s="20"/>
      <c r="P330" s="21">
        <v>11300</v>
      </c>
      <c r="Q330" s="20">
        <v>5500</v>
      </c>
      <c r="R330" s="20">
        <v>5500</v>
      </c>
      <c r="S330" s="20">
        <v>5500</v>
      </c>
      <c r="T330" s="20"/>
      <c r="U330" s="20">
        <v>5500</v>
      </c>
      <c r="V330" s="20"/>
      <c r="W330" s="20">
        <v>9625</v>
      </c>
      <c r="X330" s="20"/>
      <c r="Y330" s="20">
        <v>5500</v>
      </c>
      <c r="Z330" s="20"/>
      <c r="AA330" s="20">
        <v>5500</v>
      </c>
      <c r="AB330" s="20">
        <v>11000</v>
      </c>
      <c r="AC330" s="21">
        <v>53625</v>
      </c>
      <c r="AD330" s="20">
        <v>60500</v>
      </c>
      <c r="AE330" s="20">
        <v>5500</v>
      </c>
      <c r="AF330" s="20">
        <v>66000</v>
      </c>
      <c r="AG330" s="20"/>
      <c r="AH330" s="20"/>
      <c r="AI330" s="20"/>
      <c r="AJ330" s="20"/>
      <c r="AK330" s="20"/>
      <c r="AL330" s="20"/>
      <c r="AM330" s="20"/>
      <c r="AN330" s="20"/>
      <c r="AO330" s="20"/>
      <c r="AP330" s="21">
        <v>132000</v>
      </c>
      <c r="AQ330" s="36"/>
      <c r="AR330" s="36"/>
      <c r="AS330" s="36">
        <v>1440.7384572807753</v>
      </c>
      <c r="AT330" s="36"/>
      <c r="AU330" s="36"/>
      <c r="AV330" s="36"/>
      <c r="AW330" s="36"/>
      <c r="AX330" s="36">
        <v>1358.9358677301955</v>
      </c>
      <c r="AY330" s="36">
        <v>1382.2716586188039</v>
      </c>
      <c r="AZ330" s="36"/>
      <c r="BA330" s="36"/>
      <c r="BB330" s="36"/>
      <c r="BC330" s="37">
        <v>1372.4657462038699</v>
      </c>
      <c r="BD330" s="36">
        <v>1340.2810513215195</v>
      </c>
      <c r="BE330" s="36">
        <v>1356.8312690403991</v>
      </c>
      <c r="BF330" s="36">
        <v>1351.3663179558805</v>
      </c>
      <c r="BG330" s="36"/>
      <c r="BH330" s="36">
        <v>1293.5023687981973</v>
      </c>
      <c r="BI330" s="36"/>
      <c r="BJ330" s="36">
        <v>1294.2971974046266</v>
      </c>
      <c r="BK330" s="36"/>
      <c r="BL330" s="36">
        <v>1298.1302234898835</v>
      </c>
      <c r="BM330" s="36"/>
      <c r="BN330" s="36">
        <v>1305.3331030566244</v>
      </c>
      <c r="BO330" s="36">
        <v>1320.5266310461716</v>
      </c>
      <c r="BP330" s="37">
        <v>1318.1043785859429</v>
      </c>
      <c r="BQ330" s="36">
        <v>1297.5542306317416</v>
      </c>
      <c r="BR330" s="36">
        <v>1310.070938634904</v>
      </c>
      <c r="BS330" s="36">
        <v>1298.7443904528736</v>
      </c>
      <c r="BT330" s="36"/>
      <c r="BU330" s="36"/>
      <c r="BV330" s="36"/>
      <c r="BW330" s="36"/>
      <c r="BX330" s="36"/>
      <c r="BY330" s="36"/>
      <c r="BZ330" s="36"/>
      <c r="CA330" s="36"/>
      <c r="CB330" s="36"/>
      <c r="CC330" s="37">
        <v>1298.6708400424393</v>
      </c>
    </row>
    <row r="331" spans="2:81" ht="14.5" x14ac:dyDescent="0.35">
      <c r="B331" s="15" t="s">
        <v>254</v>
      </c>
      <c r="C331" s="16"/>
      <c r="D331" s="17">
        <v>500</v>
      </c>
      <c r="E331" s="17"/>
      <c r="F331" s="17">
        <v>300</v>
      </c>
      <c r="G331" s="17"/>
      <c r="H331" s="17">
        <v>11000</v>
      </c>
      <c r="I331" s="17"/>
      <c r="J331" s="17"/>
      <c r="K331" s="17">
        <v>5500</v>
      </c>
      <c r="L331" s="17">
        <v>5500</v>
      </c>
      <c r="M331" s="17"/>
      <c r="N331" s="17">
        <v>5500</v>
      </c>
      <c r="O331" s="17">
        <v>300</v>
      </c>
      <c r="P331" s="18">
        <v>28600</v>
      </c>
      <c r="Q331" s="17">
        <v>5500</v>
      </c>
      <c r="R331" s="17">
        <v>5500</v>
      </c>
      <c r="S331" s="17">
        <v>5500</v>
      </c>
      <c r="T331" s="17"/>
      <c r="U331" s="17">
        <v>5525</v>
      </c>
      <c r="V331" s="17">
        <v>5500</v>
      </c>
      <c r="W331" s="17">
        <v>9625</v>
      </c>
      <c r="X331" s="17"/>
      <c r="Y331" s="17">
        <v>5500</v>
      </c>
      <c r="Z331" s="17">
        <v>2750</v>
      </c>
      <c r="AA331" s="17">
        <v>5500</v>
      </c>
      <c r="AB331" s="17">
        <v>11000</v>
      </c>
      <c r="AC331" s="18">
        <v>61900</v>
      </c>
      <c r="AD331" s="17">
        <v>60500</v>
      </c>
      <c r="AE331" s="17">
        <v>5500</v>
      </c>
      <c r="AF331" s="17">
        <v>66000</v>
      </c>
      <c r="AG331" s="17">
        <v>28875</v>
      </c>
      <c r="AH331" s="17"/>
      <c r="AI331" s="17"/>
      <c r="AJ331" s="17"/>
      <c r="AK331" s="17"/>
      <c r="AL331" s="17"/>
      <c r="AM331" s="17"/>
      <c r="AN331" s="17"/>
      <c r="AO331" s="17"/>
      <c r="AP331" s="18">
        <v>160875</v>
      </c>
      <c r="AQ331" s="17">
        <v>1462.0676534339896</v>
      </c>
      <c r="AR331" s="17"/>
      <c r="AS331" s="17">
        <v>1440.7384572807753</v>
      </c>
      <c r="AT331" s="17"/>
      <c r="AU331" s="17">
        <v>1338.2434719886903</v>
      </c>
      <c r="AV331" s="17"/>
      <c r="AW331" s="17"/>
      <c r="AX331" s="17">
        <v>1358.9358677301955</v>
      </c>
      <c r="AY331" s="17">
        <v>1382.2716586188039</v>
      </c>
      <c r="AZ331" s="17"/>
      <c r="BA331" s="17">
        <v>1326.5102771876827</v>
      </c>
      <c r="BB331" s="17">
        <v>1363.2553138736289</v>
      </c>
      <c r="BC331" s="19">
        <v>1351.9355968318414</v>
      </c>
      <c r="BD331" s="17">
        <v>1340.2810513215195</v>
      </c>
      <c r="BE331" s="17">
        <v>1356.8312690403991</v>
      </c>
      <c r="BF331" s="17">
        <v>1351.3663179558805</v>
      </c>
      <c r="BG331" s="17"/>
      <c r="BH331" s="17">
        <v>1293.502368798197</v>
      </c>
      <c r="BI331" s="17">
        <v>1286.7109010754677</v>
      </c>
      <c r="BJ331" s="17">
        <v>1294.2971974046266</v>
      </c>
      <c r="BK331" s="17"/>
      <c r="BL331" s="17">
        <v>1298.1302234898835</v>
      </c>
      <c r="BM331" s="17">
        <v>1318.8009778280812</v>
      </c>
      <c r="BN331" s="17">
        <v>1305.3331030566244</v>
      </c>
      <c r="BO331" s="17">
        <v>1320.5266310461716</v>
      </c>
      <c r="BP331" s="19">
        <v>1315.3359855546596</v>
      </c>
      <c r="BQ331" s="17">
        <v>1297.5542306317416</v>
      </c>
      <c r="BR331" s="17">
        <v>1310.070938634904</v>
      </c>
      <c r="BS331" s="17">
        <v>1298.7443904528736</v>
      </c>
      <c r="BT331" s="17">
        <v>1278.5319541962931</v>
      </c>
      <c r="BU331" s="17"/>
      <c r="BV331" s="17"/>
      <c r="BW331" s="17"/>
      <c r="BX331" s="17"/>
      <c r="BY331" s="17"/>
      <c r="BZ331" s="17"/>
      <c r="CA331" s="17"/>
      <c r="CB331" s="17"/>
      <c r="CC331" s="19">
        <v>1295.0561682239002</v>
      </c>
    </row>
    <row r="332" spans="2:81" s="22" customFormat="1" ht="14.5" outlineLevel="1" x14ac:dyDescent="0.35">
      <c r="B332" s="25" t="s">
        <v>255</v>
      </c>
      <c r="C332" s="23" t="s">
        <v>5</v>
      </c>
      <c r="D332" s="20"/>
      <c r="E332" s="20"/>
      <c r="F332" s="20">
        <v>33000</v>
      </c>
      <c r="G332" s="20">
        <v>17000</v>
      </c>
      <c r="H332" s="20"/>
      <c r="I332" s="20"/>
      <c r="J332" s="20"/>
      <c r="K332" s="20"/>
      <c r="L332" s="20"/>
      <c r="M332" s="20"/>
      <c r="N332" s="20"/>
      <c r="O332" s="20"/>
      <c r="P332" s="21">
        <v>50000</v>
      </c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1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1"/>
      <c r="AQ332" s="36"/>
      <c r="AR332" s="36"/>
      <c r="AS332" s="36">
        <v>1449.7285806412817</v>
      </c>
      <c r="AT332" s="36">
        <v>1422.4238864015933</v>
      </c>
      <c r="AU332" s="36"/>
      <c r="AV332" s="36"/>
      <c r="AW332" s="36"/>
      <c r="AX332" s="36"/>
      <c r="AY332" s="36"/>
      <c r="AZ332" s="36"/>
      <c r="BA332" s="36"/>
      <c r="BB332" s="36"/>
      <c r="BC332" s="37">
        <v>1440.4449845997876</v>
      </c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7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7"/>
    </row>
    <row r="333" spans="2:81" s="22" customFormat="1" ht="14.5" outlineLevel="1" x14ac:dyDescent="0.35">
      <c r="B333" s="25" t="s">
        <v>255</v>
      </c>
      <c r="C333" s="23" t="s">
        <v>51</v>
      </c>
      <c r="D333" s="20"/>
      <c r="E333" s="20"/>
      <c r="F333" s="20"/>
      <c r="G333" s="20"/>
      <c r="H333" s="20">
        <v>2500</v>
      </c>
      <c r="I333" s="20"/>
      <c r="J333" s="20"/>
      <c r="K333" s="20"/>
      <c r="L333" s="20"/>
      <c r="M333" s="20"/>
      <c r="N333" s="20"/>
      <c r="O333" s="20"/>
      <c r="P333" s="21">
        <v>2500</v>
      </c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1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1"/>
      <c r="AQ333" s="36"/>
      <c r="AR333" s="36"/>
      <c r="AS333" s="36"/>
      <c r="AT333" s="36"/>
      <c r="AU333" s="36">
        <v>1364.192602844287</v>
      </c>
      <c r="AV333" s="36"/>
      <c r="AW333" s="36"/>
      <c r="AX333" s="36"/>
      <c r="AY333" s="36"/>
      <c r="AZ333" s="36"/>
      <c r="BA333" s="36"/>
      <c r="BB333" s="36"/>
      <c r="BC333" s="37">
        <v>1364.192602844287</v>
      </c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7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7"/>
    </row>
    <row r="334" spans="2:81" s="22" customFormat="1" ht="14.5" outlineLevel="1" x14ac:dyDescent="0.35">
      <c r="B334" s="25" t="s">
        <v>255</v>
      </c>
      <c r="C334" s="23" t="s">
        <v>54</v>
      </c>
      <c r="D334" s="20"/>
      <c r="E334" s="20"/>
      <c r="F334" s="20"/>
      <c r="G334" s="20">
        <v>33000</v>
      </c>
      <c r="H334" s="20"/>
      <c r="I334" s="20">
        <v>27500</v>
      </c>
      <c r="J334" s="20">
        <v>11000</v>
      </c>
      <c r="K334" s="20">
        <v>16500</v>
      </c>
      <c r="L334" s="20">
        <v>27500</v>
      </c>
      <c r="M334" s="20">
        <v>33000</v>
      </c>
      <c r="N334" s="20">
        <v>11000</v>
      </c>
      <c r="O334" s="20">
        <v>27500</v>
      </c>
      <c r="P334" s="21">
        <v>187000</v>
      </c>
      <c r="Q334" s="20">
        <v>22000</v>
      </c>
      <c r="R334" s="20">
        <v>44000</v>
      </c>
      <c r="S334" s="20">
        <v>44000</v>
      </c>
      <c r="T334" s="20">
        <v>22000</v>
      </c>
      <c r="U334" s="20">
        <v>33000</v>
      </c>
      <c r="V334" s="20">
        <v>44000</v>
      </c>
      <c r="W334" s="20">
        <v>11000</v>
      </c>
      <c r="X334" s="20">
        <v>44000</v>
      </c>
      <c r="Y334" s="20">
        <v>33000</v>
      </c>
      <c r="Z334" s="20">
        <v>28875</v>
      </c>
      <c r="AA334" s="20">
        <v>22000</v>
      </c>
      <c r="AB334" s="20">
        <v>11000</v>
      </c>
      <c r="AC334" s="21">
        <v>358875</v>
      </c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1"/>
      <c r="AQ334" s="36"/>
      <c r="AR334" s="36"/>
      <c r="AS334" s="36"/>
      <c r="AT334" s="36">
        <v>1349.3634549255776</v>
      </c>
      <c r="AU334" s="36"/>
      <c r="AV334" s="36">
        <v>1339.7517388435795</v>
      </c>
      <c r="AW334" s="36">
        <v>1339.9120077479492</v>
      </c>
      <c r="AX334" s="36">
        <v>1358.9358677301955</v>
      </c>
      <c r="AY334" s="36">
        <v>1382.2716586188039</v>
      </c>
      <c r="AZ334" s="36">
        <v>1365.0518093165267</v>
      </c>
      <c r="BA334" s="36">
        <v>1343.7206686627553</v>
      </c>
      <c r="BB334" s="36">
        <v>1341.7471615804343</v>
      </c>
      <c r="BC334" s="37">
        <v>1354.3946275493734</v>
      </c>
      <c r="BD334" s="36">
        <v>1360.5109768870038</v>
      </c>
      <c r="BE334" s="36">
        <v>1356.8312690403991</v>
      </c>
      <c r="BF334" s="36">
        <v>1351.3663179558805</v>
      </c>
      <c r="BG334" s="36">
        <v>1298.9307057335798</v>
      </c>
      <c r="BH334" s="36">
        <v>1293.5023687981973</v>
      </c>
      <c r="BI334" s="36">
        <v>1286.7109010754675</v>
      </c>
      <c r="BJ334" s="36">
        <v>1309.240983549101</v>
      </c>
      <c r="BK334" s="36">
        <v>1301.9811880567468</v>
      </c>
      <c r="BL334" s="36">
        <v>1298.130224646025</v>
      </c>
      <c r="BM334" s="36">
        <v>1304.5376593865767</v>
      </c>
      <c r="BN334" s="36">
        <v>1317.9411174229424</v>
      </c>
      <c r="BO334" s="36">
        <v>1320.5101794613142</v>
      </c>
      <c r="BP334" s="37">
        <v>1317.1305625696209</v>
      </c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7"/>
    </row>
    <row r="335" spans="2:81" ht="14.5" x14ac:dyDescent="0.35">
      <c r="B335" s="15" t="s">
        <v>256</v>
      </c>
      <c r="C335" s="16"/>
      <c r="D335" s="17"/>
      <c r="E335" s="17"/>
      <c r="F335" s="17">
        <v>33000</v>
      </c>
      <c r="G335" s="17">
        <v>50000</v>
      </c>
      <c r="H335" s="17">
        <v>2500</v>
      </c>
      <c r="I335" s="17">
        <v>27500</v>
      </c>
      <c r="J335" s="17">
        <v>11000</v>
      </c>
      <c r="K335" s="17">
        <v>16500</v>
      </c>
      <c r="L335" s="17">
        <v>27500</v>
      </c>
      <c r="M335" s="17">
        <v>33000</v>
      </c>
      <c r="N335" s="17">
        <v>11000</v>
      </c>
      <c r="O335" s="17">
        <v>27500</v>
      </c>
      <c r="P335" s="18">
        <v>239500</v>
      </c>
      <c r="Q335" s="17">
        <v>22000</v>
      </c>
      <c r="R335" s="17">
        <v>44000</v>
      </c>
      <c r="S335" s="17">
        <v>44000</v>
      </c>
      <c r="T335" s="17">
        <v>22000</v>
      </c>
      <c r="U335" s="17">
        <v>33000</v>
      </c>
      <c r="V335" s="17">
        <v>44000</v>
      </c>
      <c r="W335" s="17">
        <v>11000</v>
      </c>
      <c r="X335" s="17">
        <v>44000</v>
      </c>
      <c r="Y335" s="17">
        <v>33000</v>
      </c>
      <c r="Z335" s="17">
        <v>28875</v>
      </c>
      <c r="AA335" s="17">
        <v>22000</v>
      </c>
      <c r="AB335" s="17">
        <v>11000</v>
      </c>
      <c r="AC335" s="18">
        <v>358875</v>
      </c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8"/>
      <c r="AQ335" s="17"/>
      <c r="AR335" s="17"/>
      <c r="AS335" s="17">
        <v>1449.7285806412817</v>
      </c>
      <c r="AT335" s="17">
        <v>1374.2040016274232</v>
      </c>
      <c r="AU335" s="17">
        <v>1364.192602844287</v>
      </c>
      <c r="AV335" s="17">
        <v>1339.7517388435795</v>
      </c>
      <c r="AW335" s="17">
        <v>1339.9120077479492</v>
      </c>
      <c r="AX335" s="17">
        <v>1358.9358677301955</v>
      </c>
      <c r="AY335" s="17">
        <v>1382.2716586188039</v>
      </c>
      <c r="AZ335" s="17">
        <v>1365.0518093165267</v>
      </c>
      <c r="BA335" s="17">
        <v>1343.7206686627553</v>
      </c>
      <c r="BB335" s="17">
        <v>1341.7471615804343</v>
      </c>
      <c r="BC335" s="19">
        <v>1372.461486800973</v>
      </c>
      <c r="BD335" s="17">
        <v>1360.5109768870038</v>
      </c>
      <c r="BE335" s="17">
        <v>1356.8312690403991</v>
      </c>
      <c r="BF335" s="17">
        <v>1351.3663179558805</v>
      </c>
      <c r="BG335" s="17">
        <v>1298.9307057335798</v>
      </c>
      <c r="BH335" s="17">
        <v>1293.5023687981973</v>
      </c>
      <c r="BI335" s="17">
        <v>1286.7109010754675</v>
      </c>
      <c r="BJ335" s="17">
        <v>1309.240983549101</v>
      </c>
      <c r="BK335" s="17">
        <v>1301.9811880567468</v>
      </c>
      <c r="BL335" s="17">
        <v>1298.130224646025</v>
      </c>
      <c r="BM335" s="17">
        <v>1304.5376593865767</v>
      </c>
      <c r="BN335" s="17">
        <v>1317.9411174229424</v>
      </c>
      <c r="BO335" s="17">
        <v>1320.5101794613142</v>
      </c>
      <c r="BP335" s="19">
        <v>1317.1305625696209</v>
      </c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9"/>
    </row>
    <row r="336" spans="2:81" s="22" customFormat="1" ht="14.5" outlineLevel="1" x14ac:dyDescent="0.35">
      <c r="B336" s="25" t="s">
        <v>257</v>
      </c>
      <c r="C336" s="23" t="s">
        <v>58</v>
      </c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1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1"/>
      <c r="AD336" s="20">
        <v>500</v>
      </c>
      <c r="AE336" s="20"/>
      <c r="AF336" s="20">
        <v>600</v>
      </c>
      <c r="AG336" s="20"/>
      <c r="AH336" s="20"/>
      <c r="AI336" s="20"/>
      <c r="AJ336" s="20"/>
      <c r="AK336" s="20"/>
      <c r="AL336" s="20"/>
      <c r="AM336" s="20"/>
      <c r="AN336" s="20"/>
      <c r="AO336" s="20"/>
      <c r="AP336" s="21">
        <v>1100</v>
      </c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7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7"/>
      <c r="BQ336" s="36">
        <v>838.63195375593625</v>
      </c>
      <c r="BR336" s="36"/>
      <c r="BS336" s="36">
        <v>839.40117482779237</v>
      </c>
      <c r="BT336" s="36"/>
      <c r="BU336" s="36"/>
      <c r="BV336" s="36"/>
      <c r="BW336" s="36"/>
      <c r="BX336" s="36"/>
      <c r="BY336" s="36"/>
      <c r="BZ336" s="36"/>
      <c r="CA336" s="36"/>
      <c r="CB336" s="36"/>
      <c r="CC336" s="37">
        <v>839.05152888603959</v>
      </c>
    </row>
    <row r="337" spans="1:81" s="22" customFormat="1" ht="14.5" outlineLevel="1" x14ac:dyDescent="0.35">
      <c r="B337" s="25" t="s">
        <v>257</v>
      </c>
      <c r="C337" s="23" t="s">
        <v>258</v>
      </c>
      <c r="D337" s="20"/>
      <c r="E337" s="20">
        <v>165000</v>
      </c>
      <c r="F337" s="20">
        <v>58000</v>
      </c>
      <c r="G337" s="20"/>
      <c r="H337" s="20">
        <v>222000</v>
      </c>
      <c r="I337" s="20">
        <v>511260</v>
      </c>
      <c r="J337" s="20">
        <v>180000</v>
      </c>
      <c r="K337" s="20">
        <v>380000</v>
      </c>
      <c r="L337" s="20"/>
      <c r="M337" s="20">
        <v>264740</v>
      </c>
      <c r="N337" s="20">
        <v>115000</v>
      </c>
      <c r="O337" s="20">
        <v>65000</v>
      </c>
      <c r="P337" s="21">
        <v>1961000</v>
      </c>
      <c r="Q337" s="20"/>
      <c r="R337" s="20">
        <v>386000</v>
      </c>
      <c r="S337" s="20">
        <v>140000</v>
      </c>
      <c r="T337" s="20">
        <v>120000</v>
      </c>
      <c r="U337" s="20">
        <v>80000</v>
      </c>
      <c r="V337" s="20">
        <v>100000</v>
      </c>
      <c r="W337" s="20">
        <v>20000</v>
      </c>
      <c r="X337" s="20">
        <v>80000</v>
      </c>
      <c r="Y337" s="20">
        <v>220000</v>
      </c>
      <c r="Z337" s="20">
        <v>138000</v>
      </c>
      <c r="AA337" s="20">
        <v>160000</v>
      </c>
      <c r="AB337" s="20">
        <v>100000</v>
      </c>
      <c r="AC337" s="21">
        <v>1544000</v>
      </c>
      <c r="AD337" s="20"/>
      <c r="AE337" s="20"/>
      <c r="AF337" s="20">
        <v>154500</v>
      </c>
      <c r="AG337" s="20">
        <v>129580</v>
      </c>
      <c r="AH337" s="20"/>
      <c r="AI337" s="20"/>
      <c r="AJ337" s="20"/>
      <c r="AK337" s="20"/>
      <c r="AL337" s="20"/>
      <c r="AM337" s="20"/>
      <c r="AN337" s="20"/>
      <c r="AO337" s="20"/>
      <c r="AP337" s="21">
        <v>284080</v>
      </c>
      <c r="AQ337" s="36"/>
      <c r="AR337" s="36">
        <v>662.7002019620104</v>
      </c>
      <c r="AS337" s="36">
        <v>663.14258366037598</v>
      </c>
      <c r="AT337" s="36"/>
      <c r="AU337" s="36">
        <v>664.03268569960994</v>
      </c>
      <c r="AV337" s="36">
        <v>673.25967958158412</v>
      </c>
      <c r="AW337" s="36">
        <v>672.55743382714388</v>
      </c>
      <c r="AX337" s="36">
        <v>706.174396101752</v>
      </c>
      <c r="AY337" s="36"/>
      <c r="AZ337" s="36">
        <v>722.57020682871484</v>
      </c>
      <c r="BA337" s="36">
        <v>693.45596220807715</v>
      </c>
      <c r="BB337" s="36">
        <v>723.78440084072213</v>
      </c>
      <c r="BC337" s="37">
        <v>686.8572514309991</v>
      </c>
      <c r="BD337" s="36"/>
      <c r="BE337" s="36">
        <v>708.55185880593206</v>
      </c>
      <c r="BF337" s="36">
        <v>717.68287872943324</v>
      </c>
      <c r="BG337" s="36">
        <v>674.63956095136996</v>
      </c>
      <c r="BH337" s="36">
        <v>612.90560584829859</v>
      </c>
      <c r="BI337" s="36">
        <v>637.47080779027522</v>
      </c>
      <c r="BJ337" s="36">
        <v>607.9715647187287</v>
      </c>
      <c r="BK337" s="36">
        <v>645.92744929417483</v>
      </c>
      <c r="BL337" s="36">
        <v>652.21109358024796</v>
      </c>
      <c r="BM337" s="36">
        <v>631.1291633820789</v>
      </c>
      <c r="BN337" s="36">
        <v>635.32789353373357</v>
      </c>
      <c r="BO337" s="36">
        <v>633.7686120028925</v>
      </c>
      <c r="BP337" s="37">
        <v>665.25784560896557</v>
      </c>
      <c r="BQ337" s="36"/>
      <c r="BR337" s="36"/>
      <c r="BS337" s="36">
        <v>615.9559900722212</v>
      </c>
      <c r="BT337" s="36">
        <v>643.04230054456457</v>
      </c>
      <c r="BU337" s="36"/>
      <c r="BV337" s="36"/>
      <c r="BW337" s="36"/>
      <c r="BX337" s="36"/>
      <c r="BY337" s="36"/>
      <c r="BZ337" s="36"/>
      <c r="CA337" s="36"/>
      <c r="CB337" s="36"/>
      <c r="CC337" s="37">
        <v>628.31111577979038</v>
      </c>
    </row>
    <row r="338" spans="1:81" ht="14.5" x14ac:dyDescent="0.35">
      <c r="A338" t="s">
        <v>371</v>
      </c>
      <c r="B338" s="15" t="s">
        <v>259</v>
      </c>
      <c r="C338" s="16"/>
      <c r="D338" s="17"/>
      <c r="E338" s="17">
        <v>165000</v>
      </c>
      <c r="F338" s="17">
        <v>58000</v>
      </c>
      <c r="G338" s="17"/>
      <c r="H338" s="17">
        <v>222000</v>
      </c>
      <c r="I338" s="17">
        <v>511260</v>
      </c>
      <c r="J338" s="17">
        <v>180000</v>
      </c>
      <c r="K338" s="17">
        <v>380000</v>
      </c>
      <c r="L338" s="17"/>
      <c r="M338" s="17">
        <v>264740</v>
      </c>
      <c r="N338" s="17">
        <v>115000</v>
      </c>
      <c r="O338" s="17">
        <v>65000</v>
      </c>
      <c r="P338" s="18">
        <v>1961000</v>
      </c>
      <c r="Q338" s="17"/>
      <c r="R338" s="17">
        <v>386000</v>
      </c>
      <c r="S338" s="17">
        <v>140000</v>
      </c>
      <c r="T338" s="17">
        <v>120000</v>
      </c>
      <c r="U338" s="17">
        <v>80000</v>
      </c>
      <c r="V338" s="17">
        <v>100000</v>
      </c>
      <c r="W338" s="17">
        <v>20000</v>
      </c>
      <c r="X338" s="17">
        <v>80000</v>
      </c>
      <c r="Y338" s="17">
        <v>220000</v>
      </c>
      <c r="Z338" s="17">
        <v>138000</v>
      </c>
      <c r="AA338" s="17">
        <v>160000</v>
      </c>
      <c r="AB338" s="17">
        <v>100000</v>
      </c>
      <c r="AC338" s="18">
        <v>1544000</v>
      </c>
      <c r="AD338" s="17">
        <v>500</v>
      </c>
      <c r="AE338" s="17"/>
      <c r="AF338" s="17">
        <v>155100</v>
      </c>
      <c r="AG338" s="17">
        <v>129580</v>
      </c>
      <c r="AH338" s="17"/>
      <c r="AI338" s="17"/>
      <c r="AJ338" s="17"/>
      <c r="AK338" s="17"/>
      <c r="AL338" s="17"/>
      <c r="AM338" s="17"/>
      <c r="AN338" s="17"/>
      <c r="AO338" s="17"/>
      <c r="AP338" s="18">
        <v>285180</v>
      </c>
      <c r="AQ338" s="17"/>
      <c r="AR338" s="17">
        <v>662.7002019620104</v>
      </c>
      <c r="AS338" s="17">
        <v>663.14258366037598</v>
      </c>
      <c r="AT338" s="17"/>
      <c r="AU338" s="17">
        <v>664.03268569960994</v>
      </c>
      <c r="AV338" s="17">
        <v>673.25967958158412</v>
      </c>
      <c r="AW338" s="17">
        <v>672.55743382714388</v>
      </c>
      <c r="AX338" s="17">
        <v>706.174396101752</v>
      </c>
      <c r="AY338" s="17"/>
      <c r="AZ338" s="17">
        <v>722.57020682871484</v>
      </c>
      <c r="BA338" s="17">
        <v>693.45596220807715</v>
      </c>
      <c r="BB338" s="17">
        <v>723.78440084072213</v>
      </c>
      <c r="BC338" s="19">
        <v>686.8572514309991</v>
      </c>
      <c r="BD338" s="17"/>
      <c r="BE338" s="17">
        <v>708.55185880593206</v>
      </c>
      <c r="BF338" s="17">
        <v>717.68287872943324</v>
      </c>
      <c r="BG338" s="17">
        <v>674.63956095136996</v>
      </c>
      <c r="BH338" s="17">
        <v>612.90560584829859</v>
      </c>
      <c r="BI338" s="17">
        <v>637.47080779027522</v>
      </c>
      <c r="BJ338" s="17">
        <v>607.9715647187287</v>
      </c>
      <c r="BK338" s="17">
        <v>645.92744929417483</v>
      </c>
      <c r="BL338" s="17">
        <v>652.21109358024796</v>
      </c>
      <c r="BM338" s="17">
        <v>631.1291633820789</v>
      </c>
      <c r="BN338" s="17">
        <v>635.32789353373357</v>
      </c>
      <c r="BO338" s="17">
        <v>633.7686120028925</v>
      </c>
      <c r="BP338" s="19">
        <v>665.25784560896557</v>
      </c>
      <c r="BQ338" s="17">
        <v>838.63195375593625</v>
      </c>
      <c r="BR338" s="17"/>
      <c r="BS338" s="17">
        <v>616.8203815026103</v>
      </c>
      <c r="BT338" s="17">
        <v>643.04230054456457</v>
      </c>
      <c r="BU338" s="17"/>
      <c r="BV338" s="17"/>
      <c r="BW338" s="17"/>
      <c r="BX338" s="17"/>
      <c r="BY338" s="17"/>
      <c r="BZ338" s="17"/>
      <c r="CA338" s="17"/>
      <c r="CB338" s="17"/>
      <c r="CC338" s="19">
        <v>629.12398643838105</v>
      </c>
    </row>
    <row r="339" spans="1:81" s="22" customFormat="1" ht="14.5" outlineLevel="1" x14ac:dyDescent="0.35">
      <c r="B339" s="25" t="s">
        <v>260</v>
      </c>
      <c r="C339" s="23" t="s">
        <v>141</v>
      </c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1"/>
      <c r="Q339" s="20"/>
      <c r="R339" s="20"/>
      <c r="S339" s="20"/>
      <c r="T339" s="20"/>
      <c r="U339" s="20"/>
      <c r="V339" s="20"/>
      <c r="W339" s="20"/>
      <c r="X339" s="20"/>
      <c r="Y339" s="20"/>
      <c r="Z339" s="20">
        <v>11000</v>
      </c>
      <c r="AA339" s="20"/>
      <c r="AB339" s="20"/>
      <c r="AC339" s="21">
        <v>11000</v>
      </c>
      <c r="AD339" s="20">
        <v>11000</v>
      </c>
      <c r="AE339" s="20"/>
      <c r="AF339" s="20"/>
      <c r="AG339" s="20">
        <v>5500</v>
      </c>
      <c r="AH339" s="20"/>
      <c r="AI339" s="20"/>
      <c r="AJ339" s="20"/>
      <c r="AK339" s="20"/>
      <c r="AL339" s="20"/>
      <c r="AM339" s="20"/>
      <c r="AN339" s="20"/>
      <c r="AO339" s="20"/>
      <c r="AP339" s="21">
        <v>16500</v>
      </c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7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>
        <v>699.24260296793102</v>
      </c>
      <c r="BN339" s="36"/>
      <c r="BO339" s="36"/>
      <c r="BP339" s="37">
        <v>699.24260296793102</v>
      </c>
      <c r="BQ339" s="36">
        <v>697.58930698789243</v>
      </c>
      <c r="BR339" s="36"/>
      <c r="BS339" s="36"/>
      <c r="BT339" s="36">
        <v>754.29713977841277</v>
      </c>
      <c r="BU339" s="36"/>
      <c r="BV339" s="36"/>
      <c r="BW339" s="36"/>
      <c r="BX339" s="36"/>
      <c r="BY339" s="36"/>
      <c r="BZ339" s="36"/>
      <c r="CA339" s="36"/>
      <c r="CB339" s="36"/>
      <c r="CC339" s="37">
        <v>716.49191791806584</v>
      </c>
    </row>
    <row r="340" spans="1:81" ht="14.5" x14ac:dyDescent="0.35">
      <c r="B340" s="15" t="s">
        <v>261</v>
      </c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8"/>
      <c r="Q340" s="17"/>
      <c r="R340" s="17"/>
      <c r="S340" s="17"/>
      <c r="T340" s="17"/>
      <c r="U340" s="17"/>
      <c r="V340" s="17"/>
      <c r="W340" s="17"/>
      <c r="X340" s="17"/>
      <c r="Y340" s="17"/>
      <c r="Z340" s="17">
        <v>11000</v>
      </c>
      <c r="AA340" s="17"/>
      <c r="AB340" s="17"/>
      <c r="AC340" s="18">
        <v>11000</v>
      </c>
      <c r="AD340" s="17">
        <v>11000</v>
      </c>
      <c r="AE340" s="17"/>
      <c r="AF340" s="17"/>
      <c r="AG340" s="17">
        <v>5500</v>
      </c>
      <c r="AH340" s="17"/>
      <c r="AI340" s="17"/>
      <c r="AJ340" s="17"/>
      <c r="AK340" s="17"/>
      <c r="AL340" s="17"/>
      <c r="AM340" s="17"/>
      <c r="AN340" s="17"/>
      <c r="AO340" s="17"/>
      <c r="AP340" s="18">
        <v>16500</v>
      </c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9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>
        <v>699.24260296793102</v>
      </c>
      <c r="BN340" s="17"/>
      <c r="BO340" s="17"/>
      <c r="BP340" s="19">
        <v>699.24260296793102</v>
      </c>
      <c r="BQ340" s="17">
        <v>697.58930698789243</v>
      </c>
      <c r="BR340" s="17"/>
      <c r="BS340" s="17"/>
      <c r="BT340" s="17">
        <v>754.29713977841277</v>
      </c>
      <c r="BU340" s="17"/>
      <c r="BV340" s="17"/>
      <c r="BW340" s="17"/>
      <c r="BX340" s="17"/>
      <c r="BY340" s="17"/>
      <c r="BZ340" s="17"/>
      <c r="CA340" s="17"/>
      <c r="CB340" s="17"/>
      <c r="CC340" s="19">
        <v>716.49191791806584</v>
      </c>
    </row>
    <row r="341" spans="1:81" s="22" customFormat="1" ht="14.5" outlineLevel="1" x14ac:dyDescent="0.35">
      <c r="B341" s="25" t="s">
        <v>262</v>
      </c>
      <c r="C341" s="23" t="s">
        <v>44</v>
      </c>
      <c r="D341" s="20"/>
      <c r="E341" s="20"/>
      <c r="F341" s="20">
        <v>1000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1">
        <v>1000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1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1"/>
      <c r="AQ341" s="36"/>
      <c r="AR341" s="36"/>
      <c r="AS341" s="36">
        <v>1364.1393519059638</v>
      </c>
      <c r="AT341" s="36"/>
      <c r="AU341" s="36"/>
      <c r="AV341" s="36"/>
      <c r="AW341" s="36"/>
      <c r="AX341" s="36"/>
      <c r="AY341" s="36"/>
      <c r="AZ341" s="36"/>
      <c r="BA341" s="36"/>
      <c r="BB341" s="36"/>
      <c r="BC341" s="37">
        <v>1364.1393519059638</v>
      </c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7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7"/>
    </row>
    <row r="342" spans="1:81" ht="14.5" x14ac:dyDescent="0.35">
      <c r="B342" s="15" t="s">
        <v>263</v>
      </c>
      <c r="C342" s="16"/>
      <c r="D342" s="17"/>
      <c r="E342" s="17"/>
      <c r="F342" s="17">
        <v>1000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8">
        <v>1000</v>
      </c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8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8"/>
      <c r="AQ342" s="17"/>
      <c r="AR342" s="17"/>
      <c r="AS342" s="17">
        <v>1364.1393519059638</v>
      </c>
      <c r="AT342" s="17"/>
      <c r="AU342" s="17"/>
      <c r="AV342" s="17"/>
      <c r="AW342" s="17"/>
      <c r="AX342" s="17"/>
      <c r="AY342" s="17"/>
      <c r="AZ342" s="17"/>
      <c r="BA342" s="17"/>
      <c r="BB342" s="17"/>
      <c r="BC342" s="19">
        <v>1364.1393519059638</v>
      </c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9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9"/>
    </row>
    <row r="343" spans="1:81" s="22" customFormat="1" ht="14.5" outlineLevel="1" x14ac:dyDescent="0.35">
      <c r="B343" s="25" t="s">
        <v>264</v>
      </c>
      <c r="C343" s="23" t="s">
        <v>265</v>
      </c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1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>
        <v>10000</v>
      </c>
      <c r="AC343" s="21">
        <v>10000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1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7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>
        <v>822.57924286520904</v>
      </c>
      <c r="BP343" s="37">
        <v>822.57924286520904</v>
      </c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7"/>
    </row>
    <row r="344" spans="1:81" s="22" customFormat="1" ht="14.5" outlineLevel="1" x14ac:dyDescent="0.35">
      <c r="B344" s="25" t="s">
        <v>264</v>
      </c>
      <c r="C344" s="23" t="s">
        <v>5</v>
      </c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1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1"/>
      <c r="AD344" s="20"/>
      <c r="AE344" s="20">
        <v>200</v>
      </c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1">
        <v>200</v>
      </c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7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7"/>
      <c r="BQ344" s="36"/>
      <c r="BR344" s="36">
        <v>764.07244377055008</v>
      </c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7">
        <v>764.07244377055008</v>
      </c>
    </row>
    <row r="345" spans="1:81" s="22" customFormat="1" ht="14.5" outlineLevel="1" x14ac:dyDescent="0.35">
      <c r="B345" s="25" t="s">
        <v>264</v>
      </c>
      <c r="C345" s="23" t="s">
        <v>266</v>
      </c>
      <c r="D345" s="20"/>
      <c r="E345" s="20"/>
      <c r="F345" s="20">
        <v>7000</v>
      </c>
      <c r="G345" s="20"/>
      <c r="H345" s="20"/>
      <c r="I345" s="20"/>
      <c r="J345" s="20"/>
      <c r="K345" s="20">
        <v>7000</v>
      </c>
      <c r="L345" s="20"/>
      <c r="M345" s="20"/>
      <c r="N345" s="20"/>
      <c r="O345" s="20"/>
      <c r="P345" s="21">
        <v>14000</v>
      </c>
      <c r="Q345" s="20"/>
      <c r="R345" s="20"/>
      <c r="S345" s="20"/>
      <c r="T345" s="20"/>
      <c r="U345" s="20"/>
      <c r="V345" s="20"/>
      <c r="W345" s="20"/>
      <c r="X345" s="20"/>
      <c r="Y345" s="20"/>
      <c r="Z345" s="20">
        <v>5500</v>
      </c>
      <c r="AA345" s="20"/>
      <c r="AB345" s="20"/>
      <c r="AC345" s="21">
        <v>5500</v>
      </c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1"/>
      <c r="AQ345" s="36"/>
      <c r="AR345" s="36"/>
      <c r="AS345" s="36">
        <v>996.64263498825403</v>
      </c>
      <c r="AT345" s="36"/>
      <c r="AU345" s="36"/>
      <c r="AV345" s="36"/>
      <c r="AW345" s="36"/>
      <c r="AX345" s="36">
        <v>1003.7640103189411</v>
      </c>
      <c r="AY345" s="36"/>
      <c r="AZ345" s="36"/>
      <c r="BA345" s="36"/>
      <c r="BB345" s="36"/>
      <c r="BC345" s="37">
        <v>1000.2033226535975</v>
      </c>
      <c r="BD345" s="36"/>
      <c r="BE345" s="36"/>
      <c r="BF345" s="36"/>
      <c r="BG345" s="36"/>
      <c r="BH345" s="36"/>
      <c r="BI345" s="36"/>
      <c r="BJ345" s="36"/>
      <c r="BK345" s="36"/>
      <c r="BL345" s="36"/>
      <c r="BM345" s="36">
        <v>821.51453354155831</v>
      </c>
      <c r="BN345" s="36"/>
      <c r="BO345" s="36"/>
      <c r="BP345" s="37">
        <v>821.51453354155831</v>
      </c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7"/>
    </row>
    <row r="346" spans="1:81" s="22" customFormat="1" ht="14.5" outlineLevel="1" x14ac:dyDescent="0.35">
      <c r="B346" s="25" t="s">
        <v>264</v>
      </c>
      <c r="C346" s="23" t="s">
        <v>192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1"/>
      <c r="Q346" s="20"/>
      <c r="R346" s="20">
        <v>5</v>
      </c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1">
        <v>5</v>
      </c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1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7"/>
      <c r="BD346" s="36"/>
      <c r="BE346" s="36">
        <v>830.95528287688489</v>
      </c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7">
        <v>830.95528287688489</v>
      </c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7"/>
    </row>
    <row r="347" spans="1:81" ht="14.5" x14ac:dyDescent="0.35">
      <c r="B347" s="15" t="s">
        <v>267</v>
      </c>
      <c r="C347" s="16"/>
      <c r="D347" s="17"/>
      <c r="E347" s="17"/>
      <c r="F347" s="17">
        <v>7000</v>
      </c>
      <c r="G347" s="17"/>
      <c r="H347" s="17"/>
      <c r="I347" s="17"/>
      <c r="J347" s="17"/>
      <c r="K347" s="17">
        <v>7000</v>
      </c>
      <c r="L347" s="17"/>
      <c r="M347" s="17"/>
      <c r="N347" s="17"/>
      <c r="O347" s="17"/>
      <c r="P347" s="18">
        <v>14000</v>
      </c>
      <c r="Q347" s="17"/>
      <c r="R347" s="17">
        <v>5</v>
      </c>
      <c r="S347" s="17"/>
      <c r="T347" s="17"/>
      <c r="U347" s="17"/>
      <c r="V347" s="17"/>
      <c r="W347" s="17"/>
      <c r="X347" s="17"/>
      <c r="Y347" s="17"/>
      <c r="Z347" s="17">
        <v>5500</v>
      </c>
      <c r="AA347" s="17"/>
      <c r="AB347" s="17">
        <v>10000</v>
      </c>
      <c r="AC347" s="18">
        <v>15505</v>
      </c>
      <c r="AD347" s="17"/>
      <c r="AE347" s="17">
        <v>200</v>
      </c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8">
        <v>200</v>
      </c>
      <c r="AQ347" s="17"/>
      <c r="AR347" s="17"/>
      <c r="AS347" s="17">
        <v>996.64263498825403</v>
      </c>
      <c r="AT347" s="17"/>
      <c r="AU347" s="17"/>
      <c r="AV347" s="17"/>
      <c r="AW347" s="17"/>
      <c r="AX347" s="17">
        <v>1003.7640103189411</v>
      </c>
      <c r="AY347" s="17"/>
      <c r="AZ347" s="17"/>
      <c r="BA347" s="17"/>
      <c r="BB347" s="17"/>
      <c r="BC347" s="19">
        <v>1000.2033226535975</v>
      </c>
      <c r="BD347" s="17"/>
      <c r="BE347" s="17">
        <v>830.95528287688489</v>
      </c>
      <c r="BF347" s="17"/>
      <c r="BG347" s="17"/>
      <c r="BH347" s="17"/>
      <c r="BI347" s="17"/>
      <c r="BJ347" s="17"/>
      <c r="BK347" s="17"/>
      <c r="BL347" s="17"/>
      <c r="BM347" s="17">
        <v>821.51453354155831</v>
      </c>
      <c r="BN347" s="17"/>
      <c r="BO347" s="17">
        <v>822.57924286520904</v>
      </c>
      <c r="BP347" s="19">
        <v>822.20426569139283</v>
      </c>
      <c r="BQ347" s="17"/>
      <c r="BR347" s="17">
        <v>764.07244377055008</v>
      </c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9">
        <v>764.07244377055008</v>
      </c>
    </row>
    <row r="348" spans="1:81" s="22" customFormat="1" ht="14.5" outlineLevel="1" x14ac:dyDescent="0.35">
      <c r="B348" s="25" t="s">
        <v>268</v>
      </c>
      <c r="C348" s="23" t="s">
        <v>174</v>
      </c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1"/>
      <c r="Q348" s="20"/>
      <c r="R348" s="20"/>
      <c r="S348" s="20"/>
      <c r="T348" s="20"/>
      <c r="U348" s="20"/>
      <c r="V348" s="20">
        <v>21000</v>
      </c>
      <c r="W348" s="20"/>
      <c r="X348" s="20"/>
      <c r="Y348" s="20"/>
      <c r="Z348" s="20">
        <v>21000</v>
      </c>
      <c r="AA348" s="20">
        <v>21000</v>
      </c>
      <c r="AB348" s="20"/>
      <c r="AC348" s="21">
        <v>63000</v>
      </c>
      <c r="AD348" s="20">
        <v>21000</v>
      </c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1">
        <v>21000</v>
      </c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7"/>
      <c r="BD348" s="36"/>
      <c r="BE348" s="36"/>
      <c r="BF348" s="36"/>
      <c r="BG348" s="36"/>
      <c r="BH348" s="36"/>
      <c r="BI348" s="36">
        <v>670.25615755796605</v>
      </c>
      <c r="BJ348" s="36"/>
      <c r="BK348" s="36"/>
      <c r="BL348" s="36"/>
      <c r="BM348" s="36">
        <v>618.58583161108004</v>
      </c>
      <c r="BN348" s="36">
        <v>616.96599392716234</v>
      </c>
      <c r="BO348" s="36"/>
      <c r="BP348" s="37">
        <v>635.26932769873611</v>
      </c>
      <c r="BQ348" s="36">
        <v>627.523376842733</v>
      </c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7">
        <v>627.523376842733</v>
      </c>
    </row>
    <row r="349" spans="1:81" s="22" customFormat="1" ht="14.5" outlineLevel="1" x14ac:dyDescent="0.35">
      <c r="B349" s="25" t="s">
        <v>268</v>
      </c>
      <c r="C349" s="23" t="s">
        <v>58</v>
      </c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1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>
        <v>1050</v>
      </c>
      <c r="AC349" s="21">
        <v>1050</v>
      </c>
      <c r="AD349" s="20">
        <v>2100</v>
      </c>
      <c r="AE349" s="20"/>
      <c r="AF349" s="20">
        <v>2100</v>
      </c>
      <c r="AG349" s="20"/>
      <c r="AH349" s="20"/>
      <c r="AI349" s="20"/>
      <c r="AJ349" s="20"/>
      <c r="AK349" s="20"/>
      <c r="AL349" s="20"/>
      <c r="AM349" s="20"/>
      <c r="AN349" s="20"/>
      <c r="AO349" s="20"/>
      <c r="AP349" s="21">
        <v>4200</v>
      </c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7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>
        <v>1128.655240210403</v>
      </c>
      <c r="BP349" s="37">
        <v>1128.655240210403</v>
      </c>
      <c r="BQ349" s="36">
        <v>1143.589027849004</v>
      </c>
      <c r="BR349" s="36"/>
      <c r="BS349" s="36">
        <v>1144.6379656742622</v>
      </c>
      <c r="BT349" s="36"/>
      <c r="BU349" s="36"/>
      <c r="BV349" s="36"/>
      <c r="BW349" s="36"/>
      <c r="BX349" s="36"/>
      <c r="BY349" s="36"/>
      <c r="BZ349" s="36"/>
      <c r="CA349" s="36"/>
      <c r="CB349" s="36"/>
      <c r="CC349" s="37">
        <v>1144.1134967616331</v>
      </c>
    </row>
    <row r="350" spans="1:81" s="22" customFormat="1" ht="14.5" outlineLevel="1" x14ac:dyDescent="0.35">
      <c r="B350" s="25" t="s">
        <v>268</v>
      </c>
      <c r="C350" s="23" t="s">
        <v>131</v>
      </c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1"/>
      <c r="Q350" s="20"/>
      <c r="R350" s="20"/>
      <c r="S350" s="20"/>
      <c r="T350" s="20"/>
      <c r="U350" s="20"/>
      <c r="V350" s="20"/>
      <c r="W350" s="20"/>
      <c r="X350" s="20">
        <v>259350</v>
      </c>
      <c r="Y350" s="20">
        <v>177450</v>
      </c>
      <c r="Z350" s="20">
        <v>173600</v>
      </c>
      <c r="AA350" s="20"/>
      <c r="AB350" s="20"/>
      <c r="AC350" s="21">
        <v>610400</v>
      </c>
      <c r="AD350" s="20"/>
      <c r="AE350" s="20">
        <v>39900</v>
      </c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1">
        <v>39900</v>
      </c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7"/>
      <c r="BD350" s="36"/>
      <c r="BE350" s="36"/>
      <c r="BF350" s="36"/>
      <c r="BG350" s="36"/>
      <c r="BH350" s="36"/>
      <c r="BI350" s="36"/>
      <c r="BJ350" s="36"/>
      <c r="BK350" s="36">
        <v>675.06681174787502</v>
      </c>
      <c r="BL350" s="36">
        <v>673.09976122660089</v>
      </c>
      <c r="BM350" s="36">
        <v>666.18525915471071</v>
      </c>
      <c r="BN350" s="36"/>
      <c r="BO350" s="36"/>
      <c r="BP350" s="37">
        <v>671.96902235538903</v>
      </c>
      <c r="BQ350" s="36"/>
      <c r="BR350" s="36">
        <v>679.3832316734638</v>
      </c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7">
        <v>679.3832316734638</v>
      </c>
    </row>
    <row r="351" spans="1:81" s="22" customFormat="1" ht="14.5" outlineLevel="1" x14ac:dyDescent="0.35">
      <c r="B351" s="25" t="s">
        <v>268</v>
      </c>
      <c r="C351" s="23" t="s">
        <v>269</v>
      </c>
      <c r="D351" s="20"/>
      <c r="E351" s="20"/>
      <c r="F351" s="20"/>
      <c r="G351" s="20">
        <v>220000</v>
      </c>
      <c r="H351" s="20"/>
      <c r="I351" s="20"/>
      <c r="J351" s="20"/>
      <c r="K351" s="20"/>
      <c r="L351" s="20">
        <v>220000</v>
      </c>
      <c r="M351" s="20">
        <v>220000</v>
      </c>
      <c r="N351" s="20"/>
      <c r="O351" s="20">
        <v>220000</v>
      </c>
      <c r="P351" s="21">
        <v>880000</v>
      </c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1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1"/>
      <c r="AQ351" s="36"/>
      <c r="AR351" s="36"/>
      <c r="AS351" s="36"/>
      <c r="AT351" s="36">
        <v>657.61447316103374</v>
      </c>
      <c r="AU351" s="36"/>
      <c r="AV351" s="36"/>
      <c r="AW351" s="36"/>
      <c r="AX351" s="36"/>
      <c r="AY351" s="36">
        <v>705.72818777537668</v>
      </c>
      <c r="AZ351" s="36">
        <v>715.09185055408784</v>
      </c>
      <c r="BA351" s="36"/>
      <c r="BB351" s="36">
        <v>740.68505888555899</v>
      </c>
      <c r="BC351" s="37">
        <v>704.77989259401465</v>
      </c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7"/>
    </row>
    <row r="352" spans="1:81" s="22" customFormat="1" ht="14.5" outlineLevel="1" x14ac:dyDescent="0.35">
      <c r="B352" s="25" t="s">
        <v>268</v>
      </c>
      <c r="C352" s="23" t="s">
        <v>270</v>
      </c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1"/>
      <c r="Q352" s="20"/>
      <c r="R352" s="20">
        <v>5500</v>
      </c>
      <c r="S352" s="20"/>
      <c r="T352" s="20"/>
      <c r="U352" s="20"/>
      <c r="V352" s="20">
        <v>5500</v>
      </c>
      <c r="W352" s="20"/>
      <c r="X352" s="20"/>
      <c r="Y352" s="20"/>
      <c r="Z352" s="20"/>
      <c r="AA352" s="20"/>
      <c r="AB352" s="20"/>
      <c r="AC352" s="21">
        <v>11000</v>
      </c>
      <c r="AD352" s="20"/>
      <c r="AE352" s="20">
        <v>27300</v>
      </c>
      <c r="AF352" s="20">
        <v>109300</v>
      </c>
      <c r="AG352" s="20">
        <v>253950</v>
      </c>
      <c r="AH352" s="20"/>
      <c r="AI352" s="20"/>
      <c r="AJ352" s="20"/>
      <c r="AK352" s="20"/>
      <c r="AL352" s="20"/>
      <c r="AM352" s="20"/>
      <c r="AN352" s="20"/>
      <c r="AO352" s="20"/>
      <c r="AP352" s="21">
        <v>390550</v>
      </c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7"/>
      <c r="BD352" s="36"/>
      <c r="BE352" s="36">
        <v>743.20143904982535</v>
      </c>
      <c r="BF352" s="36"/>
      <c r="BG352" s="36"/>
      <c r="BH352" s="36"/>
      <c r="BI352" s="36">
        <v>630.78816128387029</v>
      </c>
      <c r="BJ352" s="36"/>
      <c r="BK352" s="36"/>
      <c r="BL352" s="36"/>
      <c r="BM352" s="36"/>
      <c r="BN352" s="36"/>
      <c r="BO352" s="36"/>
      <c r="BP352" s="37">
        <v>686.99480016684788</v>
      </c>
      <c r="BQ352" s="36"/>
      <c r="BR352" s="36">
        <v>640.89588073380924</v>
      </c>
      <c r="BS352" s="36">
        <v>671.64891324945643</v>
      </c>
      <c r="BT352" s="36">
        <v>748.2493007042126</v>
      </c>
      <c r="BU352" s="36"/>
      <c r="BV352" s="36"/>
      <c r="BW352" s="36"/>
      <c r="BX352" s="36"/>
      <c r="BY352" s="36"/>
      <c r="BZ352" s="36"/>
      <c r="CA352" s="36"/>
      <c r="CB352" s="36"/>
      <c r="CC352" s="37">
        <v>719.30762687500533</v>
      </c>
    </row>
    <row r="353" spans="1:81" s="22" customFormat="1" ht="14.5" outlineLevel="1" x14ac:dyDescent="0.35">
      <c r="B353" s="25" t="s">
        <v>268</v>
      </c>
      <c r="C353" s="23" t="s">
        <v>271</v>
      </c>
      <c r="D353" s="20"/>
      <c r="E353" s="20"/>
      <c r="F353" s="20"/>
      <c r="G353" s="20">
        <v>5500</v>
      </c>
      <c r="H353" s="20">
        <v>71500</v>
      </c>
      <c r="I353" s="20">
        <v>14300</v>
      </c>
      <c r="J353" s="20">
        <v>0</v>
      </c>
      <c r="K353" s="20"/>
      <c r="L353" s="20"/>
      <c r="M353" s="20">
        <v>11000</v>
      </c>
      <c r="N353" s="20">
        <v>11000</v>
      </c>
      <c r="O353" s="20">
        <v>22000</v>
      </c>
      <c r="P353" s="21">
        <v>135300</v>
      </c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1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1"/>
      <c r="AQ353" s="36"/>
      <c r="AR353" s="36"/>
      <c r="AS353" s="36"/>
      <c r="AT353" s="36">
        <v>786.4481805280036</v>
      </c>
      <c r="AU353" s="36">
        <v>796.75410633235765</v>
      </c>
      <c r="AV353" s="36">
        <v>798.35464630288811</v>
      </c>
      <c r="AW353" s="36"/>
      <c r="AX353" s="36"/>
      <c r="AY353" s="36"/>
      <c r="AZ353" s="36">
        <v>760.18056130456193</v>
      </c>
      <c r="BA353" s="36">
        <v>747.79317268230659</v>
      </c>
      <c r="BB353" s="36">
        <v>746.73415753584231</v>
      </c>
      <c r="BC353" s="37">
        <v>781.41698135582396</v>
      </c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7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7"/>
    </row>
    <row r="354" spans="1:81" s="22" customFormat="1" ht="14.5" outlineLevel="1" x14ac:dyDescent="0.35">
      <c r="B354" s="25" t="s">
        <v>268</v>
      </c>
      <c r="C354" s="23" t="s">
        <v>272</v>
      </c>
      <c r="D354" s="20"/>
      <c r="E354" s="20"/>
      <c r="F354" s="20"/>
      <c r="G354" s="20"/>
      <c r="H354" s="20">
        <v>11000</v>
      </c>
      <c r="I354" s="20">
        <v>171600</v>
      </c>
      <c r="J354" s="20">
        <v>165000</v>
      </c>
      <c r="K354" s="20"/>
      <c r="L354" s="20"/>
      <c r="M354" s="20"/>
      <c r="N354" s="20"/>
      <c r="O354" s="20"/>
      <c r="P354" s="21">
        <v>347600</v>
      </c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1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1"/>
      <c r="AQ354" s="36"/>
      <c r="AR354" s="36"/>
      <c r="AS354" s="36"/>
      <c r="AT354" s="36"/>
      <c r="AU354" s="36">
        <v>645.80878034669286</v>
      </c>
      <c r="AV354" s="36">
        <v>645.48218824539526</v>
      </c>
      <c r="AW354" s="36">
        <v>647.38244805320971</v>
      </c>
      <c r="AX354" s="36"/>
      <c r="AY354" s="36"/>
      <c r="AZ354" s="36"/>
      <c r="BA354" s="36"/>
      <c r="BB354" s="36"/>
      <c r="BC354" s="37">
        <v>646.39454549914569</v>
      </c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7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7"/>
    </row>
    <row r="355" spans="1:81" s="22" customFormat="1" ht="14.5" outlineLevel="1" x14ac:dyDescent="0.35">
      <c r="B355" s="25" t="s">
        <v>268</v>
      </c>
      <c r="C355" s="23" t="s">
        <v>25</v>
      </c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1"/>
      <c r="Q355" s="20"/>
      <c r="R355" s="20"/>
      <c r="S355" s="20"/>
      <c r="T355" s="20"/>
      <c r="U355" s="20"/>
      <c r="V355" s="20"/>
      <c r="W355" s="20"/>
      <c r="X355" s="20"/>
      <c r="Y355" s="20"/>
      <c r="Z355" s="20">
        <v>25</v>
      </c>
      <c r="AA355" s="20"/>
      <c r="AB355" s="20"/>
      <c r="AC355" s="21">
        <v>25</v>
      </c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1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7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>
        <v>630.8039466276075</v>
      </c>
      <c r="BN355" s="36"/>
      <c r="BO355" s="36"/>
      <c r="BP355" s="37">
        <v>630.8039466276075</v>
      </c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7"/>
    </row>
    <row r="356" spans="1:81" s="22" customFormat="1" ht="14.5" outlineLevel="1" x14ac:dyDescent="0.35">
      <c r="B356" s="25" t="s">
        <v>268</v>
      </c>
      <c r="C356" s="23" t="s">
        <v>273</v>
      </c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1"/>
      <c r="Q356" s="20"/>
      <c r="R356" s="20"/>
      <c r="S356" s="20"/>
      <c r="T356" s="20"/>
      <c r="U356" s="20"/>
      <c r="V356" s="20"/>
      <c r="W356" s="20"/>
      <c r="X356" s="20">
        <v>10500</v>
      </c>
      <c r="Y356" s="20">
        <v>25200</v>
      </c>
      <c r="Z356" s="20"/>
      <c r="AA356" s="20">
        <v>6300</v>
      </c>
      <c r="AB356" s="20"/>
      <c r="AC356" s="21">
        <v>42000</v>
      </c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1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7"/>
      <c r="BD356" s="36"/>
      <c r="BE356" s="36"/>
      <c r="BF356" s="36"/>
      <c r="BG356" s="36"/>
      <c r="BH356" s="36"/>
      <c r="BI356" s="36"/>
      <c r="BJ356" s="36"/>
      <c r="BK356" s="36">
        <v>675.09126825661122</v>
      </c>
      <c r="BL356" s="36">
        <v>673.13515905273562</v>
      </c>
      <c r="BM356" s="36"/>
      <c r="BN356" s="36">
        <v>673.93010766105135</v>
      </c>
      <c r="BO356" s="36"/>
      <c r="BP356" s="37">
        <v>673.74342864495179</v>
      </c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7"/>
    </row>
    <row r="357" spans="1:81" s="22" customFormat="1" ht="14.5" outlineLevel="1" x14ac:dyDescent="0.35">
      <c r="B357" s="25" t="s">
        <v>268</v>
      </c>
      <c r="C357" s="23" t="s">
        <v>179</v>
      </c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1"/>
      <c r="Q357" s="20"/>
      <c r="R357" s="20"/>
      <c r="S357" s="20"/>
      <c r="T357" s="20"/>
      <c r="U357" s="20"/>
      <c r="V357" s="20">
        <v>46900</v>
      </c>
      <c r="W357" s="20">
        <v>249550</v>
      </c>
      <c r="X357" s="20">
        <v>51500</v>
      </c>
      <c r="Y357" s="20"/>
      <c r="Z357" s="20"/>
      <c r="AA357" s="20"/>
      <c r="AB357" s="20"/>
      <c r="AC357" s="21">
        <v>347950</v>
      </c>
      <c r="AD357" s="20"/>
      <c r="AE357" s="20"/>
      <c r="AF357" s="20">
        <v>21000</v>
      </c>
      <c r="AG357" s="20"/>
      <c r="AH357" s="20"/>
      <c r="AI357" s="20"/>
      <c r="AJ357" s="20"/>
      <c r="AK357" s="20"/>
      <c r="AL357" s="20"/>
      <c r="AM357" s="20"/>
      <c r="AN357" s="20"/>
      <c r="AO357" s="20"/>
      <c r="AP357" s="21">
        <v>21000</v>
      </c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7"/>
      <c r="BD357" s="36"/>
      <c r="BE357" s="36"/>
      <c r="BF357" s="36"/>
      <c r="BG357" s="36"/>
      <c r="BH357" s="36"/>
      <c r="BI357" s="36">
        <v>669.32556987010548</v>
      </c>
      <c r="BJ357" s="36">
        <v>663.39983064294006</v>
      </c>
      <c r="BK357" s="36">
        <v>644.48445774787251</v>
      </c>
      <c r="BL357" s="36"/>
      <c r="BM357" s="36"/>
      <c r="BN357" s="36"/>
      <c r="BO357" s="36"/>
      <c r="BP357" s="37">
        <v>661.39889793898271</v>
      </c>
      <c r="BQ357" s="36"/>
      <c r="BR357" s="36"/>
      <c r="BS357" s="36">
        <v>604.83690371401519</v>
      </c>
      <c r="BT357" s="36"/>
      <c r="BU357" s="36"/>
      <c r="BV357" s="36"/>
      <c r="BW357" s="36"/>
      <c r="BX357" s="36"/>
      <c r="BY357" s="36"/>
      <c r="BZ357" s="36"/>
      <c r="CA357" s="36"/>
      <c r="CB357" s="36"/>
      <c r="CC357" s="37">
        <v>604.83690371401519</v>
      </c>
    </row>
    <row r="358" spans="1:81" s="22" customFormat="1" ht="14.5" outlineLevel="1" x14ac:dyDescent="0.35">
      <c r="B358" s="25" t="s">
        <v>268</v>
      </c>
      <c r="C358" s="23" t="s">
        <v>274</v>
      </c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1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>
        <v>21000</v>
      </c>
      <c r="AC358" s="21">
        <v>21000</v>
      </c>
      <c r="AD358" s="20"/>
      <c r="AE358" s="20"/>
      <c r="AF358" s="20">
        <v>210100</v>
      </c>
      <c r="AG358" s="20"/>
      <c r="AH358" s="20"/>
      <c r="AI358" s="20"/>
      <c r="AJ358" s="20"/>
      <c r="AK358" s="20"/>
      <c r="AL358" s="20"/>
      <c r="AM358" s="20"/>
      <c r="AN358" s="20"/>
      <c r="AO358" s="20"/>
      <c r="AP358" s="21">
        <v>210100</v>
      </c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7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>
        <v>617.9534425751101</v>
      </c>
      <c r="BP358" s="37">
        <v>617.9534425751101</v>
      </c>
      <c r="BQ358" s="36"/>
      <c r="BR358" s="36"/>
      <c r="BS358" s="36">
        <v>604.83958656883624</v>
      </c>
      <c r="BT358" s="36"/>
      <c r="BU358" s="36"/>
      <c r="BV358" s="36"/>
      <c r="BW358" s="36"/>
      <c r="BX358" s="36"/>
      <c r="BY358" s="36"/>
      <c r="BZ358" s="36"/>
      <c r="CA358" s="36"/>
      <c r="CB358" s="36"/>
      <c r="CC358" s="37">
        <v>604.83958656883624</v>
      </c>
    </row>
    <row r="359" spans="1:81" ht="14.5" x14ac:dyDescent="0.35">
      <c r="A359" t="s">
        <v>374</v>
      </c>
      <c r="B359" s="15" t="s">
        <v>275</v>
      </c>
      <c r="C359" s="16"/>
      <c r="D359" s="17"/>
      <c r="E359" s="17"/>
      <c r="F359" s="17"/>
      <c r="G359" s="17">
        <v>225500</v>
      </c>
      <c r="H359" s="17">
        <v>82500</v>
      </c>
      <c r="I359" s="17">
        <v>185900</v>
      </c>
      <c r="J359" s="17">
        <v>165000</v>
      </c>
      <c r="K359" s="17"/>
      <c r="L359" s="17">
        <v>220000</v>
      </c>
      <c r="M359" s="17">
        <v>231000</v>
      </c>
      <c r="N359" s="17">
        <v>11000</v>
      </c>
      <c r="O359" s="17">
        <v>242000</v>
      </c>
      <c r="P359" s="18">
        <v>1362900</v>
      </c>
      <c r="Q359" s="17"/>
      <c r="R359" s="17">
        <v>5500</v>
      </c>
      <c r="S359" s="17"/>
      <c r="T359" s="17"/>
      <c r="U359" s="17"/>
      <c r="V359" s="17">
        <v>73400</v>
      </c>
      <c r="W359" s="17">
        <v>249550</v>
      </c>
      <c r="X359" s="17">
        <v>321350</v>
      </c>
      <c r="Y359" s="17">
        <v>202650</v>
      </c>
      <c r="Z359" s="17">
        <v>194625</v>
      </c>
      <c r="AA359" s="17">
        <v>27300</v>
      </c>
      <c r="AB359" s="17">
        <v>22050</v>
      </c>
      <c r="AC359" s="18">
        <v>1096425</v>
      </c>
      <c r="AD359" s="17">
        <v>23100</v>
      </c>
      <c r="AE359" s="17">
        <v>67200</v>
      </c>
      <c r="AF359" s="17">
        <v>342500</v>
      </c>
      <c r="AG359" s="17">
        <v>253950</v>
      </c>
      <c r="AH359" s="17"/>
      <c r="AI359" s="17"/>
      <c r="AJ359" s="17"/>
      <c r="AK359" s="17"/>
      <c r="AL359" s="17"/>
      <c r="AM359" s="17"/>
      <c r="AN359" s="17"/>
      <c r="AO359" s="17"/>
      <c r="AP359" s="18">
        <v>686750</v>
      </c>
      <c r="AQ359" s="17"/>
      <c r="AR359" s="17"/>
      <c r="AS359" s="17"/>
      <c r="AT359" s="17">
        <v>660.7567587065696</v>
      </c>
      <c r="AU359" s="17">
        <v>776.62806286760235</v>
      </c>
      <c r="AV359" s="17">
        <v>657.24160809597163</v>
      </c>
      <c r="AW359" s="17">
        <v>647.38244805320971</v>
      </c>
      <c r="AX359" s="17"/>
      <c r="AY359" s="17">
        <v>705.72818777537668</v>
      </c>
      <c r="AZ359" s="17">
        <v>717.2389320183961</v>
      </c>
      <c r="BA359" s="17">
        <v>747.79317268230659</v>
      </c>
      <c r="BB359" s="17">
        <v>741.23497694467574</v>
      </c>
      <c r="BC359" s="19">
        <v>697.49707761074035</v>
      </c>
      <c r="BD359" s="17"/>
      <c r="BE359" s="17">
        <v>743.20143904982535</v>
      </c>
      <c r="BF359" s="17"/>
      <c r="BG359" s="17"/>
      <c r="BH359" s="17"/>
      <c r="BI359" s="17">
        <v>666.70413382406696</v>
      </c>
      <c r="BJ359" s="17">
        <v>663.39983064294006</v>
      </c>
      <c r="BK359" s="17">
        <v>670.16644007319508</v>
      </c>
      <c r="BL359" s="17">
        <v>673.1041630288147</v>
      </c>
      <c r="BM359" s="17">
        <v>661.04474528840672</v>
      </c>
      <c r="BN359" s="17">
        <v>630.11155863498288</v>
      </c>
      <c r="BO359" s="17">
        <v>642.27257579583829</v>
      </c>
      <c r="BP359" s="19">
        <v>666.12641323255684</v>
      </c>
      <c r="BQ359" s="17">
        <v>674.43843602512118</v>
      </c>
      <c r="BR359" s="17">
        <v>663.74774535422921</v>
      </c>
      <c r="BS359" s="17">
        <v>629.46960018157199</v>
      </c>
      <c r="BT359" s="17">
        <v>748.2493007042126</v>
      </c>
      <c r="BU359" s="17"/>
      <c r="BV359" s="17"/>
      <c r="BW359" s="17"/>
      <c r="BX359" s="17"/>
      <c r="BY359" s="17"/>
      <c r="BZ359" s="17"/>
      <c r="CA359" s="17"/>
      <c r="CB359" s="17"/>
      <c r="CC359" s="19">
        <v>678.25937289553326</v>
      </c>
    </row>
    <row r="360" spans="1:81" s="22" customFormat="1" ht="14.5" outlineLevel="1" x14ac:dyDescent="0.35">
      <c r="B360" s="25" t="s">
        <v>276</v>
      </c>
      <c r="C360" s="23" t="s">
        <v>277</v>
      </c>
      <c r="D360" s="20"/>
      <c r="E360" s="20"/>
      <c r="F360" s="20"/>
      <c r="G360" s="20"/>
      <c r="H360" s="20">
        <v>4885</v>
      </c>
      <c r="I360" s="20"/>
      <c r="J360" s="20"/>
      <c r="K360" s="20"/>
      <c r="L360" s="20"/>
      <c r="M360" s="20"/>
      <c r="N360" s="20"/>
      <c r="O360" s="20"/>
      <c r="P360" s="21">
        <v>4885</v>
      </c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1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1"/>
      <c r="AQ360" s="36"/>
      <c r="AR360" s="36"/>
      <c r="AS360" s="36"/>
      <c r="AT360" s="36"/>
      <c r="AU360" s="36">
        <v>1399.1068162843644</v>
      </c>
      <c r="AV360" s="36"/>
      <c r="AW360" s="36"/>
      <c r="AX360" s="36"/>
      <c r="AY360" s="36"/>
      <c r="AZ360" s="36"/>
      <c r="BA360" s="36"/>
      <c r="BB360" s="36"/>
      <c r="BC360" s="37">
        <v>1399.1068162843644</v>
      </c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7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7"/>
    </row>
    <row r="361" spans="1:81" ht="14.5" x14ac:dyDescent="0.35">
      <c r="B361" s="15" t="s">
        <v>278</v>
      </c>
      <c r="C361" s="16"/>
      <c r="D361" s="17"/>
      <c r="E361" s="17"/>
      <c r="F361" s="17"/>
      <c r="G361" s="17"/>
      <c r="H361" s="17">
        <v>4885</v>
      </c>
      <c r="I361" s="17"/>
      <c r="J361" s="17"/>
      <c r="K361" s="17"/>
      <c r="L361" s="17"/>
      <c r="M361" s="17"/>
      <c r="N361" s="17"/>
      <c r="O361" s="17"/>
      <c r="P361" s="18">
        <v>4885</v>
      </c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8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8"/>
      <c r="AQ361" s="17"/>
      <c r="AR361" s="17"/>
      <c r="AS361" s="17"/>
      <c r="AT361" s="17"/>
      <c r="AU361" s="17">
        <v>1399.1068162843644</v>
      </c>
      <c r="AV361" s="17"/>
      <c r="AW361" s="17"/>
      <c r="AX361" s="17"/>
      <c r="AY361" s="17"/>
      <c r="AZ361" s="17"/>
      <c r="BA361" s="17"/>
      <c r="BB361" s="17"/>
      <c r="BC361" s="19">
        <v>1399.1068162843644</v>
      </c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9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9"/>
    </row>
    <row r="362" spans="1:81" s="22" customFormat="1" ht="14.5" outlineLevel="1" x14ac:dyDescent="0.35">
      <c r="B362" s="25" t="s">
        <v>279</v>
      </c>
      <c r="C362" s="23" t="s">
        <v>5</v>
      </c>
      <c r="D362" s="20"/>
      <c r="E362" s="20"/>
      <c r="F362" s="20"/>
      <c r="G362" s="20"/>
      <c r="H362" s="20"/>
      <c r="I362" s="20"/>
      <c r="J362" s="20">
        <v>300</v>
      </c>
      <c r="K362" s="20"/>
      <c r="L362" s="20"/>
      <c r="M362" s="20"/>
      <c r="N362" s="20"/>
      <c r="O362" s="20"/>
      <c r="P362" s="21">
        <v>300</v>
      </c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1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1"/>
      <c r="AQ362" s="36"/>
      <c r="AR362" s="36"/>
      <c r="AS362" s="36"/>
      <c r="AT362" s="36"/>
      <c r="AU362" s="36"/>
      <c r="AV362" s="36"/>
      <c r="AW362" s="36">
        <v>968.41785757559421</v>
      </c>
      <c r="AX362" s="36"/>
      <c r="AY362" s="36"/>
      <c r="AZ362" s="36"/>
      <c r="BA362" s="36"/>
      <c r="BB362" s="36"/>
      <c r="BC362" s="37">
        <v>968.41785757559421</v>
      </c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7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7"/>
    </row>
    <row r="363" spans="1:81" s="22" customFormat="1" ht="14.5" outlineLevel="1" x14ac:dyDescent="0.35">
      <c r="B363" s="25" t="s">
        <v>279</v>
      </c>
      <c r="C363" s="23" t="s">
        <v>45</v>
      </c>
      <c r="D363" s="20"/>
      <c r="E363" s="20"/>
      <c r="F363" s="20"/>
      <c r="G363" s="20"/>
      <c r="H363" s="20"/>
      <c r="I363" s="20"/>
      <c r="J363" s="20"/>
      <c r="K363" s="20"/>
      <c r="L363" s="20">
        <v>25</v>
      </c>
      <c r="M363" s="20"/>
      <c r="N363" s="20"/>
      <c r="O363" s="20"/>
      <c r="P363" s="21">
        <v>25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1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1"/>
      <c r="AQ363" s="36"/>
      <c r="AR363" s="36"/>
      <c r="AS363" s="36"/>
      <c r="AT363" s="36"/>
      <c r="AU363" s="36"/>
      <c r="AV363" s="36"/>
      <c r="AW363" s="36"/>
      <c r="AX363" s="36"/>
      <c r="AY363" s="36">
        <v>1009.9739442664724</v>
      </c>
      <c r="AZ363" s="36"/>
      <c r="BA363" s="36"/>
      <c r="BB363" s="36"/>
      <c r="BC363" s="37">
        <v>1009.9739442664724</v>
      </c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7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7"/>
    </row>
    <row r="364" spans="1:81" ht="14.5" x14ac:dyDescent="0.35">
      <c r="B364" s="15" t="s">
        <v>280</v>
      </c>
      <c r="C364" s="16"/>
      <c r="D364" s="17"/>
      <c r="E364" s="17"/>
      <c r="F364" s="17"/>
      <c r="G364" s="17"/>
      <c r="H364" s="17"/>
      <c r="I364" s="17"/>
      <c r="J364" s="17">
        <v>300</v>
      </c>
      <c r="K364" s="17"/>
      <c r="L364" s="17">
        <v>25</v>
      </c>
      <c r="M364" s="17"/>
      <c r="N364" s="17"/>
      <c r="O364" s="17"/>
      <c r="P364" s="18">
        <v>325</v>
      </c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8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8"/>
      <c r="AQ364" s="17"/>
      <c r="AR364" s="17"/>
      <c r="AS364" s="17"/>
      <c r="AT364" s="17"/>
      <c r="AU364" s="17"/>
      <c r="AV364" s="17"/>
      <c r="AW364" s="17">
        <v>968.41785757559421</v>
      </c>
      <c r="AX364" s="17"/>
      <c r="AY364" s="17">
        <v>1009.9739442664724</v>
      </c>
      <c r="AZ364" s="17"/>
      <c r="BA364" s="17"/>
      <c r="BB364" s="17"/>
      <c r="BC364" s="19">
        <v>971.61447962873854</v>
      </c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9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9"/>
    </row>
    <row r="365" spans="1:81" s="22" customFormat="1" ht="14.5" outlineLevel="1" x14ac:dyDescent="0.35">
      <c r="B365" s="25" t="s">
        <v>281</v>
      </c>
      <c r="C365" s="23" t="s">
        <v>282</v>
      </c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1"/>
      <c r="Q365" s="20"/>
      <c r="R365" s="20"/>
      <c r="S365" s="20"/>
      <c r="T365" s="20">
        <v>500</v>
      </c>
      <c r="U365" s="20"/>
      <c r="V365" s="20"/>
      <c r="W365" s="20"/>
      <c r="X365" s="20"/>
      <c r="Y365" s="20"/>
      <c r="Z365" s="20"/>
      <c r="AA365" s="20"/>
      <c r="AB365" s="20"/>
      <c r="AC365" s="21">
        <v>500</v>
      </c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1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7"/>
      <c r="BD365" s="36"/>
      <c r="BE365" s="36"/>
      <c r="BF365" s="36"/>
      <c r="BG365" s="36">
        <v>1348.0754344291408</v>
      </c>
      <c r="BH365" s="36"/>
      <c r="BI365" s="36"/>
      <c r="BJ365" s="36"/>
      <c r="BK365" s="36"/>
      <c r="BL365" s="36"/>
      <c r="BM365" s="36"/>
      <c r="BN365" s="36"/>
      <c r="BO365" s="36"/>
      <c r="BP365" s="37">
        <v>1348.0754344291408</v>
      </c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7"/>
    </row>
    <row r="366" spans="1:81" s="22" customFormat="1" ht="14.5" outlineLevel="1" x14ac:dyDescent="0.35">
      <c r="B366" s="25" t="s">
        <v>281</v>
      </c>
      <c r="C366" s="23" t="s">
        <v>107</v>
      </c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1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1"/>
      <c r="AD366" s="20"/>
      <c r="AE366" s="20">
        <v>150</v>
      </c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1">
        <v>150</v>
      </c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7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7"/>
      <c r="BQ366" s="36"/>
      <c r="BR366" s="36">
        <v>1528.6902782188522</v>
      </c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7">
        <v>1528.6902782188522</v>
      </c>
    </row>
    <row r="367" spans="1:81" s="22" customFormat="1" ht="14.5" outlineLevel="1" x14ac:dyDescent="0.35">
      <c r="B367" s="25" t="s">
        <v>281</v>
      </c>
      <c r="C367" s="23" t="s">
        <v>22</v>
      </c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1"/>
      <c r="Q367" s="20"/>
      <c r="R367" s="20"/>
      <c r="S367" s="20">
        <v>99000</v>
      </c>
      <c r="T367" s="20"/>
      <c r="U367" s="20"/>
      <c r="V367" s="20"/>
      <c r="W367" s="20"/>
      <c r="X367" s="20">
        <v>99000</v>
      </c>
      <c r="Y367" s="20"/>
      <c r="Z367" s="20"/>
      <c r="AA367" s="20"/>
      <c r="AB367" s="20"/>
      <c r="AC367" s="21">
        <v>198000</v>
      </c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1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7"/>
      <c r="BD367" s="36"/>
      <c r="BE367" s="36"/>
      <c r="BF367" s="36">
        <v>1384.1162844985286</v>
      </c>
      <c r="BG367" s="36"/>
      <c r="BH367" s="36"/>
      <c r="BI367" s="36"/>
      <c r="BJ367" s="36"/>
      <c r="BK367" s="36">
        <v>1337.6129314535733</v>
      </c>
      <c r="BL367" s="36"/>
      <c r="BM367" s="36"/>
      <c r="BN367" s="36"/>
      <c r="BO367" s="36"/>
      <c r="BP367" s="37">
        <v>1360.864607976051</v>
      </c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7"/>
    </row>
    <row r="368" spans="1:81" s="22" customFormat="1" ht="14.5" outlineLevel="1" x14ac:dyDescent="0.35">
      <c r="B368" s="25" t="s">
        <v>281</v>
      </c>
      <c r="C368" s="23" t="s">
        <v>283</v>
      </c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>
        <v>25</v>
      </c>
      <c r="P368" s="21">
        <v>25</v>
      </c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1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1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>
        <v>1417.4647376195121</v>
      </c>
      <c r="BC368" s="37">
        <v>1417.4647376195121</v>
      </c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7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7"/>
    </row>
    <row r="369" spans="2:81" s="22" customFormat="1" ht="14.5" outlineLevel="1" x14ac:dyDescent="0.35">
      <c r="B369" s="25" t="s">
        <v>281</v>
      </c>
      <c r="C369" s="23" t="s">
        <v>123</v>
      </c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1"/>
      <c r="Q369" s="20"/>
      <c r="R369" s="20"/>
      <c r="S369" s="20"/>
      <c r="T369" s="20"/>
      <c r="U369" s="20"/>
      <c r="V369" s="20">
        <v>4125</v>
      </c>
      <c r="W369" s="20"/>
      <c r="X369" s="20"/>
      <c r="Y369" s="20"/>
      <c r="Z369" s="20"/>
      <c r="AA369" s="20"/>
      <c r="AB369" s="20"/>
      <c r="AC369" s="21">
        <v>4125</v>
      </c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1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7"/>
      <c r="BD369" s="36"/>
      <c r="BE369" s="36"/>
      <c r="BF369" s="36"/>
      <c r="BG369" s="36"/>
      <c r="BH369" s="36"/>
      <c r="BI369" s="36">
        <v>1401.5155969755583</v>
      </c>
      <c r="BJ369" s="36"/>
      <c r="BK369" s="36"/>
      <c r="BL369" s="36"/>
      <c r="BM369" s="36"/>
      <c r="BN369" s="36"/>
      <c r="BO369" s="36"/>
      <c r="BP369" s="37">
        <v>1401.5155969755583</v>
      </c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7"/>
    </row>
    <row r="370" spans="2:81" ht="14.5" x14ac:dyDescent="0.35">
      <c r="B370" s="15" t="s">
        <v>284</v>
      </c>
      <c r="C370" s="1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>
        <v>25</v>
      </c>
      <c r="P370" s="18">
        <v>25</v>
      </c>
      <c r="Q370" s="17"/>
      <c r="R370" s="17"/>
      <c r="S370" s="17">
        <v>99000</v>
      </c>
      <c r="T370" s="17">
        <v>500</v>
      </c>
      <c r="U370" s="17"/>
      <c r="V370" s="17">
        <v>4125</v>
      </c>
      <c r="W370" s="17"/>
      <c r="X370" s="17">
        <v>99000</v>
      </c>
      <c r="Y370" s="17"/>
      <c r="Z370" s="17"/>
      <c r="AA370" s="17"/>
      <c r="AB370" s="17"/>
      <c r="AC370" s="18">
        <v>202625</v>
      </c>
      <c r="AD370" s="17"/>
      <c r="AE370" s="17">
        <v>150</v>
      </c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8">
        <v>150</v>
      </c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>
        <v>1417.4647376195121</v>
      </c>
      <c r="BC370" s="19">
        <v>1417.4647376195121</v>
      </c>
      <c r="BD370" s="17"/>
      <c r="BE370" s="17"/>
      <c r="BF370" s="17">
        <v>1384.1162844985286</v>
      </c>
      <c r="BG370" s="17">
        <v>1348.0754344291408</v>
      </c>
      <c r="BH370" s="17"/>
      <c r="BI370" s="17">
        <v>1401.5155969755583</v>
      </c>
      <c r="BJ370" s="17"/>
      <c r="BK370" s="17">
        <v>1337.6129314535733</v>
      </c>
      <c r="BL370" s="17"/>
      <c r="BM370" s="17"/>
      <c r="BN370" s="17"/>
      <c r="BO370" s="17"/>
      <c r="BP370" s="19">
        <v>1361.6606141097934</v>
      </c>
      <c r="BQ370" s="17"/>
      <c r="BR370" s="17">
        <v>1528.6902782188522</v>
      </c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9">
        <v>1528.6902782188522</v>
      </c>
    </row>
    <row r="371" spans="2:81" s="22" customFormat="1" ht="14.5" outlineLevel="1" x14ac:dyDescent="0.35">
      <c r="B371" s="25" t="s">
        <v>285</v>
      </c>
      <c r="C371" s="23" t="s">
        <v>286</v>
      </c>
      <c r="D371" s="20"/>
      <c r="E371" s="20"/>
      <c r="F371" s="20"/>
      <c r="G371" s="20"/>
      <c r="H371" s="20"/>
      <c r="I371" s="20">
        <v>3443</v>
      </c>
      <c r="J371" s="20"/>
      <c r="K371" s="20"/>
      <c r="L371" s="20"/>
      <c r="M371" s="20"/>
      <c r="N371" s="20"/>
      <c r="O371" s="20"/>
      <c r="P371" s="21">
        <v>3443</v>
      </c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1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1"/>
      <c r="AQ371" s="36"/>
      <c r="AR371" s="36"/>
      <c r="AS371" s="36"/>
      <c r="AT371" s="36"/>
      <c r="AU371" s="36"/>
      <c r="AV371" s="36">
        <v>544.41397110196476</v>
      </c>
      <c r="AW371" s="36"/>
      <c r="AX371" s="36"/>
      <c r="AY371" s="36"/>
      <c r="AZ371" s="36"/>
      <c r="BA371" s="36"/>
      <c r="BB371" s="36"/>
      <c r="BC371" s="37">
        <v>544.41397110196476</v>
      </c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7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7"/>
    </row>
    <row r="372" spans="2:81" ht="14.5" x14ac:dyDescent="0.35">
      <c r="B372" s="15" t="s">
        <v>287</v>
      </c>
      <c r="C372" s="16"/>
      <c r="D372" s="17"/>
      <c r="E372" s="17"/>
      <c r="F372" s="17"/>
      <c r="G372" s="17"/>
      <c r="H372" s="17"/>
      <c r="I372" s="17">
        <v>3443</v>
      </c>
      <c r="J372" s="17"/>
      <c r="K372" s="17"/>
      <c r="L372" s="17"/>
      <c r="M372" s="17"/>
      <c r="N372" s="17"/>
      <c r="O372" s="17"/>
      <c r="P372" s="18">
        <v>3443</v>
      </c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8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8"/>
      <c r="AQ372" s="17"/>
      <c r="AR372" s="17"/>
      <c r="AS372" s="17"/>
      <c r="AT372" s="17"/>
      <c r="AU372" s="17"/>
      <c r="AV372" s="17">
        <v>544.41397110196476</v>
      </c>
      <c r="AW372" s="17"/>
      <c r="AX372" s="17"/>
      <c r="AY372" s="17"/>
      <c r="AZ372" s="17"/>
      <c r="BA372" s="17"/>
      <c r="BB372" s="17"/>
      <c r="BC372" s="19">
        <v>544.41397110196476</v>
      </c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9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9"/>
    </row>
    <row r="373" spans="2:81" s="22" customFormat="1" ht="14.5" outlineLevel="1" x14ac:dyDescent="0.35">
      <c r="B373" s="25" t="s">
        <v>288</v>
      </c>
      <c r="C373" s="23" t="s">
        <v>286</v>
      </c>
      <c r="D373" s="20"/>
      <c r="E373" s="20"/>
      <c r="F373" s="20"/>
      <c r="G373" s="20"/>
      <c r="H373" s="20"/>
      <c r="I373" s="20">
        <v>350</v>
      </c>
      <c r="J373" s="20"/>
      <c r="K373" s="20"/>
      <c r="L373" s="20"/>
      <c r="M373" s="20"/>
      <c r="N373" s="20"/>
      <c r="O373" s="20"/>
      <c r="P373" s="21">
        <v>350</v>
      </c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1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1"/>
      <c r="AQ373" s="36"/>
      <c r="AR373" s="36"/>
      <c r="AS373" s="36"/>
      <c r="AT373" s="36"/>
      <c r="AU373" s="36"/>
      <c r="AV373" s="36">
        <v>544.41403006452936</v>
      </c>
      <c r="AW373" s="36"/>
      <c r="AX373" s="36"/>
      <c r="AY373" s="36"/>
      <c r="AZ373" s="36"/>
      <c r="BA373" s="36"/>
      <c r="BB373" s="36"/>
      <c r="BC373" s="37">
        <v>544.41403006452936</v>
      </c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7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7"/>
    </row>
    <row r="374" spans="2:81" ht="14.5" x14ac:dyDescent="0.35">
      <c r="B374" s="15" t="s">
        <v>289</v>
      </c>
      <c r="C374" s="16"/>
      <c r="D374" s="17"/>
      <c r="E374" s="17"/>
      <c r="F374" s="17"/>
      <c r="G374" s="17"/>
      <c r="H374" s="17"/>
      <c r="I374" s="17">
        <v>350</v>
      </c>
      <c r="J374" s="17"/>
      <c r="K374" s="17"/>
      <c r="L374" s="17"/>
      <c r="M374" s="17"/>
      <c r="N374" s="17"/>
      <c r="O374" s="17"/>
      <c r="P374" s="18">
        <v>350</v>
      </c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8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8"/>
      <c r="AQ374" s="17"/>
      <c r="AR374" s="17"/>
      <c r="AS374" s="17"/>
      <c r="AT374" s="17"/>
      <c r="AU374" s="17"/>
      <c r="AV374" s="17">
        <v>544.41403006452936</v>
      </c>
      <c r="AW374" s="17"/>
      <c r="AX374" s="17"/>
      <c r="AY374" s="17"/>
      <c r="AZ374" s="17"/>
      <c r="BA374" s="17"/>
      <c r="BB374" s="17"/>
      <c r="BC374" s="19">
        <v>544.41403006452936</v>
      </c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9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9"/>
    </row>
    <row r="375" spans="2:81" s="22" customFormat="1" ht="14.5" outlineLevel="1" x14ac:dyDescent="0.35">
      <c r="B375" s="25" t="s">
        <v>290</v>
      </c>
      <c r="C375" s="23" t="s">
        <v>286</v>
      </c>
      <c r="D375" s="20"/>
      <c r="E375" s="20"/>
      <c r="F375" s="20"/>
      <c r="G375" s="20"/>
      <c r="H375" s="20"/>
      <c r="I375" s="20">
        <v>4990</v>
      </c>
      <c r="J375" s="20"/>
      <c r="K375" s="20"/>
      <c r="L375" s="20"/>
      <c r="M375" s="20"/>
      <c r="N375" s="20"/>
      <c r="O375" s="20"/>
      <c r="P375" s="21">
        <v>4990</v>
      </c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1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1"/>
      <c r="AQ375" s="36"/>
      <c r="AR375" s="36"/>
      <c r="AS375" s="36"/>
      <c r="AT375" s="36"/>
      <c r="AU375" s="36"/>
      <c r="AV375" s="36">
        <v>544.41397113652442</v>
      </c>
      <c r="AW375" s="36"/>
      <c r="AX375" s="36"/>
      <c r="AY375" s="36"/>
      <c r="AZ375" s="36"/>
      <c r="BA375" s="36"/>
      <c r="BB375" s="36"/>
      <c r="BC375" s="37">
        <v>544.41397113652442</v>
      </c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7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7"/>
    </row>
    <row r="376" spans="2:81" ht="14.5" x14ac:dyDescent="0.35">
      <c r="B376" s="15" t="s">
        <v>291</v>
      </c>
      <c r="C376" s="16"/>
      <c r="D376" s="17"/>
      <c r="E376" s="17"/>
      <c r="F376" s="17"/>
      <c r="G376" s="17"/>
      <c r="H376" s="17"/>
      <c r="I376" s="17">
        <v>4990</v>
      </c>
      <c r="J376" s="17"/>
      <c r="K376" s="17"/>
      <c r="L376" s="17"/>
      <c r="M376" s="17"/>
      <c r="N376" s="17"/>
      <c r="O376" s="17"/>
      <c r="P376" s="18">
        <v>4990</v>
      </c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8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8"/>
      <c r="AQ376" s="17"/>
      <c r="AR376" s="17"/>
      <c r="AS376" s="17"/>
      <c r="AT376" s="17"/>
      <c r="AU376" s="17"/>
      <c r="AV376" s="17">
        <v>544.41397113652442</v>
      </c>
      <c r="AW376" s="17"/>
      <c r="AX376" s="17"/>
      <c r="AY376" s="17"/>
      <c r="AZ376" s="17"/>
      <c r="BA376" s="17"/>
      <c r="BB376" s="17"/>
      <c r="BC376" s="19">
        <v>544.41397113652442</v>
      </c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9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9"/>
    </row>
    <row r="377" spans="2:81" s="22" customFormat="1" ht="14.5" outlineLevel="1" x14ac:dyDescent="0.35">
      <c r="B377" s="25" t="s">
        <v>292</v>
      </c>
      <c r="C377" s="23" t="s">
        <v>131</v>
      </c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1"/>
      <c r="Q377" s="20"/>
      <c r="R377" s="20"/>
      <c r="S377" s="20"/>
      <c r="T377" s="20"/>
      <c r="U377" s="20"/>
      <c r="V377" s="20"/>
      <c r="W377" s="20">
        <v>286650</v>
      </c>
      <c r="X377" s="20"/>
      <c r="Y377" s="20"/>
      <c r="Z377" s="20"/>
      <c r="AA377" s="20"/>
      <c r="AB377" s="20"/>
      <c r="AC377" s="21">
        <v>286650</v>
      </c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1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7"/>
      <c r="BD377" s="36"/>
      <c r="BE377" s="36"/>
      <c r="BF377" s="36"/>
      <c r="BG377" s="36"/>
      <c r="BH377" s="36"/>
      <c r="BI377" s="36"/>
      <c r="BJ377" s="36">
        <v>667.58277049248466</v>
      </c>
      <c r="BK377" s="36"/>
      <c r="BL377" s="36"/>
      <c r="BM377" s="36"/>
      <c r="BN377" s="36"/>
      <c r="BO377" s="36"/>
      <c r="BP377" s="37">
        <v>667.58277049248466</v>
      </c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7"/>
    </row>
    <row r="378" spans="2:81" s="22" customFormat="1" ht="14.5" outlineLevel="1" x14ac:dyDescent="0.35">
      <c r="B378" s="25" t="s">
        <v>292</v>
      </c>
      <c r="C378" s="23" t="s">
        <v>271</v>
      </c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1"/>
      <c r="Q378" s="20">
        <v>11000</v>
      </c>
      <c r="R378" s="20">
        <v>11000</v>
      </c>
      <c r="S378" s="20">
        <v>33000</v>
      </c>
      <c r="T378" s="20"/>
      <c r="U378" s="20"/>
      <c r="V378" s="20">
        <v>10500</v>
      </c>
      <c r="W378" s="20">
        <v>31600</v>
      </c>
      <c r="X378" s="20"/>
      <c r="Y378" s="20"/>
      <c r="Z378" s="20"/>
      <c r="AA378" s="20"/>
      <c r="AB378" s="20"/>
      <c r="AC378" s="21">
        <v>97100</v>
      </c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1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7"/>
      <c r="BD378" s="36">
        <v>747.32182490803473</v>
      </c>
      <c r="BE378" s="36">
        <v>745.53059681951095</v>
      </c>
      <c r="BF378" s="36">
        <v>742.66455170305744</v>
      </c>
      <c r="BG378" s="36"/>
      <c r="BH378" s="36"/>
      <c r="BI378" s="36">
        <v>630.50669032765575</v>
      </c>
      <c r="BJ378" s="36">
        <v>628.75661391972415</v>
      </c>
      <c r="BK378" s="36"/>
      <c r="BL378" s="36"/>
      <c r="BM378" s="36"/>
      <c r="BN378" s="36"/>
      <c r="BO378" s="36"/>
      <c r="BP378" s="37">
        <v>694.31860034508315</v>
      </c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7"/>
    </row>
    <row r="379" spans="2:81" s="22" customFormat="1" ht="14.5" outlineLevel="1" x14ac:dyDescent="0.35">
      <c r="B379" s="25" t="s">
        <v>292</v>
      </c>
      <c r="C379" s="23" t="s">
        <v>293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1"/>
      <c r="Q379" s="20"/>
      <c r="R379" s="20"/>
      <c r="S379" s="20"/>
      <c r="T379" s="20"/>
      <c r="U379" s="20"/>
      <c r="V379" s="20">
        <v>63000</v>
      </c>
      <c r="W379" s="20"/>
      <c r="X379" s="20"/>
      <c r="Y379" s="20"/>
      <c r="Z379" s="20"/>
      <c r="AA379" s="20"/>
      <c r="AB379" s="20"/>
      <c r="AC379" s="21">
        <v>63000</v>
      </c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1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7"/>
      <c r="BD379" s="36"/>
      <c r="BE379" s="36"/>
      <c r="BF379" s="36"/>
      <c r="BG379" s="36"/>
      <c r="BH379" s="36"/>
      <c r="BI379" s="36">
        <v>599.48748001387708</v>
      </c>
      <c r="BJ379" s="36"/>
      <c r="BK379" s="36"/>
      <c r="BL379" s="36"/>
      <c r="BM379" s="36"/>
      <c r="BN379" s="36"/>
      <c r="BO379" s="36"/>
      <c r="BP379" s="37">
        <v>599.48748001387708</v>
      </c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7"/>
    </row>
    <row r="380" spans="2:81" ht="14.5" x14ac:dyDescent="0.35">
      <c r="B380" s="15" t="s">
        <v>294</v>
      </c>
      <c r="C380" s="1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8"/>
      <c r="Q380" s="17">
        <v>11000</v>
      </c>
      <c r="R380" s="17">
        <v>11000</v>
      </c>
      <c r="S380" s="17">
        <v>33000</v>
      </c>
      <c r="T380" s="17"/>
      <c r="U380" s="17"/>
      <c r="V380" s="17">
        <v>73500</v>
      </c>
      <c r="W380" s="17">
        <v>318250</v>
      </c>
      <c r="X380" s="17"/>
      <c r="Y380" s="17"/>
      <c r="Z380" s="17"/>
      <c r="AA380" s="17"/>
      <c r="AB380" s="17"/>
      <c r="AC380" s="18">
        <v>446750</v>
      </c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8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9"/>
      <c r="BD380" s="17">
        <v>747.32182490803473</v>
      </c>
      <c r="BE380" s="17">
        <v>745.53059681951095</v>
      </c>
      <c r="BF380" s="17">
        <v>742.66455170305744</v>
      </c>
      <c r="BG380" s="17"/>
      <c r="BH380" s="17"/>
      <c r="BI380" s="17">
        <v>603.91879577298823</v>
      </c>
      <c r="BJ380" s="17">
        <v>663.7276045924084</v>
      </c>
      <c r="BK380" s="17"/>
      <c r="BL380" s="17"/>
      <c r="BM380" s="17"/>
      <c r="BN380" s="17"/>
      <c r="BO380" s="17"/>
      <c r="BP380" s="19">
        <v>663.79104308014018</v>
      </c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9"/>
    </row>
    <row r="381" spans="2:81" s="22" customFormat="1" ht="14.5" outlineLevel="1" x14ac:dyDescent="0.35">
      <c r="B381" s="25" t="s">
        <v>295</v>
      </c>
      <c r="C381" s="23" t="s">
        <v>296</v>
      </c>
      <c r="D381" s="20"/>
      <c r="E381" s="20"/>
      <c r="F381" s="20"/>
      <c r="G381" s="20"/>
      <c r="H381" s="20"/>
      <c r="I381" s="20"/>
      <c r="J381" s="20"/>
      <c r="K381" s="20"/>
      <c r="L381" s="20">
        <v>5000</v>
      </c>
      <c r="M381" s="20">
        <v>15750</v>
      </c>
      <c r="N381" s="20">
        <v>0</v>
      </c>
      <c r="O381" s="20"/>
      <c r="P381" s="21">
        <v>20750</v>
      </c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1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1"/>
      <c r="AQ381" s="36"/>
      <c r="AR381" s="36"/>
      <c r="AS381" s="36"/>
      <c r="AT381" s="36"/>
      <c r="AU381" s="36"/>
      <c r="AV381" s="36"/>
      <c r="AW381" s="36"/>
      <c r="AX381" s="36"/>
      <c r="AY381" s="36">
        <v>904.51867866877535</v>
      </c>
      <c r="AZ381" s="36">
        <v>894.31163236115913</v>
      </c>
      <c r="BA381" s="36"/>
      <c r="BB381" s="36"/>
      <c r="BC381" s="37">
        <v>896.77116159190996</v>
      </c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7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7"/>
    </row>
    <row r="382" spans="2:81" ht="14.5" x14ac:dyDescent="0.35">
      <c r="B382" s="15" t="s">
        <v>297</v>
      </c>
      <c r="C382" s="16"/>
      <c r="D382" s="17"/>
      <c r="E382" s="17"/>
      <c r="F382" s="17"/>
      <c r="G382" s="17"/>
      <c r="H382" s="17"/>
      <c r="I382" s="17"/>
      <c r="J382" s="17"/>
      <c r="K382" s="17"/>
      <c r="L382" s="17">
        <v>5000</v>
      </c>
      <c r="M382" s="17">
        <v>15750</v>
      </c>
      <c r="N382" s="17">
        <v>0</v>
      </c>
      <c r="O382" s="17"/>
      <c r="P382" s="18">
        <v>20750</v>
      </c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8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8"/>
      <c r="AQ382" s="17"/>
      <c r="AR382" s="17"/>
      <c r="AS382" s="17"/>
      <c r="AT382" s="17"/>
      <c r="AU382" s="17"/>
      <c r="AV382" s="17"/>
      <c r="AW382" s="17"/>
      <c r="AX382" s="17"/>
      <c r="AY382" s="17">
        <v>904.51867866877535</v>
      </c>
      <c r="AZ382" s="17">
        <v>894.31163236115913</v>
      </c>
      <c r="BA382" s="17"/>
      <c r="BB382" s="17"/>
      <c r="BC382" s="19">
        <v>896.77116159190996</v>
      </c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9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9"/>
    </row>
    <row r="383" spans="2:81" s="22" customFormat="1" ht="14.5" outlineLevel="1" x14ac:dyDescent="0.35">
      <c r="B383" s="25" t="s">
        <v>298</v>
      </c>
      <c r="C383" s="23" t="s">
        <v>299</v>
      </c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1"/>
      <c r="Q383" s="20"/>
      <c r="R383" s="20"/>
      <c r="S383" s="20">
        <v>50</v>
      </c>
      <c r="T383" s="20"/>
      <c r="U383" s="20"/>
      <c r="V383" s="20"/>
      <c r="W383" s="20"/>
      <c r="X383" s="20"/>
      <c r="Y383" s="20"/>
      <c r="Z383" s="20"/>
      <c r="AA383" s="20"/>
      <c r="AB383" s="20"/>
      <c r="AC383" s="21">
        <v>50</v>
      </c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1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7"/>
      <c r="BD383" s="36"/>
      <c r="BE383" s="36"/>
      <c r="BF383" s="36">
        <v>1051.2485037237202</v>
      </c>
      <c r="BG383" s="36"/>
      <c r="BH383" s="36"/>
      <c r="BI383" s="36"/>
      <c r="BJ383" s="36"/>
      <c r="BK383" s="36"/>
      <c r="BL383" s="36"/>
      <c r="BM383" s="36"/>
      <c r="BN383" s="36"/>
      <c r="BO383" s="36"/>
      <c r="BP383" s="37">
        <v>1051.2485037237202</v>
      </c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7"/>
    </row>
    <row r="384" spans="2:81" ht="14.5" x14ac:dyDescent="0.35">
      <c r="B384" s="15" t="s">
        <v>300</v>
      </c>
      <c r="C384" s="1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8"/>
      <c r="Q384" s="17"/>
      <c r="R384" s="17"/>
      <c r="S384" s="17">
        <v>50</v>
      </c>
      <c r="T384" s="17"/>
      <c r="U384" s="17"/>
      <c r="V384" s="17"/>
      <c r="W384" s="17"/>
      <c r="X384" s="17"/>
      <c r="Y384" s="17"/>
      <c r="Z384" s="17"/>
      <c r="AA384" s="17"/>
      <c r="AB384" s="17"/>
      <c r="AC384" s="18">
        <v>50</v>
      </c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8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9"/>
      <c r="BD384" s="17"/>
      <c r="BE384" s="17"/>
      <c r="BF384" s="17">
        <v>1051.2485037237202</v>
      </c>
      <c r="BG384" s="17"/>
      <c r="BH384" s="17"/>
      <c r="BI384" s="17"/>
      <c r="BJ384" s="17"/>
      <c r="BK384" s="17"/>
      <c r="BL384" s="17"/>
      <c r="BM384" s="17"/>
      <c r="BN384" s="17"/>
      <c r="BO384" s="17"/>
      <c r="BP384" s="19">
        <v>1051.2485037237202</v>
      </c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9"/>
    </row>
    <row r="385" spans="2:81" s="22" customFormat="1" ht="14.5" outlineLevel="1" x14ac:dyDescent="0.35">
      <c r="B385" s="25" t="s">
        <v>301</v>
      </c>
      <c r="C385" s="23" t="s">
        <v>299</v>
      </c>
      <c r="D385" s="20"/>
      <c r="E385" s="20"/>
      <c r="F385" s="20"/>
      <c r="G385" s="20"/>
      <c r="H385" s="20"/>
      <c r="I385" s="20"/>
      <c r="J385" s="20"/>
      <c r="K385" s="20">
        <v>19150</v>
      </c>
      <c r="L385" s="20"/>
      <c r="M385" s="20"/>
      <c r="N385" s="20"/>
      <c r="O385" s="20">
        <v>14000</v>
      </c>
      <c r="P385" s="21">
        <v>33150</v>
      </c>
      <c r="Q385" s="20"/>
      <c r="R385" s="20"/>
      <c r="S385" s="20">
        <v>19000</v>
      </c>
      <c r="T385" s="20"/>
      <c r="U385" s="20"/>
      <c r="V385" s="20">
        <v>20000</v>
      </c>
      <c r="W385" s="20">
        <v>12000</v>
      </c>
      <c r="X385" s="20"/>
      <c r="Y385" s="20">
        <v>16000</v>
      </c>
      <c r="Z385" s="20"/>
      <c r="AA385" s="20"/>
      <c r="AB385" s="20"/>
      <c r="AC385" s="21">
        <v>67000</v>
      </c>
      <c r="AD385" s="20">
        <v>18000</v>
      </c>
      <c r="AE385" s="20"/>
      <c r="AF385" s="20"/>
      <c r="AG385" s="20">
        <v>20000</v>
      </c>
      <c r="AH385" s="20"/>
      <c r="AI385" s="20"/>
      <c r="AJ385" s="20"/>
      <c r="AK385" s="20"/>
      <c r="AL385" s="20"/>
      <c r="AM385" s="20"/>
      <c r="AN385" s="20"/>
      <c r="AO385" s="20"/>
      <c r="AP385" s="21">
        <v>38000</v>
      </c>
      <c r="AQ385" s="36"/>
      <c r="AR385" s="36"/>
      <c r="AS385" s="36"/>
      <c r="AT385" s="36"/>
      <c r="AU385" s="36"/>
      <c r="AV385" s="36"/>
      <c r="AW385" s="36"/>
      <c r="AX385" s="36">
        <v>1075.8696254019294</v>
      </c>
      <c r="AY385" s="36"/>
      <c r="AZ385" s="36"/>
      <c r="BA385" s="36"/>
      <c r="BB385" s="36">
        <v>1078.1625230840261</v>
      </c>
      <c r="BC385" s="37">
        <v>1076.8379683144287</v>
      </c>
      <c r="BD385" s="36"/>
      <c r="BE385" s="36"/>
      <c r="BF385" s="36">
        <v>1051.203190096807</v>
      </c>
      <c r="BG385" s="36"/>
      <c r="BH385" s="36"/>
      <c r="BI385" s="36">
        <v>1055.7065506125082</v>
      </c>
      <c r="BJ385" s="36">
        <v>1052.0476087374905</v>
      </c>
      <c r="BK385" s="36"/>
      <c r="BL385" s="36">
        <v>1053.0884777777781</v>
      </c>
      <c r="BM385" s="36"/>
      <c r="BN385" s="36"/>
      <c r="BO385" s="36"/>
      <c r="BP385" s="37">
        <v>1053.148933931102</v>
      </c>
      <c r="BQ385" s="36">
        <v>1053.3537004998079</v>
      </c>
      <c r="BR385" s="36"/>
      <c r="BS385" s="36"/>
      <c r="BT385" s="36">
        <v>1060.0001654155276</v>
      </c>
      <c r="BU385" s="36"/>
      <c r="BV385" s="36"/>
      <c r="BW385" s="36"/>
      <c r="BX385" s="36"/>
      <c r="BY385" s="36"/>
      <c r="BZ385" s="36"/>
      <c r="CA385" s="36"/>
      <c r="CB385" s="36"/>
      <c r="CC385" s="37">
        <v>1056.851839929134</v>
      </c>
    </row>
    <row r="386" spans="2:81" ht="14.5" x14ac:dyDescent="0.35">
      <c r="B386" s="15" t="s">
        <v>302</v>
      </c>
      <c r="C386" s="16"/>
      <c r="D386" s="17"/>
      <c r="E386" s="17"/>
      <c r="F386" s="17"/>
      <c r="G386" s="17"/>
      <c r="H386" s="17"/>
      <c r="I386" s="17"/>
      <c r="J386" s="17"/>
      <c r="K386" s="17">
        <v>19150</v>
      </c>
      <c r="L386" s="17"/>
      <c r="M386" s="17"/>
      <c r="N386" s="17"/>
      <c r="O386" s="17">
        <v>14000</v>
      </c>
      <c r="P386" s="18">
        <v>33150</v>
      </c>
      <c r="Q386" s="17"/>
      <c r="R386" s="17"/>
      <c r="S386" s="17">
        <v>19000</v>
      </c>
      <c r="T386" s="17"/>
      <c r="U386" s="17"/>
      <c r="V386" s="17">
        <v>20000</v>
      </c>
      <c r="W386" s="17">
        <v>12000</v>
      </c>
      <c r="X386" s="17"/>
      <c r="Y386" s="17">
        <v>16000</v>
      </c>
      <c r="Z386" s="17"/>
      <c r="AA386" s="17"/>
      <c r="AB386" s="17"/>
      <c r="AC386" s="18">
        <v>67000</v>
      </c>
      <c r="AD386" s="17">
        <v>18000</v>
      </c>
      <c r="AE386" s="17"/>
      <c r="AF386" s="17"/>
      <c r="AG386" s="17">
        <v>20000</v>
      </c>
      <c r="AH386" s="17"/>
      <c r="AI386" s="17"/>
      <c r="AJ386" s="17"/>
      <c r="AK386" s="17"/>
      <c r="AL386" s="17"/>
      <c r="AM386" s="17"/>
      <c r="AN386" s="17"/>
      <c r="AO386" s="17"/>
      <c r="AP386" s="18">
        <v>38000</v>
      </c>
      <c r="AQ386" s="17"/>
      <c r="AR386" s="17"/>
      <c r="AS386" s="17"/>
      <c r="AT386" s="17"/>
      <c r="AU386" s="17"/>
      <c r="AV386" s="17"/>
      <c r="AW386" s="17"/>
      <c r="AX386" s="17">
        <v>1075.8696254019294</v>
      </c>
      <c r="AY386" s="17"/>
      <c r="AZ386" s="17"/>
      <c r="BA386" s="17"/>
      <c r="BB386" s="17">
        <v>1078.1625230840261</v>
      </c>
      <c r="BC386" s="19">
        <v>1076.8379683144287</v>
      </c>
      <c r="BD386" s="17"/>
      <c r="BE386" s="17"/>
      <c r="BF386" s="17">
        <v>1051.203190096807</v>
      </c>
      <c r="BG386" s="17"/>
      <c r="BH386" s="17"/>
      <c r="BI386" s="17">
        <v>1055.7065506125082</v>
      </c>
      <c r="BJ386" s="17">
        <v>1052.0476087374905</v>
      </c>
      <c r="BK386" s="17"/>
      <c r="BL386" s="17">
        <v>1053.0884777777781</v>
      </c>
      <c r="BM386" s="17"/>
      <c r="BN386" s="17"/>
      <c r="BO386" s="17"/>
      <c r="BP386" s="19">
        <v>1053.148933931102</v>
      </c>
      <c r="BQ386" s="17">
        <v>1053.3537004998079</v>
      </c>
      <c r="BR386" s="17"/>
      <c r="BS386" s="17"/>
      <c r="BT386" s="17">
        <v>1060.0001654155276</v>
      </c>
      <c r="BU386" s="17"/>
      <c r="BV386" s="17"/>
      <c r="BW386" s="17"/>
      <c r="BX386" s="17"/>
      <c r="BY386" s="17"/>
      <c r="BZ386" s="17"/>
      <c r="CA386" s="17"/>
      <c r="CB386" s="17"/>
      <c r="CC386" s="19">
        <v>1056.851839929134</v>
      </c>
    </row>
    <row r="387" spans="2:81" s="22" customFormat="1" ht="14.5" outlineLevel="1" x14ac:dyDescent="0.35">
      <c r="B387" s="25" t="s">
        <v>303</v>
      </c>
      <c r="C387" s="23" t="s">
        <v>204</v>
      </c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1"/>
      <c r="Q387" s="20"/>
      <c r="R387" s="20"/>
      <c r="S387" s="20"/>
      <c r="T387" s="20"/>
      <c r="U387" s="20"/>
      <c r="V387" s="20"/>
      <c r="W387" s="20"/>
      <c r="X387" s="20"/>
      <c r="Y387" s="20"/>
      <c r="Z387" s="20">
        <v>4125</v>
      </c>
      <c r="AA387" s="20"/>
      <c r="AB387" s="20">
        <v>2750</v>
      </c>
      <c r="AC387" s="21">
        <v>6875</v>
      </c>
      <c r="AD387" s="20"/>
      <c r="AE387" s="20"/>
      <c r="AF387" s="20"/>
      <c r="AG387" s="20">
        <v>400</v>
      </c>
      <c r="AH387" s="20"/>
      <c r="AI387" s="20"/>
      <c r="AJ387" s="20"/>
      <c r="AK387" s="20"/>
      <c r="AL387" s="20"/>
      <c r="AM387" s="20"/>
      <c r="AN387" s="20"/>
      <c r="AO387" s="20"/>
      <c r="AP387" s="21">
        <v>400</v>
      </c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7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>
        <v>1093.8997132804279</v>
      </c>
      <c r="BN387" s="36"/>
      <c r="BO387" s="36">
        <v>770.62284231586239</v>
      </c>
      <c r="BP387" s="37">
        <v>964.58896489460176</v>
      </c>
      <c r="BQ387" s="36"/>
      <c r="BR387" s="36"/>
      <c r="BS387" s="36"/>
      <c r="BT387" s="36">
        <v>1235.1897839370235</v>
      </c>
      <c r="BU387" s="36"/>
      <c r="BV387" s="36"/>
      <c r="BW387" s="36"/>
      <c r="BX387" s="36"/>
      <c r="BY387" s="36"/>
      <c r="BZ387" s="36"/>
      <c r="CA387" s="36"/>
      <c r="CB387" s="36"/>
      <c r="CC387" s="37">
        <v>1235.1897839370235</v>
      </c>
    </row>
    <row r="388" spans="2:81" s="22" customFormat="1" ht="14.5" outlineLevel="1" x14ac:dyDescent="0.35">
      <c r="B388" s="25" t="s">
        <v>303</v>
      </c>
      <c r="C388" s="23" t="s">
        <v>5</v>
      </c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1"/>
      <c r="Q388" s="20"/>
      <c r="R388" s="20"/>
      <c r="S388" s="20"/>
      <c r="T388" s="20"/>
      <c r="U388" s="20"/>
      <c r="V388" s="20"/>
      <c r="W388" s="20"/>
      <c r="X388" s="20"/>
      <c r="Y388" s="20">
        <v>25</v>
      </c>
      <c r="Z388" s="20"/>
      <c r="AA388" s="20"/>
      <c r="AB388" s="20"/>
      <c r="AC388" s="21">
        <v>25</v>
      </c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1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7"/>
      <c r="BD388" s="36"/>
      <c r="BE388" s="36"/>
      <c r="BF388" s="36"/>
      <c r="BG388" s="36"/>
      <c r="BH388" s="36"/>
      <c r="BI388" s="36"/>
      <c r="BJ388" s="36"/>
      <c r="BK388" s="36"/>
      <c r="BL388" s="36">
        <v>1092.25883841827</v>
      </c>
      <c r="BM388" s="36"/>
      <c r="BN388" s="36"/>
      <c r="BO388" s="36"/>
      <c r="BP388" s="37">
        <v>1092.25883841827</v>
      </c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7"/>
    </row>
    <row r="389" spans="2:81" s="22" customFormat="1" ht="14.5" outlineLevel="1" x14ac:dyDescent="0.35">
      <c r="B389" s="25" t="s">
        <v>303</v>
      </c>
      <c r="C389" s="23" t="s">
        <v>192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1"/>
      <c r="Q389" s="20"/>
      <c r="R389" s="20">
        <v>5</v>
      </c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1">
        <v>5</v>
      </c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1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7"/>
      <c r="BD389" s="36"/>
      <c r="BE389" s="36">
        <v>830.95528287688489</v>
      </c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7">
        <v>830.95528287688489</v>
      </c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7"/>
    </row>
    <row r="390" spans="2:81" s="22" customFormat="1" ht="14.5" outlineLevel="1" x14ac:dyDescent="0.35">
      <c r="B390" s="25" t="s">
        <v>303</v>
      </c>
      <c r="C390" s="23" t="s">
        <v>304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1"/>
      <c r="Q390" s="20"/>
      <c r="R390" s="20">
        <v>50</v>
      </c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1">
        <v>50</v>
      </c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1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7"/>
      <c r="BD390" s="36"/>
      <c r="BE390" s="36">
        <v>1066.5508902220743</v>
      </c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7">
        <v>1066.5508902220743</v>
      </c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7"/>
    </row>
    <row r="391" spans="2:81" s="22" customFormat="1" ht="14.5" outlineLevel="1" x14ac:dyDescent="0.35">
      <c r="B391" s="25" t="s">
        <v>303</v>
      </c>
      <c r="C391" s="23" t="s">
        <v>299</v>
      </c>
      <c r="D391" s="20"/>
      <c r="E391" s="20"/>
      <c r="F391" s="20"/>
      <c r="G391" s="20"/>
      <c r="H391" s="20"/>
      <c r="I391" s="20"/>
      <c r="J391" s="20"/>
      <c r="K391" s="20">
        <v>5850</v>
      </c>
      <c r="L391" s="20"/>
      <c r="M391" s="20"/>
      <c r="N391" s="20"/>
      <c r="O391" s="20">
        <v>10000</v>
      </c>
      <c r="P391" s="21">
        <v>15850</v>
      </c>
      <c r="Q391" s="20"/>
      <c r="R391" s="20"/>
      <c r="S391" s="20">
        <v>5000</v>
      </c>
      <c r="T391" s="20"/>
      <c r="U391" s="20"/>
      <c r="V391" s="20">
        <v>4000</v>
      </c>
      <c r="W391" s="20">
        <v>12000</v>
      </c>
      <c r="X391" s="20"/>
      <c r="Y391" s="20">
        <v>8000</v>
      </c>
      <c r="Z391" s="20"/>
      <c r="AA391" s="20"/>
      <c r="AB391" s="20"/>
      <c r="AC391" s="21">
        <v>29000</v>
      </c>
      <c r="AD391" s="20">
        <v>6000</v>
      </c>
      <c r="AE391" s="20"/>
      <c r="AF391" s="20"/>
      <c r="AG391" s="20">
        <v>4000</v>
      </c>
      <c r="AH391" s="20"/>
      <c r="AI391" s="20"/>
      <c r="AJ391" s="20"/>
      <c r="AK391" s="20"/>
      <c r="AL391" s="20"/>
      <c r="AM391" s="20"/>
      <c r="AN391" s="20"/>
      <c r="AO391" s="20"/>
      <c r="AP391" s="21">
        <v>10000</v>
      </c>
      <c r="AQ391" s="36"/>
      <c r="AR391" s="36"/>
      <c r="AS391" s="36"/>
      <c r="AT391" s="36"/>
      <c r="AU391" s="36"/>
      <c r="AV391" s="36"/>
      <c r="AW391" s="36"/>
      <c r="AX391" s="36">
        <v>1075.8696254019296</v>
      </c>
      <c r="AY391" s="36"/>
      <c r="AZ391" s="36"/>
      <c r="BA391" s="36"/>
      <c r="BB391" s="36">
        <v>1078.1625230840259</v>
      </c>
      <c r="BC391" s="37">
        <v>1077.3162485452081</v>
      </c>
      <c r="BD391" s="36"/>
      <c r="BE391" s="36"/>
      <c r="BF391" s="36">
        <v>1051.203190096807</v>
      </c>
      <c r="BG391" s="36"/>
      <c r="BH391" s="36"/>
      <c r="BI391" s="36">
        <v>1055.7065506125082</v>
      </c>
      <c r="BJ391" s="36">
        <v>1052.0476087374905</v>
      </c>
      <c r="BK391" s="36"/>
      <c r="BL391" s="36">
        <v>1053.0884777777781</v>
      </c>
      <c r="BM391" s="36"/>
      <c r="BN391" s="36"/>
      <c r="BO391" s="36"/>
      <c r="BP391" s="37">
        <v>1052.6938372415923</v>
      </c>
      <c r="BQ391" s="36">
        <v>1053.3537004998079</v>
      </c>
      <c r="BR391" s="36"/>
      <c r="BS391" s="36"/>
      <c r="BT391" s="36">
        <v>1060.0001654155276</v>
      </c>
      <c r="BU391" s="36"/>
      <c r="BV391" s="36"/>
      <c r="BW391" s="36"/>
      <c r="BX391" s="36"/>
      <c r="BY391" s="36"/>
      <c r="BZ391" s="36"/>
      <c r="CA391" s="36"/>
      <c r="CB391" s="36"/>
      <c r="CC391" s="37">
        <v>1056.0122864660957</v>
      </c>
    </row>
    <row r="392" spans="2:81" ht="14.5" x14ac:dyDescent="0.35">
      <c r="B392" s="15" t="s">
        <v>305</v>
      </c>
      <c r="C392" s="16"/>
      <c r="D392" s="17"/>
      <c r="E392" s="17"/>
      <c r="F392" s="17"/>
      <c r="G392" s="17"/>
      <c r="H392" s="17"/>
      <c r="I392" s="17"/>
      <c r="J392" s="17"/>
      <c r="K392" s="17">
        <v>5850</v>
      </c>
      <c r="L392" s="17"/>
      <c r="M392" s="17"/>
      <c r="N392" s="17"/>
      <c r="O392" s="17">
        <v>10000</v>
      </c>
      <c r="P392" s="18">
        <v>15850</v>
      </c>
      <c r="Q392" s="17"/>
      <c r="R392" s="17">
        <v>55</v>
      </c>
      <c r="S392" s="17">
        <v>5000</v>
      </c>
      <c r="T392" s="17"/>
      <c r="U392" s="17"/>
      <c r="V392" s="17">
        <v>4000</v>
      </c>
      <c r="W392" s="17">
        <v>12000</v>
      </c>
      <c r="X392" s="17"/>
      <c r="Y392" s="17">
        <v>8025</v>
      </c>
      <c r="Z392" s="17">
        <v>4125</v>
      </c>
      <c r="AA392" s="17"/>
      <c r="AB392" s="17">
        <v>2750</v>
      </c>
      <c r="AC392" s="18">
        <v>35955</v>
      </c>
      <c r="AD392" s="17">
        <v>6000</v>
      </c>
      <c r="AE392" s="17"/>
      <c r="AF392" s="17"/>
      <c r="AG392" s="17">
        <v>4400</v>
      </c>
      <c r="AH392" s="17"/>
      <c r="AI392" s="17"/>
      <c r="AJ392" s="17"/>
      <c r="AK392" s="17"/>
      <c r="AL392" s="17"/>
      <c r="AM392" s="17"/>
      <c r="AN392" s="17"/>
      <c r="AO392" s="17"/>
      <c r="AP392" s="18">
        <v>10400</v>
      </c>
      <c r="AQ392" s="17"/>
      <c r="AR392" s="17"/>
      <c r="AS392" s="17"/>
      <c r="AT392" s="17"/>
      <c r="AU392" s="17"/>
      <c r="AV392" s="17"/>
      <c r="AW392" s="17"/>
      <c r="AX392" s="17">
        <v>1075.8696254019296</v>
      </c>
      <c r="AY392" s="17"/>
      <c r="AZ392" s="17"/>
      <c r="BA392" s="17"/>
      <c r="BB392" s="17">
        <v>1078.1625230840259</v>
      </c>
      <c r="BC392" s="19">
        <v>1077.3162485452081</v>
      </c>
      <c r="BD392" s="17"/>
      <c r="BE392" s="17">
        <v>1045.1331077361476</v>
      </c>
      <c r="BF392" s="17">
        <v>1051.203190096807</v>
      </c>
      <c r="BG392" s="17"/>
      <c r="BH392" s="17"/>
      <c r="BI392" s="17">
        <v>1055.7065506125082</v>
      </c>
      <c r="BJ392" s="17">
        <v>1052.0476087374905</v>
      </c>
      <c r="BK392" s="17"/>
      <c r="BL392" s="17">
        <v>1053.2105038233869</v>
      </c>
      <c r="BM392" s="17">
        <v>1093.8997132804279</v>
      </c>
      <c r="BN392" s="17"/>
      <c r="BO392" s="17">
        <v>770.62284231586239</v>
      </c>
      <c r="BP392" s="19">
        <v>1035.8631401903074</v>
      </c>
      <c r="BQ392" s="17">
        <v>1053.3537004998079</v>
      </c>
      <c r="BR392" s="17"/>
      <c r="BS392" s="17"/>
      <c r="BT392" s="17">
        <v>1075.9264943720273</v>
      </c>
      <c r="BU392" s="17"/>
      <c r="BV392" s="17"/>
      <c r="BW392" s="17"/>
      <c r="BX392" s="17"/>
      <c r="BY392" s="17"/>
      <c r="BZ392" s="17"/>
      <c r="CA392" s="17"/>
      <c r="CB392" s="17"/>
      <c r="CC392" s="19">
        <v>1062.9037286765163</v>
      </c>
    </row>
    <row r="393" spans="2:81" s="22" customFormat="1" ht="14.5" outlineLevel="1" x14ac:dyDescent="0.35">
      <c r="B393" s="25" t="s">
        <v>306</v>
      </c>
      <c r="C393" s="23" t="s">
        <v>52</v>
      </c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>
        <v>2000</v>
      </c>
      <c r="P393" s="21">
        <v>2000</v>
      </c>
      <c r="Q393" s="20"/>
      <c r="R393" s="20"/>
      <c r="S393" s="20"/>
      <c r="T393" s="20"/>
      <c r="U393" s="20">
        <v>0</v>
      </c>
      <c r="V393" s="20"/>
      <c r="W393" s="20"/>
      <c r="X393" s="20"/>
      <c r="Y393" s="20"/>
      <c r="Z393" s="20"/>
      <c r="AA393" s="20">
        <v>1500</v>
      </c>
      <c r="AB393" s="20"/>
      <c r="AC393" s="21">
        <v>1500</v>
      </c>
      <c r="AD393" s="20"/>
      <c r="AE393" s="20"/>
      <c r="AF393" s="20">
        <v>15125</v>
      </c>
      <c r="AG393" s="20"/>
      <c r="AH393" s="20"/>
      <c r="AI393" s="20"/>
      <c r="AJ393" s="20"/>
      <c r="AK393" s="20"/>
      <c r="AL393" s="20"/>
      <c r="AM393" s="20"/>
      <c r="AN393" s="20"/>
      <c r="AO393" s="20"/>
      <c r="AP393" s="21">
        <v>15125</v>
      </c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>
        <v>1399.4669472939931</v>
      </c>
      <c r="BC393" s="37">
        <v>1399.4669472939931</v>
      </c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>
        <v>1396.3132914825458</v>
      </c>
      <c r="BO393" s="36"/>
      <c r="BP393" s="37">
        <v>1396.3132914825458</v>
      </c>
      <c r="BQ393" s="36"/>
      <c r="BR393" s="36"/>
      <c r="BS393" s="36">
        <v>1353.8944981444708</v>
      </c>
      <c r="BT393" s="36"/>
      <c r="BU393" s="36"/>
      <c r="BV393" s="36"/>
      <c r="BW393" s="36"/>
      <c r="BX393" s="36"/>
      <c r="BY393" s="36"/>
      <c r="BZ393" s="36"/>
      <c r="CA393" s="36"/>
      <c r="CB393" s="36"/>
      <c r="CC393" s="37">
        <v>1353.8944981444708</v>
      </c>
    </row>
    <row r="394" spans="2:81" s="22" customFormat="1" ht="14.5" outlineLevel="1" x14ac:dyDescent="0.35">
      <c r="B394" s="25" t="s">
        <v>306</v>
      </c>
      <c r="C394" s="23" t="s">
        <v>54</v>
      </c>
      <c r="D394" s="20"/>
      <c r="E394" s="20"/>
      <c r="F394" s="20"/>
      <c r="G394" s="20"/>
      <c r="H394" s="20"/>
      <c r="I394" s="20"/>
      <c r="J394" s="20"/>
      <c r="K394" s="20">
        <v>11000</v>
      </c>
      <c r="L394" s="20">
        <v>11000</v>
      </c>
      <c r="M394" s="20">
        <v>22000</v>
      </c>
      <c r="N394" s="20">
        <v>11000</v>
      </c>
      <c r="O394" s="20">
        <v>22000</v>
      </c>
      <c r="P394" s="21">
        <v>77000</v>
      </c>
      <c r="Q394" s="20">
        <v>11000</v>
      </c>
      <c r="R394" s="20">
        <v>24000</v>
      </c>
      <c r="S394" s="20">
        <v>44000</v>
      </c>
      <c r="T394" s="20">
        <v>22000</v>
      </c>
      <c r="U394" s="20">
        <v>11000</v>
      </c>
      <c r="V394" s="20">
        <v>33000</v>
      </c>
      <c r="W394" s="20"/>
      <c r="X394" s="20">
        <v>22000</v>
      </c>
      <c r="Y394" s="20">
        <v>22000</v>
      </c>
      <c r="Z394" s="20">
        <v>11000</v>
      </c>
      <c r="AA394" s="20">
        <v>11000</v>
      </c>
      <c r="AB394" s="20">
        <v>22000</v>
      </c>
      <c r="AC394" s="21">
        <v>233000</v>
      </c>
      <c r="AD394" s="20">
        <v>11000</v>
      </c>
      <c r="AE394" s="20">
        <v>22000</v>
      </c>
      <c r="AF394" s="20">
        <v>33000</v>
      </c>
      <c r="AG394" s="20">
        <v>55000</v>
      </c>
      <c r="AH394" s="20"/>
      <c r="AI394" s="20"/>
      <c r="AJ394" s="20"/>
      <c r="AK394" s="20"/>
      <c r="AL394" s="20"/>
      <c r="AM394" s="20"/>
      <c r="AN394" s="20"/>
      <c r="AO394" s="20"/>
      <c r="AP394" s="21">
        <v>121000</v>
      </c>
      <c r="AQ394" s="36"/>
      <c r="AR394" s="36"/>
      <c r="AS394" s="36"/>
      <c r="AT394" s="36"/>
      <c r="AU394" s="36"/>
      <c r="AV394" s="36"/>
      <c r="AW394" s="36"/>
      <c r="AX394" s="36">
        <v>1409.0437671253171</v>
      </c>
      <c r="AY394" s="36">
        <v>1433.240016178228</v>
      </c>
      <c r="AZ394" s="36">
        <v>1416.2987709030813</v>
      </c>
      <c r="BA394" s="36">
        <v>1393.2675396221334</v>
      </c>
      <c r="BB394" s="36">
        <v>1391.2212636206275</v>
      </c>
      <c r="BC394" s="37">
        <v>1407.2273417104427</v>
      </c>
      <c r="BD394" s="36">
        <v>1389.7974613289557</v>
      </c>
      <c r="BE394" s="36">
        <v>1407.0842790048584</v>
      </c>
      <c r="BF394" s="36">
        <v>1401.416922324617</v>
      </c>
      <c r="BG394" s="36">
        <v>1348.8895790310251</v>
      </c>
      <c r="BH394" s="36">
        <v>1343.2524599058199</v>
      </c>
      <c r="BI394" s="36">
        <v>1336.1997818860627</v>
      </c>
      <c r="BJ394" s="36"/>
      <c r="BK394" s="36">
        <v>1371.5527028385241</v>
      </c>
      <c r="BL394" s="36">
        <v>1367.4959675597784</v>
      </c>
      <c r="BM394" s="36">
        <v>1389.2712517675734</v>
      </c>
      <c r="BN394" s="36">
        <v>1388.3654519417257</v>
      </c>
      <c r="BO394" s="36">
        <v>1391.0771484342388</v>
      </c>
      <c r="BP394" s="37">
        <v>1376.3212519657648</v>
      </c>
      <c r="BQ394" s="36">
        <v>1385.9917821187314</v>
      </c>
      <c r="BR394" s="36">
        <v>1361.2591153846447</v>
      </c>
      <c r="BS394" s="36">
        <v>1345.3276870559205</v>
      </c>
      <c r="BT394" s="36">
        <v>1321.4443086344766</v>
      </c>
      <c r="BU394" s="36"/>
      <c r="BV394" s="36"/>
      <c r="BW394" s="36"/>
      <c r="BX394" s="36"/>
      <c r="BY394" s="36"/>
      <c r="BZ394" s="36"/>
      <c r="CA394" s="36"/>
      <c r="CB394" s="36"/>
      <c r="CC394" s="37">
        <v>1341.0649652025604</v>
      </c>
    </row>
    <row r="395" spans="2:81" s="22" customFormat="1" ht="14.5" outlineLevel="1" x14ac:dyDescent="0.35">
      <c r="B395" s="25" t="s">
        <v>306</v>
      </c>
      <c r="C395" s="23" t="s">
        <v>46</v>
      </c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>
        <v>25</v>
      </c>
      <c r="O395" s="20"/>
      <c r="P395" s="21">
        <v>25</v>
      </c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1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1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>
        <v>1366.8147510642539</v>
      </c>
      <c r="BB395" s="36"/>
      <c r="BC395" s="37">
        <v>1366.8147510642539</v>
      </c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7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7"/>
    </row>
    <row r="396" spans="2:81" ht="14.5" x14ac:dyDescent="0.35">
      <c r="B396" s="15" t="s">
        <v>307</v>
      </c>
      <c r="C396" s="16"/>
      <c r="D396" s="17"/>
      <c r="E396" s="17"/>
      <c r="F396" s="17"/>
      <c r="G396" s="17"/>
      <c r="H396" s="17"/>
      <c r="I396" s="17"/>
      <c r="J396" s="17"/>
      <c r="K396" s="17">
        <v>11000</v>
      </c>
      <c r="L396" s="17">
        <v>11000</v>
      </c>
      <c r="M396" s="17">
        <v>22000</v>
      </c>
      <c r="N396" s="17">
        <v>11025</v>
      </c>
      <c r="O396" s="17">
        <v>24000</v>
      </c>
      <c r="P396" s="18">
        <v>79025</v>
      </c>
      <c r="Q396" s="17">
        <v>11000</v>
      </c>
      <c r="R396" s="17">
        <v>24000</v>
      </c>
      <c r="S396" s="17">
        <v>44000</v>
      </c>
      <c r="T396" s="17">
        <v>22000</v>
      </c>
      <c r="U396" s="17">
        <v>11000</v>
      </c>
      <c r="V396" s="17">
        <v>33000</v>
      </c>
      <c r="W396" s="17"/>
      <c r="X396" s="17">
        <v>22000</v>
      </c>
      <c r="Y396" s="17">
        <v>22000</v>
      </c>
      <c r="Z396" s="17">
        <v>11000</v>
      </c>
      <c r="AA396" s="17">
        <v>12500</v>
      </c>
      <c r="AB396" s="17">
        <v>22000</v>
      </c>
      <c r="AC396" s="18">
        <v>234500</v>
      </c>
      <c r="AD396" s="17">
        <v>11000</v>
      </c>
      <c r="AE396" s="17">
        <v>22000</v>
      </c>
      <c r="AF396" s="17">
        <v>48125</v>
      </c>
      <c r="AG396" s="17">
        <v>55000</v>
      </c>
      <c r="AH396" s="17"/>
      <c r="AI396" s="17"/>
      <c r="AJ396" s="17"/>
      <c r="AK396" s="17"/>
      <c r="AL396" s="17"/>
      <c r="AM396" s="17"/>
      <c r="AN396" s="17"/>
      <c r="AO396" s="17"/>
      <c r="AP396" s="18">
        <v>136125</v>
      </c>
      <c r="AQ396" s="17"/>
      <c r="AR396" s="17"/>
      <c r="AS396" s="17"/>
      <c r="AT396" s="17"/>
      <c r="AU396" s="17"/>
      <c r="AV396" s="17"/>
      <c r="AW396" s="17"/>
      <c r="AX396" s="17">
        <v>1409.0437671253171</v>
      </c>
      <c r="AY396" s="17">
        <v>1433.240016178228</v>
      </c>
      <c r="AZ396" s="17">
        <v>1416.2987709030813</v>
      </c>
      <c r="BA396" s="17">
        <v>1393.2075559746102</v>
      </c>
      <c r="BB396" s="17">
        <v>1391.9084039267414</v>
      </c>
      <c r="BC396" s="19">
        <v>1407.0181534333271</v>
      </c>
      <c r="BD396" s="17">
        <v>1389.7974613289557</v>
      </c>
      <c r="BE396" s="17">
        <v>1407.0842790048584</v>
      </c>
      <c r="BF396" s="17">
        <v>1401.416922324617</v>
      </c>
      <c r="BG396" s="17">
        <v>1348.8895790310251</v>
      </c>
      <c r="BH396" s="17">
        <v>1343.2524599058199</v>
      </c>
      <c r="BI396" s="17">
        <v>1336.1997818860627</v>
      </c>
      <c r="BJ396" s="17"/>
      <c r="BK396" s="17">
        <v>1371.5527028385241</v>
      </c>
      <c r="BL396" s="17">
        <v>1367.4959675597784</v>
      </c>
      <c r="BM396" s="17">
        <v>1389.2712517675734</v>
      </c>
      <c r="BN396" s="17">
        <v>1389.3191926866239</v>
      </c>
      <c r="BO396" s="17">
        <v>1391.0771484342388</v>
      </c>
      <c r="BP396" s="19">
        <v>1376.4491328155523</v>
      </c>
      <c r="BQ396" s="17">
        <v>1385.9917821187314</v>
      </c>
      <c r="BR396" s="17">
        <v>1361.2591153846447</v>
      </c>
      <c r="BS396" s="17">
        <v>1348.0201133980365</v>
      </c>
      <c r="BT396" s="17">
        <v>1321.4443086344766</v>
      </c>
      <c r="BU396" s="17"/>
      <c r="BV396" s="17"/>
      <c r="BW396" s="17"/>
      <c r="BX396" s="17"/>
      <c r="BY396" s="17"/>
      <c r="BZ396" s="17"/>
      <c r="CA396" s="17"/>
      <c r="CB396" s="17"/>
      <c r="CC396" s="19">
        <v>1342.4904688627726</v>
      </c>
    </row>
    <row r="397" spans="2:81" s="22" customFormat="1" ht="14.5" outlineLevel="1" x14ac:dyDescent="0.35">
      <c r="B397" s="25" t="s">
        <v>308</v>
      </c>
      <c r="C397" s="23" t="s">
        <v>5</v>
      </c>
      <c r="D397" s="20"/>
      <c r="E397" s="20"/>
      <c r="F397" s="20"/>
      <c r="G397" s="20"/>
      <c r="H397" s="20"/>
      <c r="I397" s="20"/>
      <c r="J397" s="20"/>
      <c r="K397" s="20"/>
      <c r="L397" s="20"/>
      <c r="M397" s="20">
        <v>16500</v>
      </c>
      <c r="N397" s="20">
        <v>22000</v>
      </c>
      <c r="O397" s="20"/>
      <c r="P397" s="21">
        <v>38500</v>
      </c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1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1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>
        <v>901.85566515178209</v>
      </c>
      <c r="BA397" s="36">
        <v>877.26546331345423</v>
      </c>
      <c r="BB397" s="36"/>
      <c r="BC397" s="37">
        <v>887.80412124416614</v>
      </c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7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7"/>
    </row>
    <row r="398" spans="2:81" s="22" customFormat="1" ht="14.5" outlineLevel="1" x14ac:dyDescent="0.35">
      <c r="B398" s="25" t="s">
        <v>308</v>
      </c>
      <c r="C398" s="23" t="s">
        <v>196</v>
      </c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1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1"/>
      <c r="AD398" s="20"/>
      <c r="AE398" s="20"/>
      <c r="AF398" s="20"/>
      <c r="AG398" s="20">
        <v>25</v>
      </c>
      <c r="AH398" s="20"/>
      <c r="AI398" s="20"/>
      <c r="AJ398" s="20"/>
      <c r="AK398" s="20"/>
      <c r="AL398" s="20"/>
      <c r="AM398" s="20"/>
      <c r="AN398" s="20"/>
      <c r="AO398" s="20"/>
      <c r="AP398" s="21">
        <v>25</v>
      </c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7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7"/>
      <c r="BQ398" s="36"/>
      <c r="BR398" s="36"/>
      <c r="BS398" s="36"/>
      <c r="BT398" s="36">
        <v>1194.9767831991776</v>
      </c>
      <c r="BU398" s="36"/>
      <c r="BV398" s="36"/>
      <c r="BW398" s="36"/>
      <c r="BX398" s="36"/>
      <c r="BY398" s="36"/>
      <c r="BZ398" s="36"/>
      <c r="CA398" s="36"/>
      <c r="CB398" s="36"/>
      <c r="CC398" s="37">
        <v>1194.9767831991776</v>
      </c>
    </row>
    <row r="399" spans="2:81" s="22" customFormat="1" ht="14.5" outlineLevel="1" x14ac:dyDescent="0.35">
      <c r="B399" s="25" t="s">
        <v>308</v>
      </c>
      <c r="C399" s="23" t="s">
        <v>309</v>
      </c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1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1"/>
      <c r="AD399" s="20"/>
      <c r="AE399" s="20"/>
      <c r="AF399" s="20">
        <v>25</v>
      </c>
      <c r="AG399" s="20"/>
      <c r="AH399" s="20"/>
      <c r="AI399" s="20"/>
      <c r="AJ399" s="20"/>
      <c r="AK399" s="20"/>
      <c r="AL399" s="20"/>
      <c r="AM399" s="20"/>
      <c r="AN399" s="20"/>
      <c r="AO399" s="20"/>
      <c r="AP399" s="21">
        <v>25</v>
      </c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7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7"/>
      <c r="BQ399" s="36"/>
      <c r="BR399" s="36"/>
      <c r="BS399" s="36">
        <v>1196.1222551863364</v>
      </c>
      <c r="BT399" s="36"/>
      <c r="BU399" s="36"/>
      <c r="BV399" s="36"/>
      <c r="BW399" s="36"/>
      <c r="BX399" s="36"/>
      <c r="BY399" s="36"/>
      <c r="BZ399" s="36"/>
      <c r="CA399" s="36"/>
      <c r="CB399" s="36"/>
      <c r="CC399" s="37">
        <v>1196.1222551863364</v>
      </c>
    </row>
    <row r="400" spans="2:81" s="22" customFormat="1" ht="14.5" outlineLevel="1" x14ac:dyDescent="0.35">
      <c r="B400" s="25" t="s">
        <v>308</v>
      </c>
      <c r="C400" s="23" t="s">
        <v>192</v>
      </c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1"/>
      <c r="Q400" s="20"/>
      <c r="R400" s="20">
        <v>5</v>
      </c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1">
        <v>5</v>
      </c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1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7"/>
      <c r="BD400" s="36"/>
      <c r="BE400" s="36">
        <v>830.95528287688489</v>
      </c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7">
        <v>830.95528287688489</v>
      </c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7"/>
    </row>
    <row r="401" spans="2:81" s="22" customFormat="1" ht="14.5" outlineLevel="1" x14ac:dyDescent="0.35">
      <c r="B401" s="25" t="s">
        <v>308</v>
      </c>
      <c r="C401" s="23" t="s">
        <v>310</v>
      </c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1"/>
      <c r="Q401" s="20"/>
      <c r="R401" s="20"/>
      <c r="S401" s="20"/>
      <c r="T401" s="20"/>
      <c r="U401" s="20"/>
      <c r="V401" s="20"/>
      <c r="W401" s="20">
        <v>100</v>
      </c>
      <c r="X401" s="20"/>
      <c r="Y401" s="20"/>
      <c r="Z401" s="20"/>
      <c r="AA401" s="20"/>
      <c r="AB401" s="20"/>
      <c r="AC401" s="21">
        <v>100</v>
      </c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1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7"/>
      <c r="BD401" s="36"/>
      <c r="BE401" s="36"/>
      <c r="BF401" s="36"/>
      <c r="BG401" s="36"/>
      <c r="BH401" s="36"/>
      <c r="BI401" s="36"/>
      <c r="BJ401" s="36">
        <v>808.0634720945128</v>
      </c>
      <c r="BK401" s="36"/>
      <c r="BL401" s="36"/>
      <c r="BM401" s="36"/>
      <c r="BN401" s="36"/>
      <c r="BO401" s="36"/>
      <c r="BP401" s="37">
        <v>808.0634720945128</v>
      </c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7"/>
    </row>
    <row r="402" spans="2:81" s="22" customFormat="1" ht="14.5" outlineLevel="1" x14ac:dyDescent="0.35">
      <c r="B402" s="25" t="s">
        <v>308</v>
      </c>
      <c r="C402" s="23" t="s">
        <v>25</v>
      </c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1"/>
      <c r="Q402" s="20"/>
      <c r="R402" s="20"/>
      <c r="S402" s="20"/>
      <c r="T402" s="20"/>
      <c r="U402" s="20"/>
      <c r="V402" s="20"/>
      <c r="W402" s="20"/>
      <c r="X402" s="20"/>
      <c r="Y402" s="20"/>
      <c r="Z402" s="20">
        <v>25</v>
      </c>
      <c r="AA402" s="20"/>
      <c r="AB402" s="20"/>
      <c r="AC402" s="21">
        <v>25</v>
      </c>
      <c r="AD402" s="20">
        <v>25</v>
      </c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1">
        <v>25</v>
      </c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7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>
        <v>765.68975523903657</v>
      </c>
      <c r="BN402" s="36"/>
      <c r="BO402" s="36"/>
      <c r="BP402" s="37">
        <v>765.68975523903657</v>
      </c>
      <c r="BQ402" s="36">
        <v>724.08245279972766</v>
      </c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7">
        <v>724.08245279972766</v>
      </c>
    </row>
    <row r="403" spans="2:81" s="22" customFormat="1" ht="14.5" outlineLevel="1" x14ac:dyDescent="0.35">
      <c r="B403" s="25" t="s">
        <v>308</v>
      </c>
      <c r="C403" s="23" t="s">
        <v>311</v>
      </c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1"/>
      <c r="Q403" s="20"/>
      <c r="R403" s="20"/>
      <c r="S403" s="20"/>
      <c r="T403" s="20"/>
      <c r="U403" s="20"/>
      <c r="V403" s="20"/>
      <c r="W403" s="20"/>
      <c r="X403" s="20">
        <v>50</v>
      </c>
      <c r="Y403" s="20"/>
      <c r="Z403" s="20"/>
      <c r="AA403" s="20"/>
      <c r="AB403" s="20"/>
      <c r="AC403" s="21">
        <v>50</v>
      </c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1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7"/>
      <c r="BD403" s="36"/>
      <c r="BE403" s="36"/>
      <c r="BF403" s="36"/>
      <c r="BG403" s="36"/>
      <c r="BH403" s="36"/>
      <c r="BI403" s="36"/>
      <c r="BJ403" s="36"/>
      <c r="BK403" s="36">
        <v>1356.1415167645471</v>
      </c>
      <c r="BL403" s="36"/>
      <c r="BM403" s="36"/>
      <c r="BN403" s="36"/>
      <c r="BO403" s="36"/>
      <c r="BP403" s="37">
        <v>1356.1415167645471</v>
      </c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7"/>
    </row>
    <row r="404" spans="2:81" s="22" customFormat="1" ht="14.5" outlineLevel="1" x14ac:dyDescent="0.35">
      <c r="B404" s="25" t="s">
        <v>308</v>
      </c>
      <c r="C404" s="23" t="s">
        <v>312</v>
      </c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1"/>
      <c r="Q404" s="20"/>
      <c r="R404" s="20"/>
      <c r="S404" s="20"/>
      <c r="T404" s="20"/>
      <c r="U404" s="20"/>
      <c r="V404" s="20"/>
      <c r="W404" s="20"/>
      <c r="X404" s="20"/>
      <c r="Y404" s="20"/>
      <c r="Z404" s="20">
        <v>200</v>
      </c>
      <c r="AA404" s="20"/>
      <c r="AB404" s="20"/>
      <c r="AC404" s="21">
        <v>200</v>
      </c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1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7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>
        <v>802.40954438942902</v>
      </c>
      <c r="BN404" s="36"/>
      <c r="BO404" s="36"/>
      <c r="BP404" s="37">
        <v>802.40954438942902</v>
      </c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7"/>
    </row>
    <row r="405" spans="2:81" s="22" customFormat="1" ht="14.5" outlineLevel="1" x14ac:dyDescent="0.35">
      <c r="B405" s="25" t="s">
        <v>308</v>
      </c>
      <c r="C405" s="23" t="s">
        <v>313</v>
      </c>
      <c r="D405" s="20"/>
      <c r="E405" s="20"/>
      <c r="F405" s="20"/>
      <c r="G405" s="20"/>
      <c r="H405" s="20"/>
      <c r="I405" s="20"/>
      <c r="J405" s="20"/>
      <c r="K405" s="20"/>
      <c r="L405" s="20"/>
      <c r="M405" s="20">
        <v>25</v>
      </c>
      <c r="N405" s="20"/>
      <c r="O405" s="20"/>
      <c r="P405" s="21">
        <v>25</v>
      </c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1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1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>
        <v>910.78334364109924</v>
      </c>
      <c r="BA405" s="36"/>
      <c r="BB405" s="36"/>
      <c r="BC405" s="37">
        <v>910.78334364109924</v>
      </c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7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7"/>
    </row>
    <row r="406" spans="2:81" ht="14.5" x14ac:dyDescent="0.35">
      <c r="B406" s="15" t="s">
        <v>314</v>
      </c>
      <c r="C406" s="16"/>
      <c r="D406" s="17"/>
      <c r="E406" s="17"/>
      <c r="F406" s="17"/>
      <c r="G406" s="17"/>
      <c r="H406" s="17"/>
      <c r="I406" s="17"/>
      <c r="J406" s="17"/>
      <c r="K406" s="17"/>
      <c r="L406" s="17"/>
      <c r="M406" s="17">
        <v>16525</v>
      </c>
      <c r="N406" s="17">
        <v>22000</v>
      </c>
      <c r="O406" s="17"/>
      <c r="P406" s="18">
        <v>38525</v>
      </c>
      <c r="Q406" s="17"/>
      <c r="R406" s="17">
        <v>5</v>
      </c>
      <c r="S406" s="17"/>
      <c r="T406" s="17"/>
      <c r="U406" s="17"/>
      <c r="V406" s="17"/>
      <c r="W406" s="17">
        <v>100</v>
      </c>
      <c r="X406" s="17">
        <v>50</v>
      </c>
      <c r="Y406" s="17"/>
      <c r="Z406" s="17">
        <v>225</v>
      </c>
      <c r="AA406" s="17"/>
      <c r="AB406" s="17"/>
      <c r="AC406" s="18">
        <v>380</v>
      </c>
      <c r="AD406" s="17">
        <v>25</v>
      </c>
      <c r="AE406" s="17"/>
      <c r="AF406" s="17">
        <v>25</v>
      </c>
      <c r="AG406" s="17">
        <v>25</v>
      </c>
      <c r="AH406" s="17"/>
      <c r="AI406" s="17"/>
      <c r="AJ406" s="17"/>
      <c r="AK406" s="17"/>
      <c r="AL406" s="17"/>
      <c r="AM406" s="17"/>
      <c r="AN406" s="17"/>
      <c r="AO406" s="17"/>
      <c r="AP406" s="18">
        <v>75</v>
      </c>
      <c r="AQ406" s="17"/>
      <c r="AR406" s="17"/>
      <c r="AS406" s="17"/>
      <c r="AT406" s="17"/>
      <c r="AU406" s="17"/>
      <c r="AV406" s="17"/>
      <c r="AW406" s="17"/>
      <c r="AX406" s="17"/>
      <c r="AY406" s="17"/>
      <c r="AZ406" s="17">
        <v>901.86917147324857</v>
      </c>
      <c r="BA406" s="17">
        <v>877.26546331345423</v>
      </c>
      <c r="BB406" s="17"/>
      <c r="BC406" s="19">
        <v>887.81903313410578</v>
      </c>
      <c r="BD406" s="17"/>
      <c r="BE406" s="17">
        <v>830.95528287688489</v>
      </c>
      <c r="BF406" s="17"/>
      <c r="BG406" s="17"/>
      <c r="BH406" s="17"/>
      <c r="BI406" s="17"/>
      <c r="BJ406" s="17">
        <v>808.0634720945128</v>
      </c>
      <c r="BK406" s="17">
        <v>1356.1415167645471</v>
      </c>
      <c r="BL406" s="17"/>
      <c r="BM406" s="17">
        <v>798.32956781716325</v>
      </c>
      <c r="BN406" s="17"/>
      <c r="BO406" s="17"/>
      <c r="BP406" s="19">
        <v>874.71671637085456</v>
      </c>
      <c r="BQ406" s="17">
        <v>724.08245279972766</v>
      </c>
      <c r="BR406" s="17"/>
      <c r="BS406" s="17">
        <v>1196.1222551863364</v>
      </c>
      <c r="BT406" s="17">
        <v>1194.9767831991776</v>
      </c>
      <c r="BU406" s="17"/>
      <c r="BV406" s="17"/>
      <c r="BW406" s="17"/>
      <c r="BX406" s="17"/>
      <c r="BY406" s="17"/>
      <c r="BZ406" s="17"/>
      <c r="CA406" s="17"/>
      <c r="CB406" s="17"/>
      <c r="CC406" s="19">
        <v>1038.3938303950806</v>
      </c>
    </row>
    <row r="407" spans="2:81" s="22" customFormat="1" ht="14.5" outlineLevel="1" x14ac:dyDescent="0.35">
      <c r="B407" s="25" t="s">
        <v>315</v>
      </c>
      <c r="C407" s="23" t="s">
        <v>316</v>
      </c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1"/>
      <c r="Q407" s="20"/>
      <c r="R407" s="20"/>
      <c r="S407" s="20"/>
      <c r="T407" s="20"/>
      <c r="U407" s="20"/>
      <c r="V407" s="20">
        <v>500</v>
      </c>
      <c r="W407" s="20"/>
      <c r="X407" s="20">
        <v>2200</v>
      </c>
      <c r="Y407" s="20"/>
      <c r="Z407" s="20"/>
      <c r="AA407" s="20"/>
      <c r="AB407" s="20"/>
      <c r="AC407" s="21">
        <v>2700</v>
      </c>
      <c r="AD407" s="20">
        <v>1100</v>
      </c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1">
        <v>1100</v>
      </c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7"/>
      <c r="BD407" s="36"/>
      <c r="BE407" s="36"/>
      <c r="BF407" s="36"/>
      <c r="BG407" s="36"/>
      <c r="BH407" s="36"/>
      <c r="BI407" s="36">
        <v>1263.7511474050552</v>
      </c>
      <c r="BJ407" s="36"/>
      <c r="BK407" s="36">
        <v>1276.1396013443768</v>
      </c>
      <c r="BL407" s="36"/>
      <c r="BM407" s="36"/>
      <c r="BN407" s="36"/>
      <c r="BO407" s="36"/>
      <c r="BP407" s="37">
        <v>1273.8454432074655</v>
      </c>
      <c r="BQ407" s="36">
        <v>1271.6179017326072</v>
      </c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7">
        <v>1271.6179017326072</v>
      </c>
    </row>
    <row r="408" spans="2:81" s="22" customFormat="1" ht="14.5" outlineLevel="1" x14ac:dyDescent="0.35">
      <c r="B408" s="25" t="s">
        <v>315</v>
      </c>
      <c r="C408" s="23" t="s">
        <v>317</v>
      </c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1"/>
      <c r="Q408" s="20"/>
      <c r="R408" s="20"/>
      <c r="S408" s="20"/>
      <c r="T408" s="20"/>
      <c r="U408" s="20"/>
      <c r="V408" s="20"/>
      <c r="W408" s="20">
        <v>30</v>
      </c>
      <c r="X408" s="20"/>
      <c r="Y408" s="20"/>
      <c r="Z408" s="20">
        <v>60</v>
      </c>
      <c r="AA408" s="20">
        <v>1100</v>
      </c>
      <c r="AB408" s="20">
        <v>7700</v>
      </c>
      <c r="AC408" s="21">
        <v>8890</v>
      </c>
      <c r="AD408" s="20">
        <v>5500</v>
      </c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1">
        <v>5500</v>
      </c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7"/>
      <c r="BD408" s="36"/>
      <c r="BE408" s="36"/>
      <c r="BF408" s="36"/>
      <c r="BG408" s="36"/>
      <c r="BH408" s="36"/>
      <c r="BI408" s="36"/>
      <c r="BJ408" s="36">
        <v>1308.2932405339732</v>
      </c>
      <c r="BK408" s="36"/>
      <c r="BL408" s="36"/>
      <c r="BM408" s="36">
        <v>1299.1392623447903</v>
      </c>
      <c r="BN408" s="36">
        <v>1254.6051064967016</v>
      </c>
      <c r="BO408" s="36">
        <v>1257.1451053066446</v>
      </c>
      <c r="BP408" s="37">
        <v>1257.2868482524457</v>
      </c>
      <c r="BQ408" s="36">
        <v>1252.5580846017906</v>
      </c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7">
        <v>1252.5580846017906</v>
      </c>
    </row>
    <row r="409" spans="2:81" ht="14.5" x14ac:dyDescent="0.35">
      <c r="B409" s="15" t="s">
        <v>318</v>
      </c>
      <c r="C409" s="1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8"/>
      <c r="Q409" s="17"/>
      <c r="R409" s="17"/>
      <c r="S409" s="17"/>
      <c r="T409" s="17"/>
      <c r="U409" s="17"/>
      <c r="V409" s="17">
        <v>500</v>
      </c>
      <c r="W409" s="17">
        <v>30</v>
      </c>
      <c r="X409" s="17">
        <v>2200</v>
      </c>
      <c r="Y409" s="17"/>
      <c r="Z409" s="17">
        <v>60</v>
      </c>
      <c r="AA409" s="17">
        <v>1100</v>
      </c>
      <c r="AB409" s="17">
        <v>7700</v>
      </c>
      <c r="AC409" s="18">
        <v>11590</v>
      </c>
      <c r="AD409" s="17">
        <v>6600</v>
      </c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8">
        <v>6600</v>
      </c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9"/>
      <c r="BD409" s="17"/>
      <c r="BE409" s="17"/>
      <c r="BF409" s="17"/>
      <c r="BG409" s="17"/>
      <c r="BH409" s="17"/>
      <c r="BI409" s="17">
        <v>1263.7511474050552</v>
      </c>
      <c r="BJ409" s="17">
        <v>1308.2932405339732</v>
      </c>
      <c r="BK409" s="17">
        <v>1276.1396013443768</v>
      </c>
      <c r="BL409" s="17"/>
      <c r="BM409" s="17">
        <v>1299.1392623447903</v>
      </c>
      <c r="BN409" s="17">
        <v>1254.6051064967016</v>
      </c>
      <c r="BO409" s="17">
        <v>1257.1451053066446</v>
      </c>
      <c r="BP409" s="19">
        <v>1261.1443293895081</v>
      </c>
      <c r="BQ409" s="17">
        <v>1255.7347207902601</v>
      </c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9">
        <v>1255.7347207902601</v>
      </c>
    </row>
    <row r="410" spans="2:81" s="22" customFormat="1" ht="14.5" outlineLevel="1" x14ac:dyDescent="0.35">
      <c r="B410" s="25" t="s">
        <v>319</v>
      </c>
      <c r="C410" s="23" t="s">
        <v>5</v>
      </c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1"/>
      <c r="Q410" s="20"/>
      <c r="R410" s="20"/>
      <c r="S410" s="20">
        <v>500</v>
      </c>
      <c r="T410" s="20">
        <v>0</v>
      </c>
      <c r="U410" s="20"/>
      <c r="V410" s="20">
        <v>350</v>
      </c>
      <c r="W410" s="20">
        <v>0</v>
      </c>
      <c r="X410" s="20"/>
      <c r="Y410" s="20"/>
      <c r="Z410" s="20">
        <v>0</v>
      </c>
      <c r="AA410" s="20"/>
      <c r="AB410" s="20"/>
      <c r="AC410" s="21">
        <v>850</v>
      </c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1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7"/>
      <c r="BD410" s="36"/>
      <c r="BE410" s="36"/>
      <c r="BF410" s="36">
        <v>1346.0459781214086</v>
      </c>
      <c r="BG410" s="36"/>
      <c r="BH410" s="36"/>
      <c r="BI410" s="36">
        <v>1321.4288048980798</v>
      </c>
      <c r="BJ410" s="36"/>
      <c r="BK410" s="36"/>
      <c r="BL410" s="36"/>
      <c r="BM410" s="36"/>
      <c r="BN410" s="36"/>
      <c r="BO410" s="36"/>
      <c r="BP410" s="37">
        <v>1335.9094950294498</v>
      </c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7"/>
    </row>
    <row r="411" spans="2:81" s="22" customFormat="1" ht="14.5" outlineLevel="1" x14ac:dyDescent="0.35">
      <c r="B411" s="25" t="s">
        <v>319</v>
      </c>
      <c r="C411" s="23" t="s">
        <v>320</v>
      </c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1"/>
      <c r="Q411" s="20"/>
      <c r="R411" s="20"/>
      <c r="S411" s="20"/>
      <c r="T411" s="20"/>
      <c r="U411" s="20"/>
      <c r="V411" s="20"/>
      <c r="W411" s="20"/>
      <c r="X411" s="20"/>
      <c r="Y411" s="20"/>
      <c r="Z411" s="20">
        <v>400</v>
      </c>
      <c r="AA411" s="20"/>
      <c r="AB411" s="20"/>
      <c r="AC411" s="21">
        <v>400</v>
      </c>
      <c r="AD411" s="20"/>
      <c r="AE411" s="20"/>
      <c r="AF411" s="20"/>
      <c r="AG411" s="20">
        <v>8000</v>
      </c>
      <c r="AH411" s="20"/>
      <c r="AI411" s="20"/>
      <c r="AJ411" s="20"/>
      <c r="AK411" s="20"/>
      <c r="AL411" s="20"/>
      <c r="AM411" s="20"/>
      <c r="AN411" s="20"/>
      <c r="AO411" s="20"/>
      <c r="AP411" s="21">
        <v>8000</v>
      </c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7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>
        <v>1305.3208726348528</v>
      </c>
      <c r="BN411" s="36"/>
      <c r="BO411" s="36"/>
      <c r="BP411" s="37">
        <v>1305.3208726348528</v>
      </c>
      <c r="BQ411" s="36"/>
      <c r="BR411" s="36"/>
      <c r="BS411" s="36"/>
      <c r="BT411" s="36">
        <v>1301.3903792593183</v>
      </c>
      <c r="BU411" s="36"/>
      <c r="BV411" s="36"/>
      <c r="BW411" s="36"/>
      <c r="BX411" s="36"/>
      <c r="BY411" s="36"/>
      <c r="BZ411" s="36"/>
      <c r="CA411" s="36"/>
      <c r="CB411" s="36"/>
      <c r="CC411" s="37">
        <v>1301.3903792593183</v>
      </c>
    </row>
    <row r="412" spans="2:81" ht="14.5" x14ac:dyDescent="0.35">
      <c r="B412" s="15" t="s">
        <v>321</v>
      </c>
      <c r="C412" s="1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8"/>
      <c r="Q412" s="17"/>
      <c r="R412" s="17"/>
      <c r="S412" s="17">
        <v>500</v>
      </c>
      <c r="T412" s="17">
        <v>0</v>
      </c>
      <c r="U412" s="17"/>
      <c r="V412" s="17">
        <v>350</v>
      </c>
      <c r="W412" s="17">
        <v>0</v>
      </c>
      <c r="X412" s="17"/>
      <c r="Y412" s="17"/>
      <c r="Z412" s="17">
        <v>400</v>
      </c>
      <c r="AA412" s="17"/>
      <c r="AB412" s="17"/>
      <c r="AC412" s="18">
        <v>1250</v>
      </c>
      <c r="AD412" s="17"/>
      <c r="AE412" s="17"/>
      <c r="AF412" s="17"/>
      <c r="AG412" s="17">
        <v>8000</v>
      </c>
      <c r="AH412" s="17"/>
      <c r="AI412" s="17"/>
      <c r="AJ412" s="17"/>
      <c r="AK412" s="17"/>
      <c r="AL412" s="17"/>
      <c r="AM412" s="17"/>
      <c r="AN412" s="17"/>
      <c r="AO412" s="17"/>
      <c r="AP412" s="18">
        <v>8000</v>
      </c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9"/>
      <c r="BD412" s="17"/>
      <c r="BE412" s="17"/>
      <c r="BF412" s="17">
        <v>1346.0459781214086</v>
      </c>
      <c r="BG412" s="17"/>
      <c r="BH412" s="17"/>
      <c r="BI412" s="17">
        <v>1321.4288048980798</v>
      </c>
      <c r="BJ412" s="17"/>
      <c r="BK412" s="17"/>
      <c r="BL412" s="17"/>
      <c r="BM412" s="17">
        <v>1305.3208726348528</v>
      </c>
      <c r="BN412" s="17"/>
      <c r="BO412" s="17"/>
      <c r="BP412" s="19">
        <v>1326.1211358631786</v>
      </c>
      <c r="BQ412" s="17"/>
      <c r="BR412" s="17"/>
      <c r="BS412" s="17"/>
      <c r="BT412" s="17">
        <v>1301.3903792593183</v>
      </c>
      <c r="BU412" s="17"/>
      <c r="BV412" s="17"/>
      <c r="BW412" s="17"/>
      <c r="BX412" s="17"/>
      <c r="BY412" s="17"/>
      <c r="BZ412" s="17"/>
      <c r="CA412" s="17"/>
      <c r="CB412" s="17"/>
      <c r="CC412" s="19">
        <v>1301.3903792593183</v>
      </c>
    </row>
    <row r="413" spans="2:81" s="22" customFormat="1" ht="14.5" outlineLevel="1" x14ac:dyDescent="0.35">
      <c r="B413" s="25" t="s">
        <v>322</v>
      </c>
      <c r="C413" s="23" t="s">
        <v>115</v>
      </c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1"/>
      <c r="Q413" s="20"/>
      <c r="R413" s="20">
        <v>25000</v>
      </c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1">
        <v>25000</v>
      </c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1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7"/>
      <c r="BD413" s="36"/>
      <c r="BE413" s="36">
        <v>1176.4844181459566</v>
      </c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7">
        <v>1176.4844181459566</v>
      </c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7"/>
    </row>
    <row r="414" spans="2:81" ht="14.5" x14ac:dyDescent="0.35">
      <c r="B414" s="15" t="s">
        <v>323</v>
      </c>
      <c r="C414" s="1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8"/>
      <c r="Q414" s="17"/>
      <c r="R414" s="17">
        <v>25000</v>
      </c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8">
        <v>25000</v>
      </c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8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9"/>
      <c r="BD414" s="17"/>
      <c r="BE414" s="17">
        <v>1176.4844181459566</v>
      </c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9">
        <v>1176.4844181459566</v>
      </c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9"/>
    </row>
    <row r="415" spans="2:81" s="22" customFormat="1" ht="14.5" outlineLevel="1" x14ac:dyDescent="0.35">
      <c r="B415" s="25" t="s">
        <v>324</v>
      </c>
      <c r="C415" s="23" t="s">
        <v>4</v>
      </c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1"/>
      <c r="Q415" s="20">
        <v>2200</v>
      </c>
      <c r="R415" s="20"/>
      <c r="S415" s="20"/>
      <c r="T415" s="20"/>
      <c r="U415" s="20">
        <v>3850</v>
      </c>
      <c r="V415" s="20"/>
      <c r="W415" s="20"/>
      <c r="X415" s="20"/>
      <c r="Y415" s="20"/>
      <c r="Z415" s="20"/>
      <c r="AA415" s="20"/>
      <c r="AB415" s="20"/>
      <c r="AC415" s="21">
        <v>6050</v>
      </c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1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7"/>
      <c r="BD415" s="36">
        <v>1385.0043101961048</v>
      </c>
      <c r="BE415" s="36"/>
      <c r="BF415" s="36"/>
      <c r="BG415" s="36"/>
      <c r="BH415" s="36">
        <v>1358.7975393750214</v>
      </c>
      <c r="BI415" s="36"/>
      <c r="BJ415" s="36"/>
      <c r="BK415" s="36"/>
      <c r="BL415" s="36"/>
      <c r="BM415" s="36"/>
      <c r="BN415" s="36"/>
      <c r="BO415" s="36"/>
      <c r="BP415" s="37">
        <v>1368.3272742190518</v>
      </c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7"/>
    </row>
    <row r="416" spans="2:81" ht="14.5" x14ac:dyDescent="0.35">
      <c r="B416" s="15" t="s">
        <v>325</v>
      </c>
      <c r="C416" s="1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8"/>
      <c r="Q416" s="17">
        <v>2200</v>
      </c>
      <c r="R416" s="17"/>
      <c r="S416" s="17"/>
      <c r="T416" s="17"/>
      <c r="U416" s="17">
        <v>3850</v>
      </c>
      <c r="V416" s="17"/>
      <c r="W416" s="17"/>
      <c r="X416" s="17"/>
      <c r="Y416" s="17"/>
      <c r="Z416" s="17"/>
      <c r="AA416" s="17"/>
      <c r="AB416" s="17"/>
      <c r="AC416" s="18">
        <v>6050</v>
      </c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8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9"/>
      <c r="BD416" s="17">
        <v>1385.0043101961048</v>
      </c>
      <c r="BE416" s="17"/>
      <c r="BF416" s="17"/>
      <c r="BG416" s="17"/>
      <c r="BH416" s="17">
        <v>1358.7975393750214</v>
      </c>
      <c r="BI416" s="17"/>
      <c r="BJ416" s="17"/>
      <c r="BK416" s="17"/>
      <c r="BL416" s="17"/>
      <c r="BM416" s="17"/>
      <c r="BN416" s="17"/>
      <c r="BO416" s="17"/>
      <c r="BP416" s="19">
        <v>1368.3272742190518</v>
      </c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9"/>
    </row>
    <row r="417" spans="1:81" s="22" customFormat="1" ht="14.5" outlineLevel="1" x14ac:dyDescent="0.35">
      <c r="B417" s="25" t="s">
        <v>326</v>
      </c>
      <c r="C417" s="23" t="s">
        <v>327</v>
      </c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1"/>
      <c r="Q417" s="20"/>
      <c r="R417" s="20"/>
      <c r="S417" s="20">
        <v>1100</v>
      </c>
      <c r="T417" s="20"/>
      <c r="U417" s="20"/>
      <c r="V417" s="20"/>
      <c r="W417" s="20"/>
      <c r="X417" s="20"/>
      <c r="Y417" s="20"/>
      <c r="Z417" s="20"/>
      <c r="AA417" s="20"/>
      <c r="AB417" s="20"/>
      <c r="AC417" s="21">
        <v>1100</v>
      </c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1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7"/>
      <c r="BD417" s="36"/>
      <c r="BE417" s="36"/>
      <c r="BF417" s="36">
        <v>952.10604870384918</v>
      </c>
      <c r="BG417" s="36"/>
      <c r="BH417" s="36"/>
      <c r="BI417" s="36"/>
      <c r="BJ417" s="36"/>
      <c r="BK417" s="36"/>
      <c r="BL417" s="36"/>
      <c r="BM417" s="36"/>
      <c r="BN417" s="36"/>
      <c r="BO417" s="36"/>
      <c r="BP417" s="37">
        <v>952.10604870384918</v>
      </c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7"/>
    </row>
    <row r="418" spans="1:81" s="22" customFormat="1" ht="14.5" outlineLevel="1" x14ac:dyDescent="0.35">
      <c r="B418" s="25" t="s">
        <v>326</v>
      </c>
      <c r="C418" s="23" t="s">
        <v>41</v>
      </c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1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1"/>
      <c r="AD418" s="20"/>
      <c r="AE418" s="20"/>
      <c r="AF418" s="20">
        <v>5500</v>
      </c>
      <c r="AG418" s="20">
        <v>15300</v>
      </c>
      <c r="AH418" s="20"/>
      <c r="AI418" s="20"/>
      <c r="AJ418" s="20"/>
      <c r="AK418" s="20"/>
      <c r="AL418" s="20"/>
      <c r="AM418" s="20"/>
      <c r="AN418" s="20"/>
      <c r="AO418" s="20"/>
      <c r="AP418" s="21">
        <v>20800</v>
      </c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7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7"/>
      <c r="BQ418" s="36"/>
      <c r="BR418" s="36"/>
      <c r="BS418" s="36">
        <v>929.40720662379533</v>
      </c>
      <c r="BT418" s="36">
        <v>933.32561394205163</v>
      </c>
      <c r="BU418" s="36"/>
      <c r="BV418" s="36"/>
      <c r="BW418" s="36"/>
      <c r="BX418" s="36"/>
      <c r="BY418" s="36"/>
      <c r="BZ418" s="36"/>
      <c r="CA418" s="36"/>
      <c r="CB418" s="36"/>
      <c r="CC418" s="37">
        <v>932.28949662232037</v>
      </c>
    </row>
    <row r="419" spans="1:81" ht="14.5" x14ac:dyDescent="0.35">
      <c r="B419" s="15" t="s">
        <v>328</v>
      </c>
      <c r="C419" s="1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8"/>
      <c r="Q419" s="17"/>
      <c r="R419" s="17"/>
      <c r="S419" s="17">
        <v>1100</v>
      </c>
      <c r="T419" s="17"/>
      <c r="U419" s="17"/>
      <c r="V419" s="17"/>
      <c r="W419" s="17"/>
      <c r="X419" s="17"/>
      <c r="Y419" s="17"/>
      <c r="Z419" s="17"/>
      <c r="AA419" s="17"/>
      <c r="AB419" s="17"/>
      <c r="AC419" s="18">
        <v>1100</v>
      </c>
      <c r="AD419" s="17"/>
      <c r="AE419" s="17"/>
      <c r="AF419" s="17">
        <v>5500</v>
      </c>
      <c r="AG419" s="17">
        <v>15300</v>
      </c>
      <c r="AH419" s="17"/>
      <c r="AI419" s="17"/>
      <c r="AJ419" s="17"/>
      <c r="AK419" s="17"/>
      <c r="AL419" s="17"/>
      <c r="AM419" s="17"/>
      <c r="AN419" s="17"/>
      <c r="AO419" s="17"/>
      <c r="AP419" s="18">
        <v>20800</v>
      </c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9"/>
      <c r="BD419" s="17"/>
      <c r="BE419" s="17"/>
      <c r="BF419" s="17">
        <v>952.10604870384918</v>
      </c>
      <c r="BG419" s="17"/>
      <c r="BH419" s="17"/>
      <c r="BI419" s="17"/>
      <c r="BJ419" s="17"/>
      <c r="BK419" s="17"/>
      <c r="BL419" s="17"/>
      <c r="BM419" s="17"/>
      <c r="BN419" s="17"/>
      <c r="BO419" s="17"/>
      <c r="BP419" s="19">
        <v>952.10604870384918</v>
      </c>
      <c r="BQ419" s="17"/>
      <c r="BR419" s="17"/>
      <c r="BS419" s="17">
        <v>929.40720662379533</v>
      </c>
      <c r="BT419" s="17">
        <v>933.32561394205163</v>
      </c>
      <c r="BU419" s="17"/>
      <c r="BV419" s="17"/>
      <c r="BW419" s="17"/>
      <c r="BX419" s="17"/>
      <c r="BY419" s="17"/>
      <c r="BZ419" s="17"/>
      <c r="CA419" s="17"/>
      <c r="CB419" s="17"/>
      <c r="CC419" s="19">
        <v>932.28949662232037</v>
      </c>
    </row>
    <row r="420" spans="1:81" s="22" customFormat="1" ht="14.5" outlineLevel="1" x14ac:dyDescent="0.35">
      <c r="B420" s="25" t="s">
        <v>329</v>
      </c>
      <c r="C420" s="23" t="s">
        <v>231</v>
      </c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1"/>
      <c r="Q420" s="20"/>
      <c r="R420" s="20"/>
      <c r="S420" s="20"/>
      <c r="T420" s="20"/>
      <c r="U420" s="20">
        <v>3839</v>
      </c>
      <c r="V420" s="20"/>
      <c r="W420" s="20"/>
      <c r="X420" s="20"/>
      <c r="Y420" s="20"/>
      <c r="Z420" s="20"/>
      <c r="AA420" s="20"/>
      <c r="AB420" s="20"/>
      <c r="AC420" s="21">
        <v>3839</v>
      </c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1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7"/>
      <c r="BD420" s="36"/>
      <c r="BE420" s="36"/>
      <c r="BF420" s="36"/>
      <c r="BG420" s="36"/>
      <c r="BH420" s="36">
        <v>574.68879985938725</v>
      </c>
      <c r="BI420" s="36"/>
      <c r="BJ420" s="36"/>
      <c r="BK420" s="36"/>
      <c r="BL420" s="36"/>
      <c r="BM420" s="36"/>
      <c r="BN420" s="36"/>
      <c r="BO420" s="36"/>
      <c r="BP420" s="37">
        <v>574.68879985938725</v>
      </c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7"/>
    </row>
    <row r="421" spans="1:81" s="22" customFormat="1" ht="14.5" outlineLevel="1" x14ac:dyDescent="0.35">
      <c r="B421" s="25" t="s">
        <v>329</v>
      </c>
      <c r="C421" s="23" t="s">
        <v>25</v>
      </c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1"/>
      <c r="Q421" s="20"/>
      <c r="R421" s="20"/>
      <c r="S421" s="20"/>
      <c r="T421" s="20"/>
      <c r="U421" s="20"/>
      <c r="V421" s="20"/>
      <c r="W421" s="20"/>
      <c r="X421" s="20"/>
      <c r="Y421" s="20">
        <v>7718</v>
      </c>
      <c r="Z421" s="20"/>
      <c r="AA421" s="20"/>
      <c r="AB421" s="20">
        <v>4461</v>
      </c>
      <c r="AC421" s="21">
        <v>12179</v>
      </c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1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7"/>
      <c r="BD421" s="36"/>
      <c r="BE421" s="36"/>
      <c r="BF421" s="36"/>
      <c r="BG421" s="36"/>
      <c r="BH421" s="36"/>
      <c r="BI421" s="36"/>
      <c r="BJ421" s="36"/>
      <c r="BK421" s="36"/>
      <c r="BL421" s="36">
        <v>565.2246302200183</v>
      </c>
      <c r="BM421" s="36"/>
      <c r="BN421" s="36"/>
      <c r="BO421" s="36">
        <v>566.80740344403796</v>
      </c>
      <c r="BP421" s="37">
        <v>565.80437825781712</v>
      </c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7"/>
    </row>
    <row r="422" spans="1:81" ht="14.5" x14ac:dyDescent="0.35">
      <c r="B422" s="15" t="s">
        <v>330</v>
      </c>
      <c r="C422" s="1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8"/>
      <c r="Q422" s="17"/>
      <c r="R422" s="17"/>
      <c r="S422" s="17"/>
      <c r="T422" s="17"/>
      <c r="U422" s="17">
        <v>3839</v>
      </c>
      <c r="V422" s="17"/>
      <c r="W422" s="17"/>
      <c r="X422" s="17"/>
      <c r="Y422" s="17">
        <v>7718</v>
      </c>
      <c r="Z422" s="17"/>
      <c r="AA422" s="17"/>
      <c r="AB422" s="17">
        <v>4461</v>
      </c>
      <c r="AC422" s="18">
        <v>16018</v>
      </c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8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9"/>
      <c r="BD422" s="17"/>
      <c r="BE422" s="17"/>
      <c r="BF422" s="17"/>
      <c r="BG422" s="17"/>
      <c r="BH422" s="17">
        <v>574.68879985938725</v>
      </c>
      <c r="BI422" s="17"/>
      <c r="BJ422" s="17"/>
      <c r="BK422" s="17"/>
      <c r="BL422" s="17">
        <v>565.2246302200183</v>
      </c>
      <c r="BM422" s="17"/>
      <c r="BN422" s="17"/>
      <c r="BO422" s="17">
        <v>566.80740344403796</v>
      </c>
      <c r="BP422" s="19">
        <v>567.93368869160588</v>
      </c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9"/>
    </row>
    <row r="423" spans="1:81" s="22" customFormat="1" ht="14.5" outlineLevel="1" x14ac:dyDescent="0.35">
      <c r="B423" s="25" t="s">
        <v>331</v>
      </c>
      <c r="C423" s="23" t="s">
        <v>327</v>
      </c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1"/>
      <c r="Q423" s="20"/>
      <c r="R423" s="20"/>
      <c r="S423" s="20"/>
      <c r="T423" s="20"/>
      <c r="U423" s="20"/>
      <c r="V423" s="20"/>
      <c r="W423" s="20">
        <v>21500</v>
      </c>
      <c r="X423" s="20"/>
      <c r="Y423" s="20"/>
      <c r="Z423" s="20"/>
      <c r="AA423" s="20"/>
      <c r="AB423" s="20"/>
      <c r="AC423" s="21">
        <v>21500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1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7"/>
      <c r="BD423" s="36"/>
      <c r="BE423" s="36"/>
      <c r="BF423" s="36"/>
      <c r="BG423" s="36"/>
      <c r="BH423" s="36"/>
      <c r="BI423" s="36"/>
      <c r="BJ423" s="36">
        <v>1185.7220915266887</v>
      </c>
      <c r="BK423" s="36"/>
      <c r="BL423" s="36"/>
      <c r="BM423" s="36"/>
      <c r="BN423" s="36"/>
      <c r="BO423" s="36"/>
      <c r="BP423" s="37">
        <v>1185.7220915266887</v>
      </c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7"/>
    </row>
    <row r="424" spans="1:81" ht="14.5" x14ac:dyDescent="0.35">
      <c r="B424" s="15" t="s">
        <v>332</v>
      </c>
      <c r="C424" s="1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8"/>
      <c r="Q424" s="17"/>
      <c r="R424" s="17"/>
      <c r="S424" s="17"/>
      <c r="T424" s="17"/>
      <c r="U424" s="17"/>
      <c r="V424" s="17"/>
      <c r="W424" s="17">
        <v>21500</v>
      </c>
      <c r="X424" s="17"/>
      <c r="Y424" s="17"/>
      <c r="Z424" s="17"/>
      <c r="AA424" s="17"/>
      <c r="AB424" s="17"/>
      <c r="AC424" s="18">
        <v>21500</v>
      </c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8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9"/>
      <c r="BD424" s="17"/>
      <c r="BE424" s="17"/>
      <c r="BF424" s="17"/>
      <c r="BG424" s="17"/>
      <c r="BH424" s="17"/>
      <c r="BI424" s="17"/>
      <c r="BJ424" s="17">
        <v>1185.7220915266887</v>
      </c>
      <c r="BK424" s="17"/>
      <c r="BL424" s="17"/>
      <c r="BM424" s="17"/>
      <c r="BN424" s="17"/>
      <c r="BO424" s="17"/>
      <c r="BP424" s="19">
        <v>1185.7220915266887</v>
      </c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9"/>
    </row>
    <row r="425" spans="1:81" s="22" customFormat="1" ht="14.5" outlineLevel="1" x14ac:dyDescent="0.35">
      <c r="B425" s="25" t="s">
        <v>333</v>
      </c>
      <c r="C425" s="23" t="s">
        <v>334</v>
      </c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1"/>
      <c r="Q425" s="20"/>
      <c r="R425" s="20"/>
      <c r="S425" s="20"/>
      <c r="T425" s="20"/>
      <c r="U425" s="20"/>
      <c r="V425" s="20">
        <v>2000</v>
      </c>
      <c r="W425" s="20"/>
      <c r="X425" s="20"/>
      <c r="Y425" s="20"/>
      <c r="Z425" s="20"/>
      <c r="AA425" s="20"/>
      <c r="AB425" s="20"/>
      <c r="AC425" s="21">
        <v>2000</v>
      </c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1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7"/>
      <c r="BD425" s="36"/>
      <c r="BE425" s="36"/>
      <c r="BF425" s="36"/>
      <c r="BG425" s="36"/>
      <c r="BH425" s="36"/>
      <c r="BI425" s="36">
        <v>1012.3381388267971</v>
      </c>
      <c r="BJ425" s="36"/>
      <c r="BK425" s="36"/>
      <c r="BL425" s="36"/>
      <c r="BM425" s="36"/>
      <c r="BN425" s="36"/>
      <c r="BO425" s="36"/>
      <c r="BP425" s="37">
        <v>1012.3381388267971</v>
      </c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7"/>
    </row>
    <row r="426" spans="1:81" ht="14.5" x14ac:dyDescent="0.35">
      <c r="B426" s="15" t="s">
        <v>335</v>
      </c>
      <c r="C426" s="1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8"/>
      <c r="Q426" s="17"/>
      <c r="R426" s="17"/>
      <c r="S426" s="17"/>
      <c r="T426" s="17"/>
      <c r="U426" s="17"/>
      <c r="V426" s="17">
        <v>2000</v>
      </c>
      <c r="W426" s="17"/>
      <c r="X426" s="17"/>
      <c r="Y426" s="17"/>
      <c r="Z426" s="17"/>
      <c r="AA426" s="17"/>
      <c r="AB426" s="17"/>
      <c r="AC426" s="18">
        <v>2000</v>
      </c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8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9"/>
      <c r="BD426" s="17"/>
      <c r="BE426" s="17"/>
      <c r="BF426" s="17"/>
      <c r="BG426" s="17"/>
      <c r="BH426" s="17"/>
      <c r="BI426" s="17">
        <v>1012.3381388267971</v>
      </c>
      <c r="BJ426" s="17"/>
      <c r="BK426" s="17"/>
      <c r="BL426" s="17"/>
      <c r="BM426" s="17"/>
      <c r="BN426" s="17"/>
      <c r="BO426" s="17"/>
      <c r="BP426" s="19">
        <v>1012.3381388267971</v>
      </c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9"/>
    </row>
    <row r="427" spans="1:81" s="22" customFormat="1" ht="14.5" outlineLevel="1" x14ac:dyDescent="0.35">
      <c r="B427" s="25" t="s">
        <v>336</v>
      </c>
      <c r="C427" s="23" t="s">
        <v>4</v>
      </c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1"/>
      <c r="Q427" s="20"/>
      <c r="R427" s="20"/>
      <c r="S427" s="20"/>
      <c r="T427" s="20"/>
      <c r="U427" s="20"/>
      <c r="V427" s="20"/>
      <c r="W427" s="20"/>
      <c r="X427" s="20">
        <v>184800</v>
      </c>
      <c r="Y427" s="20">
        <v>237600</v>
      </c>
      <c r="Z427" s="20">
        <v>220000</v>
      </c>
      <c r="AA427" s="20">
        <v>216700</v>
      </c>
      <c r="AB427" s="20"/>
      <c r="AC427" s="21">
        <v>859100</v>
      </c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1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7"/>
      <c r="BD427" s="36"/>
      <c r="BE427" s="36"/>
      <c r="BF427" s="36"/>
      <c r="BG427" s="36"/>
      <c r="BH427" s="36"/>
      <c r="BI427" s="36"/>
      <c r="BJ427" s="36"/>
      <c r="BK427" s="36">
        <v>1401.1145027193581</v>
      </c>
      <c r="BL427" s="36">
        <v>1396.3418342743166</v>
      </c>
      <c r="BM427" s="36">
        <v>1399.4463322478864</v>
      </c>
      <c r="BN427" s="36">
        <v>1398.2996079792983</v>
      </c>
      <c r="BO427" s="36"/>
      <c r="BP427" s="37">
        <v>1398.6573135487884</v>
      </c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7"/>
    </row>
    <row r="428" spans="1:81" ht="14.5" x14ac:dyDescent="0.35">
      <c r="B428" s="15" t="s">
        <v>337</v>
      </c>
      <c r="C428" s="1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8"/>
      <c r="Q428" s="17"/>
      <c r="R428" s="17"/>
      <c r="S428" s="17"/>
      <c r="T428" s="17"/>
      <c r="U428" s="17"/>
      <c r="V428" s="17"/>
      <c r="W428" s="17"/>
      <c r="X428" s="17">
        <v>184800</v>
      </c>
      <c r="Y428" s="17">
        <v>237600</v>
      </c>
      <c r="Z428" s="17">
        <v>220000</v>
      </c>
      <c r="AA428" s="17">
        <v>216700</v>
      </c>
      <c r="AB428" s="17"/>
      <c r="AC428" s="18">
        <v>859100</v>
      </c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8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9"/>
      <c r="BD428" s="17"/>
      <c r="BE428" s="17"/>
      <c r="BF428" s="17"/>
      <c r="BG428" s="17"/>
      <c r="BH428" s="17"/>
      <c r="BI428" s="17"/>
      <c r="BJ428" s="17"/>
      <c r="BK428" s="17">
        <v>1401.1145027193581</v>
      </c>
      <c r="BL428" s="17">
        <v>1396.3418342743166</v>
      </c>
      <c r="BM428" s="17">
        <v>1399.4463322478864</v>
      </c>
      <c r="BN428" s="17">
        <v>1398.2996079792983</v>
      </c>
      <c r="BO428" s="17"/>
      <c r="BP428" s="19">
        <v>1398.6573135487884</v>
      </c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9"/>
    </row>
    <row r="429" spans="1:81" s="22" customFormat="1" ht="14.5" outlineLevel="1" x14ac:dyDescent="0.35">
      <c r="B429" s="25" t="s">
        <v>338</v>
      </c>
      <c r="C429" s="23" t="s">
        <v>115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1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>
        <v>20000</v>
      </c>
      <c r="AC429" s="21">
        <v>20000</v>
      </c>
      <c r="AD429" s="20"/>
      <c r="AE429" s="20"/>
      <c r="AF429" s="20"/>
      <c r="AG429" s="20">
        <v>440000</v>
      </c>
      <c r="AH429" s="20"/>
      <c r="AI429" s="20"/>
      <c r="AJ429" s="20"/>
      <c r="AK429" s="20"/>
      <c r="AL429" s="20"/>
      <c r="AM429" s="20"/>
      <c r="AN429" s="20"/>
      <c r="AO429" s="20"/>
      <c r="AP429" s="21">
        <v>440000</v>
      </c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7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>
        <v>913.20265886074708</v>
      </c>
      <c r="BP429" s="37">
        <v>913.20265886074708</v>
      </c>
      <c r="BQ429" s="36"/>
      <c r="BR429" s="36"/>
      <c r="BS429" s="36"/>
      <c r="BT429" s="36">
        <v>780.00016541552759</v>
      </c>
      <c r="BU429" s="36"/>
      <c r="BV429" s="36"/>
      <c r="BW429" s="36"/>
      <c r="BX429" s="36"/>
      <c r="BY429" s="36"/>
      <c r="BZ429" s="36"/>
      <c r="CA429" s="36"/>
      <c r="CB429" s="36"/>
      <c r="CC429" s="37">
        <v>780.00016541552759</v>
      </c>
    </row>
    <row r="430" spans="1:81" s="22" customFormat="1" ht="14.5" outlineLevel="1" x14ac:dyDescent="0.35">
      <c r="B430" s="25" t="s">
        <v>338</v>
      </c>
      <c r="C430" s="23" t="s">
        <v>33</v>
      </c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1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1"/>
      <c r="AD430" s="20"/>
      <c r="AE430" s="20"/>
      <c r="AF430" s="20"/>
      <c r="AG430" s="20">
        <v>110000</v>
      </c>
      <c r="AH430" s="20"/>
      <c r="AI430" s="20"/>
      <c r="AJ430" s="20"/>
      <c r="AK430" s="20"/>
      <c r="AL430" s="20"/>
      <c r="AM430" s="20"/>
      <c r="AN430" s="20"/>
      <c r="AO430" s="20"/>
      <c r="AP430" s="21">
        <v>110000</v>
      </c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7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7"/>
      <c r="BQ430" s="36"/>
      <c r="BR430" s="36"/>
      <c r="BS430" s="36"/>
      <c r="BT430" s="36">
        <v>740.00016541552748</v>
      </c>
      <c r="BU430" s="36"/>
      <c r="BV430" s="36"/>
      <c r="BW430" s="36"/>
      <c r="BX430" s="36"/>
      <c r="BY430" s="36"/>
      <c r="BZ430" s="36"/>
      <c r="CA430" s="36"/>
      <c r="CB430" s="36"/>
      <c r="CC430" s="37">
        <v>740.00016541552748</v>
      </c>
    </row>
    <row r="431" spans="1:81" ht="14.5" x14ac:dyDescent="0.35">
      <c r="A431" t="s">
        <v>368</v>
      </c>
      <c r="B431" s="15" t="s">
        <v>339</v>
      </c>
      <c r="C431" s="1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8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>
        <v>20000</v>
      </c>
      <c r="AC431" s="18">
        <v>20000</v>
      </c>
      <c r="AD431" s="17"/>
      <c r="AE431" s="17"/>
      <c r="AF431" s="17"/>
      <c r="AG431" s="17">
        <v>550000</v>
      </c>
      <c r="AH431" s="17"/>
      <c r="AI431" s="17"/>
      <c r="AJ431" s="17"/>
      <c r="AK431" s="17"/>
      <c r="AL431" s="17"/>
      <c r="AM431" s="17"/>
      <c r="AN431" s="17"/>
      <c r="AO431" s="17"/>
      <c r="AP431" s="18">
        <v>550000</v>
      </c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9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>
        <v>913.20265886074708</v>
      </c>
      <c r="BP431" s="19">
        <v>913.20265886074708</v>
      </c>
      <c r="BQ431" s="17"/>
      <c r="BR431" s="17"/>
      <c r="BS431" s="17"/>
      <c r="BT431" s="17">
        <v>772.00016541552748</v>
      </c>
      <c r="BU431" s="17"/>
      <c r="BV431" s="17"/>
      <c r="BW431" s="17"/>
      <c r="BX431" s="17"/>
      <c r="BY431" s="17"/>
      <c r="BZ431" s="17"/>
      <c r="CA431" s="17"/>
      <c r="CB431" s="17"/>
      <c r="CC431" s="19">
        <v>772.00016541552748</v>
      </c>
    </row>
    <row r="432" spans="1:81" s="22" customFormat="1" ht="14.5" outlineLevel="1" x14ac:dyDescent="0.35">
      <c r="B432" s="25" t="s">
        <v>340</v>
      </c>
      <c r="C432" s="23" t="s">
        <v>266</v>
      </c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1"/>
      <c r="Q432" s="20"/>
      <c r="R432" s="20"/>
      <c r="S432" s="20"/>
      <c r="T432" s="20"/>
      <c r="U432" s="20"/>
      <c r="V432" s="20"/>
      <c r="W432" s="20"/>
      <c r="X432" s="20"/>
      <c r="Y432" s="20">
        <v>5000</v>
      </c>
      <c r="Z432" s="20"/>
      <c r="AA432" s="20"/>
      <c r="AB432" s="20"/>
      <c r="AC432" s="21">
        <v>5000</v>
      </c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1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7"/>
      <c r="BD432" s="36"/>
      <c r="BE432" s="36"/>
      <c r="BF432" s="36"/>
      <c r="BG432" s="36"/>
      <c r="BH432" s="36"/>
      <c r="BI432" s="36"/>
      <c r="BJ432" s="36"/>
      <c r="BK432" s="36"/>
      <c r="BL432" s="36">
        <v>763.05324906685746</v>
      </c>
      <c r="BM432" s="36"/>
      <c r="BN432" s="36"/>
      <c r="BO432" s="36"/>
      <c r="BP432" s="37">
        <v>763.05324906685746</v>
      </c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7"/>
    </row>
    <row r="433" spans="2:81" ht="14.5" x14ac:dyDescent="0.35">
      <c r="B433" s="15" t="s">
        <v>341</v>
      </c>
      <c r="C433" s="1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8"/>
      <c r="Q433" s="17"/>
      <c r="R433" s="17"/>
      <c r="S433" s="17"/>
      <c r="T433" s="17"/>
      <c r="U433" s="17"/>
      <c r="V433" s="17"/>
      <c r="W433" s="17"/>
      <c r="X433" s="17"/>
      <c r="Y433" s="17">
        <v>5000</v>
      </c>
      <c r="Z433" s="17"/>
      <c r="AA433" s="17"/>
      <c r="AB433" s="17"/>
      <c r="AC433" s="18">
        <v>5000</v>
      </c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8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9"/>
      <c r="BD433" s="17"/>
      <c r="BE433" s="17"/>
      <c r="BF433" s="17"/>
      <c r="BG433" s="17"/>
      <c r="BH433" s="17"/>
      <c r="BI433" s="17"/>
      <c r="BJ433" s="17"/>
      <c r="BK433" s="17"/>
      <c r="BL433" s="17">
        <v>763.05324906685746</v>
      </c>
      <c r="BM433" s="17"/>
      <c r="BN433" s="17"/>
      <c r="BO433" s="17"/>
      <c r="BP433" s="19">
        <v>763.05324906685746</v>
      </c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9"/>
    </row>
    <row r="434" spans="2:81" s="22" customFormat="1" ht="14.5" outlineLevel="1" x14ac:dyDescent="0.35">
      <c r="B434" s="25" t="s">
        <v>342</v>
      </c>
      <c r="C434" s="23" t="s">
        <v>343</v>
      </c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1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>
        <v>600</v>
      </c>
      <c r="AB434" s="20"/>
      <c r="AC434" s="21">
        <v>600</v>
      </c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1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7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>
        <v>798.06786971819417</v>
      </c>
      <c r="BO434" s="36"/>
      <c r="BP434" s="37">
        <v>798.06786971819417</v>
      </c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7"/>
    </row>
    <row r="435" spans="2:81" s="22" customFormat="1" ht="14.5" outlineLevel="1" x14ac:dyDescent="0.35">
      <c r="B435" s="25" t="s">
        <v>342</v>
      </c>
      <c r="C435" s="23" t="s">
        <v>62</v>
      </c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1"/>
      <c r="Q435" s="20"/>
      <c r="R435" s="20"/>
      <c r="S435" s="20"/>
      <c r="T435" s="20"/>
      <c r="U435" s="20"/>
      <c r="V435" s="20"/>
      <c r="W435" s="20"/>
      <c r="X435" s="20"/>
      <c r="Y435" s="20"/>
      <c r="Z435" s="20">
        <v>3500</v>
      </c>
      <c r="AA435" s="20"/>
      <c r="AB435" s="20"/>
      <c r="AC435" s="21">
        <v>3500</v>
      </c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1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7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>
        <v>811.3662362323638</v>
      </c>
      <c r="BN435" s="36"/>
      <c r="BO435" s="36"/>
      <c r="BP435" s="37">
        <v>811.3662362323638</v>
      </c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7"/>
    </row>
    <row r="436" spans="2:81" ht="14.5" x14ac:dyDescent="0.35">
      <c r="B436" s="15" t="s">
        <v>344</v>
      </c>
      <c r="C436" s="1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8"/>
      <c r="Q436" s="17"/>
      <c r="R436" s="17"/>
      <c r="S436" s="17"/>
      <c r="T436" s="17"/>
      <c r="U436" s="17"/>
      <c r="V436" s="17"/>
      <c r="W436" s="17"/>
      <c r="X436" s="17"/>
      <c r="Y436" s="17"/>
      <c r="Z436" s="17">
        <v>3500</v>
      </c>
      <c r="AA436" s="17">
        <v>600</v>
      </c>
      <c r="AB436" s="17"/>
      <c r="AC436" s="18">
        <v>4100</v>
      </c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8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9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>
        <v>811.3662362323638</v>
      </c>
      <c r="BN436" s="17">
        <v>798.06786971819417</v>
      </c>
      <c r="BO436" s="17"/>
      <c r="BP436" s="19">
        <v>809.42013381565607</v>
      </c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9"/>
    </row>
    <row r="437" spans="2:81" s="22" customFormat="1" ht="14.5" outlineLevel="1" x14ac:dyDescent="0.35">
      <c r="B437" s="25" t="s">
        <v>345</v>
      </c>
      <c r="C437" s="23" t="s">
        <v>346</v>
      </c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1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1"/>
      <c r="AD437" s="20"/>
      <c r="AE437" s="20"/>
      <c r="AF437" s="20"/>
      <c r="AG437" s="20">
        <v>50</v>
      </c>
      <c r="AH437" s="20"/>
      <c r="AI437" s="20"/>
      <c r="AJ437" s="20"/>
      <c r="AK437" s="20"/>
      <c r="AL437" s="20"/>
      <c r="AM437" s="20"/>
      <c r="AN437" s="20"/>
      <c r="AO437" s="20"/>
      <c r="AP437" s="21">
        <v>50</v>
      </c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7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7"/>
      <c r="BQ437" s="36"/>
      <c r="BR437" s="36"/>
      <c r="BS437" s="36"/>
      <c r="BT437" s="36">
        <v>1004.2202656786294</v>
      </c>
      <c r="BU437" s="36"/>
      <c r="BV437" s="36"/>
      <c r="BW437" s="36"/>
      <c r="BX437" s="36"/>
      <c r="BY437" s="36"/>
      <c r="BZ437" s="36"/>
      <c r="CA437" s="36"/>
      <c r="CB437" s="36"/>
      <c r="CC437" s="37">
        <v>1004.2202656786294</v>
      </c>
    </row>
    <row r="438" spans="2:81" s="22" customFormat="1" ht="14.5" outlineLevel="1" x14ac:dyDescent="0.35">
      <c r="B438" s="25" t="s">
        <v>345</v>
      </c>
      <c r="C438" s="23" t="s">
        <v>347</v>
      </c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1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1"/>
      <c r="AD438" s="20"/>
      <c r="AE438" s="20"/>
      <c r="AF438" s="20"/>
      <c r="AG438" s="20">
        <v>800</v>
      </c>
      <c r="AH438" s="20"/>
      <c r="AI438" s="20"/>
      <c r="AJ438" s="20"/>
      <c r="AK438" s="20"/>
      <c r="AL438" s="20"/>
      <c r="AM438" s="20"/>
      <c r="AN438" s="20"/>
      <c r="AO438" s="20"/>
      <c r="AP438" s="21">
        <v>800</v>
      </c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7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7"/>
      <c r="BQ438" s="36"/>
      <c r="BR438" s="36"/>
      <c r="BS438" s="36"/>
      <c r="BT438" s="36">
        <v>1004.3748331229851</v>
      </c>
      <c r="BU438" s="36"/>
      <c r="BV438" s="36"/>
      <c r="BW438" s="36"/>
      <c r="BX438" s="36"/>
      <c r="BY438" s="36"/>
      <c r="BZ438" s="36"/>
      <c r="CA438" s="36"/>
      <c r="CB438" s="36"/>
      <c r="CC438" s="37">
        <v>1004.3748331229851</v>
      </c>
    </row>
    <row r="439" spans="2:81" thickBot="1" x14ac:dyDescent="0.4">
      <c r="B439" s="15" t="s">
        <v>348</v>
      </c>
      <c r="C439" s="1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8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8"/>
      <c r="AD439" s="17"/>
      <c r="AE439" s="17"/>
      <c r="AF439" s="17"/>
      <c r="AG439" s="17">
        <v>850</v>
      </c>
      <c r="AH439" s="17"/>
      <c r="AI439" s="17"/>
      <c r="AJ439" s="17"/>
      <c r="AK439" s="17"/>
      <c r="AL439" s="17"/>
      <c r="AM439" s="17"/>
      <c r="AN439" s="17"/>
      <c r="AO439" s="17"/>
      <c r="AP439" s="18">
        <v>850</v>
      </c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9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9"/>
      <c r="BQ439" s="17"/>
      <c r="BR439" s="17"/>
      <c r="BS439" s="17"/>
      <c r="BT439" s="17">
        <v>1004.3657409203759</v>
      </c>
      <c r="BU439" s="17"/>
      <c r="BV439" s="17"/>
      <c r="BW439" s="17"/>
      <c r="BX439" s="17"/>
      <c r="BY439" s="17"/>
      <c r="BZ439" s="17"/>
      <c r="CA439" s="17"/>
      <c r="CB439" s="17"/>
      <c r="CC439" s="19">
        <v>1004.3657409203759</v>
      </c>
    </row>
    <row r="440" spans="2:81" thickBot="1" x14ac:dyDescent="0.4">
      <c r="B440" s="1" t="s">
        <v>349</v>
      </c>
      <c r="C440" s="2"/>
      <c r="D440" s="3">
        <v>3293475</v>
      </c>
      <c r="E440" s="3">
        <v>2229375</v>
      </c>
      <c r="F440" s="3">
        <v>2966400</v>
      </c>
      <c r="G440" s="3">
        <v>3200750</v>
      </c>
      <c r="H440" s="3">
        <v>3423510</v>
      </c>
      <c r="I440" s="3">
        <v>2401793</v>
      </c>
      <c r="J440" s="3">
        <v>1964225</v>
      </c>
      <c r="K440" s="3">
        <v>4991418.2</v>
      </c>
      <c r="L440" s="3">
        <v>4683600</v>
      </c>
      <c r="M440" s="3">
        <v>3877515</v>
      </c>
      <c r="N440" s="3">
        <v>2086925</v>
      </c>
      <c r="O440" s="3">
        <v>2904350</v>
      </c>
      <c r="P440" s="6">
        <v>38023336.200000003</v>
      </c>
      <c r="Q440" s="3">
        <v>3575999.3</v>
      </c>
      <c r="R440" s="3">
        <v>5862675</v>
      </c>
      <c r="S440" s="3">
        <v>4720050</v>
      </c>
      <c r="T440" s="3">
        <v>3970925</v>
      </c>
      <c r="U440" s="3">
        <v>4666024.3</v>
      </c>
      <c r="V440" s="3">
        <v>3773208</v>
      </c>
      <c r="W440" s="3">
        <v>4580424.0999999996</v>
      </c>
      <c r="X440" s="3">
        <v>5269368</v>
      </c>
      <c r="Y440" s="3">
        <v>2877043</v>
      </c>
      <c r="Z440" s="3">
        <v>3357195</v>
      </c>
      <c r="AA440" s="3">
        <v>2670415</v>
      </c>
      <c r="AB440" s="3">
        <v>2881111</v>
      </c>
      <c r="AC440" s="6">
        <v>48204437.700000003</v>
      </c>
      <c r="AD440" s="3">
        <v>4107350</v>
      </c>
      <c r="AE440" s="3">
        <v>3166750</v>
      </c>
      <c r="AF440" s="3">
        <v>5889225</v>
      </c>
      <c r="AG440" s="3">
        <v>5414205</v>
      </c>
      <c r="AH440" s="3"/>
      <c r="AI440" s="3"/>
      <c r="AJ440" s="3"/>
      <c r="AK440" s="3"/>
      <c r="AL440" s="3"/>
      <c r="AM440" s="3"/>
      <c r="AN440" s="3"/>
      <c r="AO440" s="3"/>
      <c r="AP440" s="6">
        <v>18577530</v>
      </c>
      <c r="AQ440" s="3">
        <v>1143.9925777086733</v>
      </c>
      <c r="AR440" s="3">
        <v>1197.2157676203708</v>
      </c>
      <c r="AS440" s="3">
        <v>1217.2961748721498</v>
      </c>
      <c r="AT440" s="3">
        <v>1162.8809272153349</v>
      </c>
      <c r="AU440" s="3">
        <v>1157.7349810689807</v>
      </c>
      <c r="AV440" s="3">
        <v>1075.694488538747</v>
      </c>
      <c r="AW440" s="3">
        <v>1106.6717567019407</v>
      </c>
      <c r="AX440" s="3">
        <v>1167.0643354849683</v>
      </c>
      <c r="AY440" s="3">
        <v>1194.4837282636561</v>
      </c>
      <c r="AZ440" s="3">
        <v>1150.7355797477971</v>
      </c>
      <c r="BA440" s="3">
        <v>1269.5026795722188</v>
      </c>
      <c r="BB440" s="3">
        <v>1250.4622720292541</v>
      </c>
      <c r="BC440" s="14">
        <v>1174.3740432760244</v>
      </c>
      <c r="BD440" s="3">
        <v>1227.3988839377694</v>
      </c>
      <c r="BE440" s="3">
        <v>1223.0496981674182</v>
      </c>
      <c r="BF440" s="3">
        <v>1211.73335432313</v>
      </c>
      <c r="BG440" s="3">
        <v>1197.7913143543005</v>
      </c>
      <c r="BH440" s="3">
        <v>1217.3114934710245</v>
      </c>
      <c r="BI440" s="3">
        <v>1164.4468615900134</v>
      </c>
      <c r="BJ440" s="3">
        <v>1128.8257073226659</v>
      </c>
      <c r="BK440" s="3">
        <v>1155.2146331368319</v>
      </c>
      <c r="BL440" s="3">
        <v>1048.1602916503139</v>
      </c>
      <c r="BM440" s="3">
        <v>1096.8558308099609</v>
      </c>
      <c r="BN440" s="3">
        <v>1119.3982178628803</v>
      </c>
      <c r="BO440" s="3">
        <v>1179.0017323558779</v>
      </c>
      <c r="BP440" s="14">
        <v>1171.0708627225881</v>
      </c>
      <c r="BQ440" s="3">
        <v>1109.6340716921541</v>
      </c>
      <c r="BR440" s="3">
        <v>1116.7876546303191</v>
      </c>
      <c r="BS440" s="3">
        <v>1056.1685001004259</v>
      </c>
      <c r="BT440" s="3">
        <v>1081.5300553104937</v>
      </c>
      <c r="BU440" s="3"/>
      <c r="BV440" s="3"/>
      <c r="BW440" s="3"/>
      <c r="BX440" s="3"/>
      <c r="BY440" s="3"/>
      <c r="BZ440" s="3"/>
      <c r="CA440" s="3"/>
      <c r="CB440" s="3"/>
      <c r="CC440" s="14">
        <v>1085.7138800358068</v>
      </c>
    </row>
    <row r="441" spans="2:81" ht="14.5" x14ac:dyDescent="0.35">
      <c r="P441" s="68"/>
      <c r="AC441" s="68"/>
      <c r="AP441" s="68"/>
      <c r="BC441" s="69"/>
      <c r="BP441" s="69"/>
      <c r="CC441" s="69"/>
    </row>
    <row r="442" spans="2:81" s="70" customFormat="1" ht="14.5" hidden="1" x14ac:dyDescent="0.35"/>
  </sheetData>
  <autoFilter ref="B4:CC440" xr:uid="{B12640BE-79AE-4516-BD8D-AB9F079A5243}"/>
  <mergeCells count="2">
    <mergeCell ref="B2:B4"/>
    <mergeCell ref="C2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BFBA-F4D4-4D59-BCAD-2EDF53DEEB90}">
  <dimension ref="A2:EH16"/>
  <sheetViews>
    <sheetView showGridLines="0" zoomScaleNormal="100" workbookViewId="0">
      <pane xSplit="5" ySplit="4" topLeftCell="CF5" activePane="bottomRight" state="frozen"/>
      <selection pane="topRight" activeCell="D1" sqref="D1"/>
      <selection pane="bottomLeft" activeCell="A5" sqref="A5"/>
      <selection pane="bottomRight" activeCell="DT17" sqref="DT17"/>
    </sheetView>
  </sheetViews>
  <sheetFormatPr defaultRowHeight="14.5" outlineLevelCol="1" x14ac:dyDescent="0.35"/>
  <cols>
    <col min="1" max="1" width="14.5" style="48" hidden="1" customWidth="1"/>
    <col min="3" max="3" width="21" bestFit="1" customWidth="1"/>
    <col min="4" max="4" width="44.25" hidden="1" customWidth="1" outlineLevel="1"/>
    <col min="5" max="5" width="1.25" customWidth="1" collapsed="1"/>
    <col min="6" max="17" width="7.83203125" hidden="1" customWidth="1" outlineLevel="1"/>
    <col min="18" max="18" width="7.83203125" customWidth="1" collapsed="1"/>
    <col min="19" max="30" width="7.83203125" hidden="1" customWidth="1" outlineLevel="1"/>
    <col min="31" max="31" width="7.83203125" customWidth="1" collapsed="1"/>
    <col min="32" max="43" width="7.83203125" hidden="1" customWidth="1" outlineLevel="1"/>
    <col min="44" max="44" width="7.83203125" customWidth="1" collapsed="1"/>
    <col min="45" max="45" width="1.58203125" customWidth="1"/>
    <col min="46" max="46" width="12" hidden="1" customWidth="1" outlineLevel="1"/>
    <col min="47" max="57" width="8.83203125" hidden="1" customWidth="1" outlineLevel="1"/>
    <col min="58" max="58" width="8.83203125" collapsed="1"/>
    <col min="59" max="70" width="9" hidden="1" customWidth="1" outlineLevel="1"/>
    <col min="71" max="71" width="8.83203125" collapsed="1"/>
    <col min="72" max="83" width="8.83203125" hidden="1" customWidth="1" outlineLevel="1"/>
    <col min="84" max="84" width="8.83203125" collapsed="1"/>
    <col min="85" max="85" width="1.58203125" customWidth="1"/>
    <col min="86" max="97" width="7.33203125" hidden="1" customWidth="1" outlineLevel="1"/>
    <col min="98" max="98" width="7.58203125" bestFit="1" customWidth="1" collapsed="1"/>
    <col min="99" max="110" width="7.33203125" hidden="1" customWidth="1" outlineLevel="1"/>
    <col min="111" max="111" width="7.58203125" bestFit="1" customWidth="1" collapsed="1"/>
    <col min="112" max="115" width="7.33203125" hidden="1" customWidth="1" outlineLevel="1"/>
    <col min="116" max="123" width="4.5" hidden="1" customWidth="1" outlineLevel="1"/>
    <col min="124" max="124" width="7.58203125" bestFit="1" customWidth="1" collapsed="1"/>
    <col min="125" max="125" width="2.83203125" customWidth="1"/>
    <col min="126" max="126" width="7.4140625" bestFit="1" customWidth="1"/>
    <col min="129" max="129" width="4.58203125" customWidth="1"/>
    <col min="133" max="133" width="5.33203125" customWidth="1"/>
    <col min="134" max="134" width="7.58203125" bestFit="1" customWidth="1"/>
    <col min="135" max="136" width="10.08203125" bestFit="1" customWidth="1"/>
    <col min="138" max="138" width="9.83203125" bestFit="1" customWidth="1"/>
  </cols>
  <sheetData>
    <row r="2" spans="1:138" s="38" customFormat="1" ht="15" thickBot="1" x14ac:dyDescent="0.4">
      <c r="A2" s="47"/>
      <c r="B2" s="172" t="s">
        <v>370</v>
      </c>
      <c r="C2" s="169" t="s">
        <v>369</v>
      </c>
      <c r="D2" s="169" t="s">
        <v>376</v>
      </c>
      <c r="F2" s="174" t="s">
        <v>384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T2" s="170" t="s">
        <v>375</v>
      </c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H2" s="167" t="s">
        <v>382</v>
      </c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V2" s="113">
        <v>24858.78133105993</v>
      </c>
      <c r="DW2" s="113">
        <v>25788.123586605394</v>
      </c>
      <c r="DX2" s="113">
        <v>26183.993857596342</v>
      </c>
      <c r="ED2" s="113">
        <v>24858.78133105993</v>
      </c>
      <c r="EE2" s="113">
        <v>25788.123586605394</v>
      </c>
      <c r="EF2" s="113">
        <v>26183.993857596342</v>
      </c>
    </row>
    <row r="3" spans="1:138" s="38" customFormat="1" ht="15" thickBot="1" x14ac:dyDescent="0.4">
      <c r="A3" s="47"/>
      <c r="B3" s="172"/>
      <c r="C3" s="169"/>
      <c r="D3" s="169"/>
      <c r="F3" s="173">
        <v>2024</v>
      </c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>
        <v>2025</v>
      </c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>
        <v>2026</v>
      </c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T3" s="171">
        <v>2024</v>
      </c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>
        <v>2025</v>
      </c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/>
      <c r="BT3" s="171">
        <v>2026</v>
      </c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H3" s="168">
        <v>2024</v>
      </c>
      <c r="CI3" s="168"/>
      <c r="CJ3" s="168"/>
      <c r="CK3" s="168"/>
      <c r="CL3" s="168"/>
      <c r="CM3" s="168"/>
      <c r="CN3" s="168"/>
      <c r="CO3" s="168"/>
      <c r="CP3" s="168"/>
      <c r="CQ3" s="168"/>
      <c r="CR3" s="168"/>
      <c r="CS3" s="168"/>
      <c r="CT3" s="168"/>
      <c r="CU3" s="168">
        <v>2025</v>
      </c>
      <c r="CV3" s="168"/>
      <c r="CW3" s="168"/>
      <c r="CX3" s="168"/>
      <c r="CY3" s="168"/>
      <c r="CZ3" s="168"/>
      <c r="DA3" s="168"/>
      <c r="DB3" s="168"/>
      <c r="DC3" s="168"/>
      <c r="DD3" s="168"/>
      <c r="DE3" s="168"/>
      <c r="DF3" s="168"/>
      <c r="DG3" s="168"/>
      <c r="DH3" s="168">
        <v>2026</v>
      </c>
      <c r="DI3" s="168"/>
      <c r="DJ3" s="168"/>
      <c r="DK3" s="168"/>
      <c r="DL3" s="168"/>
      <c r="DM3" s="168"/>
      <c r="DN3" s="168"/>
      <c r="DO3" s="168"/>
      <c r="DP3" s="168"/>
      <c r="DQ3" s="168"/>
      <c r="DR3" s="168"/>
      <c r="DS3" s="168"/>
      <c r="DT3" s="168"/>
      <c r="DV3" s="107" t="s">
        <v>386</v>
      </c>
      <c r="DW3" s="107"/>
      <c r="DX3" s="107"/>
      <c r="DZ3" s="121" t="s">
        <v>387</v>
      </c>
      <c r="EA3" s="122"/>
      <c r="EB3" s="123"/>
      <c r="ED3" s="107" t="s">
        <v>388</v>
      </c>
      <c r="EE3" s="107"/>
      <c r="EF3" s="107"/>
    </row>
    <row r="4" spans="1:138" s="38" customFormat="1" ht="15.5" thickTop="1" thickBot="1" x14ac:dyDescent="0.4">
      <c r="A4" s="47" t="s">
        <v>372</v>
      </c>
      <c r="B4" s="172"/>
      <c r="C4" s="169"/>
      <c r="D4" s="169"/>
      <c r="F4" s="44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5">
        <v>12</v>
      </c>
      <c r="R4" s="41" t="s">
        <v>350</v>
      </c>
      <c r="S4" s="46">
        <v>1</v>
      </c>
      <c r="T4" s="44">
        <v>2</v>
      </c>
      <c r="U4" s="44">
        <v>3</v>
      </c>
      <c r="V4" s="44">
        <v>4</v>
      </c>
      <c r="W4" s="44">
        <v>5</v>
      </c>
      <c r="X4" s="44">
        <v>6</v>
      </c>
      <c r="Y4" s="44">
        <v>7</v>
      </c>
      <c r="Z4" s="44">
        <v>8</v>
      </c>
      <c r="AA4" s="44">
        <v>9</v>
      </c>
      <c r="AB4" s="44">
        <v>10</v>
      </c>
      <c r="AC4" s="44">
        <v>11</v>
      </c>
      <c r="AD4" s="45">
        <v>12</v>
      </c>
      <c r="AE4" s="41" t="s">
        <v>350</v>
      </c>
      <c r="AF4" s="46">
        <v>1</v>
      </c>
      <c r="AG4" s="44">
        <v>2</v>
      </c>
      <c r="AH4" s="44">
        <v>3</v>
      </c>
      <c r="AI4" s="44">
        <v>4</v>
      </c>
      <c r="AJ4" s="44">
        <v>5</v>
      </c>
      <c r="AK4" s="44">
        <v>6</v>
      </c>
      <c r="AL4" s="44">
        <v>7</v>
      </c>
      <c r="AM4" s="44">
        <v>8</v>
      </c>
      <c r="AN4" s="44">
        <v>9</v>
      </c>
      <c r="AO4" s="44">
        <v>10</v>
      </c>
      <c r="AP4" s="44">
        <v>11</v>
      </c>
      <c r="AQ4" s="45">
        <v>12</v>
      </c>
      <c r="AR4" s="41" t="s">
        <v>350</v>
      </c>
      <c r="AT4" s="55">
        <v>1</v>
      </c>
      <c r="AU4" s="55">
        <v>2</v>
      </c>
      <c r="AV4" s="55">
        <v>3</v>
      </c>
      <c r="AW4" s="55">
        <v>4</v>
      </c>
      <c r="AX4" s="55">
        <v>5</v>
      </c>
      <c r="AY4" s="55">
        <v>6</v>
      </c>
      <c r="AZ4" s="55">
        <v>7</v>
      </c>
      <c r="BA4" s="55">
        <v>8</v>
      </c>
      <c r="BB4" s="55">
        <v>9</v>
      </c>
      <c r="BC4" s="55">
        <v>10</v>
      </c>
      <c r="BD4" s="55">
        <v>11</v>
      </c>
      <c r="BE4" s="56">
        <v>12</v>
      </c>
      <c r="BF4" s="59" t="s">
        <v>350</v>
      </c>
      <c r="BG4" s="55">
        <v>1</v>
      </c>
      <c r="BH4" s="55">
        <v>2</v>
      </c>
      <c r="BI4" s="55">
        <v>3</v>
      </c>
      <c r="BJ4" s="55">
        <v>4</v>
      </c>
      <c r="BK4" s="55">
        <v>5</v>
      </c>
      <c r="BL4" s="55">
        <v>6</v>
      </c>
      <c r="BM4" s="55">
        <v>7</v>
      </c>
      <c r="BN4" s="55">
        <v>8</v>
      </c>
      <c r="BO4" s="55">
        <v>9</v>
      </c>
      <c r="BP4" s="55">
        <v>10</v>
      </c>
      <c r="BQ4" s="55">
        <v>11</v>
      </c>
      <c r="BR4" s="56">
        <v>12</v>
      </c>
      <c r="BS4" s="57" t="s">
        <v>350</v>
      </c>
      <c r="BT4" s="58">
        <v>1</v>
      </c>
      <c r="BU4" s="55">
        <v>2</v>
      </c>
      <c r="BV4" s="55">
        <v>3</v>
      </c>
      <c r="BW4" s="55">
        <v>4</v>
      </c>
      <c r="BX4" s="55">
        <v>5</v>
      </c>
      <c r="BY4" s="55">
        <v>6</v>
      </c>
      <c r="BZ4" s="55">
        <v>7</v>
      </c>
      <c r="CA4" s="55">
        <v>8</v>
      </c>
      <c r="CB4" s="55">
        <v>9</v>
      </c>
      <c r="CC4" s="55">
        <v>10</v>
      </c>
      <c r="CD4" s="55">
        <v>11</v>
      </c>
      <c r="CE4" s="56">
        <v>12</v>
      </c>
      <c r="CF4" s="51" t="s">
        <v>350</v>
      </c>
      <c r="CH4" s="102">
        <v>1</v>
      </c>
      <c r="CI4" s="102">
        <v>2</v>
      </c>
      <c r="CJ4" s="102">
        <v>3</v>
      </c>
      <c r="CK4" s="102">
        <v>4</v>
      </c>
      <c r="CL4" s="102">
        <v>5</v>
      </c>
      <c r="CM4" s="102">
        <v>6</v>
      </c>
      <c r="CN4" s="102">
        <v>7</v>
      </c>
      <c r="CO4" s="102">
        <v>8</v>
      </c>
      <c r="CP4" s="102">
        <v>9</v>
      </c>
      <c r="CQ4" s="102">
        <v>10</v>
      </c>
      <c r="CR4" s="102">
        <v>11</v>
      </c>
      <c r="CS4" s="102">
        <v>12</v>
      </c>
      <c r="CT4" s="103" t="s">
        <v>350</v>
      </c>
      <c r="CU4" s="102">
        <v>1</v>
      </c>
      <c r="CV4" s="102">
        <v>2</v>
      </c>
      <c r="CW4" s="102">
        <v>3</v>
      </c>
      <c r="CX4" s="102">
        <v>4</v>
      </c>
      <c r="CY4" s="102">
        <v>5</v>
      </c>
      <c r="CZ4" s="102">
        <v>6</v>
      </c>
      <c r="DA4" s="102">
        <v>7</v>
      </c>
      <c r="DB4" s="102">
        <v>8</v>
      </c>
      <c r="DC4" s="102">
        <v>9</v>
      </c>
      <c r="DD4" s="102">
        <v>10</v>
      </c>
      <c r="DE4" s="102">
        <v>11</v>
      </c>
      <c r="DF4" s="102">
        <v>12</v>
      </c>
      <c r="DG4" s="103" t="s">
        <v>350</v>
      </c>
      <c r="DH4" s="102">
        <v>1</v>
      </c>
      <c r="DI4" s="102">
        <v>2</v>
      </c>
      <c r="DJ4" s="102">
        <v>3</v>
      </c>
      <c r="DK4" s="102">
        <v>4</v>
      </c>
      <c r="DL4" s="102">
        <v>5</v>
      </c>
      <c r="DM4" s="102">
        <v>6</v>
      </c>
      <c r="DN4" s="102">
        <v>7</v>
      </c>
      <c r="DO4" s="102">
        <v>8</v>
      </c>
      <c r="DP4" s="102">
        <v>9</v>
      </c>
      <c r="DQ4" s="102">
        <v>10</v>
      </c>
      <c r="DR4" s="102">
        <v>11</v>
      </c>
      <c r="DS4" s="102">
        <v>12</v>
      </c>
      <c r="DT4" s="103" t="s">
        <v>350</v>
      </c>
      <c r="DV4" s="63">
        <v>2024</v>
      </c>
      <c r="DW4" s="63">
        <v>2025</v>
      </c>
      <c r="DX4" s="63">
        <v>2026</v>
      </c>
      <c r="DZ4" s="132">
        <v>2024</v>
      </c>
      <c r="EA4" s="133">
        <v>2025</v>
      </c>
      <c r="EB4" s="134">
        <v>2026</v>
      </c>
      <c r="ED4" s="108">
        <v>2024</v>
      </c>
      <c r="EE4" s="108">
        <v>2025</v>
      </c>
      <c r="EF4" s="108">
        <v>2026</v>
      </c>
    </row>
    <row r="5" spans="1:138" x14ac:dyDescent="0.35">
      <c r="A5" s="48" t="s">
        <v>362</v>
      </c>
      <c r="B5" s="42">
        <v>1</v>
      </c>
      <c r="C5" s="39" t="s">
        <v>362</v>
      </c>
      <c r="D5" s="39"/>
      <c r="F5" s="109">
        <f>SUMIFS(Data!D$5:D$448,Data!$A$5:$A$448,'Tóm tắt'!$A5)</f>
        <v>203525</v>
      </c>
      <c r="G5" s="109">
        <f>SUMIFS(Data!E$5:E$448,Data!$A$5:$A$448,'Tóm tắt'!$A5)</f>
        <v>209000</v>
      </c>
      <c r="H5" s="109">
        <f>SUMIFS(Data!F$5:F$448,Data!$A$5:$A$448,'Tóm tắt'!$A5)</f>
        <v>48400</v>
      </c>
      <c r="I5" s="109">
        <f>SUMIFS(Data!G$5:G$448,Data!$A$5:$A$448,'Tóm tắt'!$A5)</f>
        <v>160600</v>
      </c>
      <c r="J5" s="109">
        <f>SUMIFS(Data!H$5:H$448,Data!$A$5:$A$448,'Tóm tắt'!$A5)</f>
        <v>88000</v>
      </c>
      <c r="K5" s="109">
        <f>SUMIFS(Data!I$5:I$448,Data!$A$5:$A$448,'Tóm tắt'!$A5)</f>
        <v>211700</v>
      </c>
      <c r="L5" s="109">
        <f>SUMIFS(Data!J$5:J$448,Data!$A$5:$A$448,'Tóm tắt'!$A5)</f>
        <v>70400</v>
      </c>
      <c r="M5" s="109">
        <f>SUMIFS(Data!K$5:K$448,Data!$A$5:$A$448,'Tóm tắt'!$A5)</f>
        <v>722418.2</v>
      </c>
      <c r="N5" s="109">
        <f>SUMIFS(Data!L$5:L$448,Data!$A$5:$A$448,'Tóm tắt'!$A5)</f>
        <v>373900</v>
      </c>
      <c r="O5" s="109">
        <f>SUMIFS(Data!M$5:M$448,Data!$A$5:$A$448,'Tóm tắt'!$A5)</f>
        <v>399300</v>
      </c>
      <c r="P5" s="109">
        <f>SUMIFS(Data!N$5:N$448,Data!$A$5:$A$448,'Tóm tắt'!$A5)</f>
        <v>681600</v>
      </c>
      <c r="Q5" s="109">
        <f>SUMIFS(Data!O$5:O$448,Data!$A$5:$A$448,'Tóm tắt'!$A5)</f>
        <v>617100</v>
      </c>
      <c r="R5" s="110">
        <f>SUM(F5:Q5)</f>
        <v>3785943.2</v>
      </c>
      <c r="S5" s="109">
        <f>SUMIFS(Data!Q$5:Q$448,Data!$A$5:$A$448,'Tóm tắt'!$A5)</f>
        <v>388849.3</v>
      </c>
      <c r="T5" s="109">
        <f>SUMIFS(Data!R$5:R$448,Data!$A$5:$A$448,'Tóm tắt'!$A5)</f>
        <v>660000</v>
      </c>
      <c r="U5" s="109">
        <f>SUMIFS(Data!S$5:S$448,Data!$A$5:$A$448,'Tóm tắt'!$A5)</f>
        <v>419100</v>
      </c>
      <c r="V5" s="109">
        <f>SUMIFS(Data!T$5:T$448,Data!$A$5:$A$448,'Tóm tắt'!$A5)</f>
        <v>531300</v>
      </c>
      <c r="W5" s="109">
        <f>SUMIFS(Data!U$5:U$448,Data!$A$5:$A$448,'Tóm tắt'!$A5)</f>
        <v>556160.30000000005</v>
      </c>
      <c r="X5" s="109">
        <f>SUMIFS(Data!V$5:V$448,Data!$A$5:$A$448,'Tóm tắt'!$A5)</f>
        <v>486422.2</v>
      </c>
      <c r="Y5" s="109">
        <f>SUMIFS(Data!W$5:W$448,Data!$A$5:$A$448,'Tóm tắt'!$A5)</f>
        <v>248969.1</v>
      </c>
      <c r="Z5" s="109">
        <f>SUMIFS(Data!X$5:X$448,Data!$A$5:$A$448,'Tóm tắt'!$A5)</f>
        <v>835293</v>
      </c>
      <c r="AA5" s="109">
        <f>SUMIFS(Data!Y$5:Y$448,Data!$A$5:$A$448,'Tóm tắt'!$A5)</f>
        <v>236500</v>
      </c>
      <c r="AB5" s="109">
        <f>SUMIFS(Data!Z$5:Z$448,Data!$A$5:$A$448,'Tóm tắt'!$A5)</f>
        <v>382660</v>
      </c>
      <c r="AC5" s="109">
        <f>SUMIFS(Data!AA$5:AA$448,Data!$A$5:$A$448,'Tóm tắt'!$A5)</f>
        <v>717340</v>
      </c>
      <c r="AD5" s="109">
        <f>SUMIFS(Data!AB$5:AB$448,Data!$A$5:$A$448,'Tóm tắt'!$A5)</f>
        <v>946000</v>
      </c>
      <c r="AE5" s="110">
        <f>SUM(S5:AD5)</f>
        <v>6408593.9000000004</v>
      </c>
      <c r="AF5" s="109">
        <f>SUMIFS(Data!AD$5:AD$448,Data!$A$5:$A$448,'Tóm tắt'!$A5)</f>
        <v>616000</v>
      </c>
      <c r="AG5" s="109">
        <f>SUMIFS(Data!AE$5:AE$448,Data!$A$5:$A$448,'Tóm tắt'!$A5)</f>
        <v>398200</v>
      </c>
      <c r="AH5" s="109">
        <f>SUMIFS(Data!AF$5:AF$448,Data!$A$5:$A$448,'Tóm tắt'!$A5)</f>
        <v>772200</v>
      </c>
      <c r="AI5" s="109">
        <f>SUMIFS(Data!AG$5:AG$448,Data!$A$5:$A$448,'Tóm tắt'!$A5)</f>
        <v>880000</v>
      </c>
      <c r="AJ5" s="109"/>
      <c r="AK5" s="109"/>
      <c r="AL5" s="109"/>
      <c r="AM5" s="109"/>
      <c r="AN5" s="109"/>
      <c r="AO5" s="109"/>
      <c r="AP5" s="109"/>
      <c r="AQ5" s="109"/>
      <c r="AR5" s="110">
        <f>SUM(AF5:AQ5)</f>
        <v>2666400</v>
      </c>
      <c r="AT5" s="49" cm="1">
        <f t="array" ref="AT5">IFERROR(SUMPRODUCT(Data!D$5:D$448*Data!AQ$5:AQ$448*(Data!$A$5:$A$448='Tóm tắt'!$A5))/SUMIFS(Data!D$5:D$448,Data!$A$5:$A$448,'Tóm tắt'!$A5),0)</f>
        <v>1327.8835956077462</v>
      </c>
      <c r="AU5" s="49" cm="1">
        <f t="array" ref="AU5">IFERROR(SUMPRODUCT(Data!E$5:E$448*Data!AR$5:AR$448*(Data!$A$5:$A$448='Tóm tắt'!$A5))/SUMIFS(Data!E$5:E$448,Data!$A$5:$A$448,'Tóm tắt'!$A5),0)</f>
        <v>1349.5033968356024</v>
      </c>
      <c r="AV5" s="49" cm="1">
        <f t="array" ref="AV5">IFERROR(SUMPRODUCT(Data!F$5:F$448*Data!AS$5:AS$448*(Data!$A$5:$A$448='Tóm tắt'!$A5))/SUMIFS(Data!F$5:F$448,Data!$A$5:$A$448,'Tóm tắt'!$A5),0)</f>
        <v>1407.6476117365219</v>
      </c>
      <c r="AW5" s="49" cm="1">
        <f t="array" ref="AW5">IFERROR(SUMPRODUCT(Data!G$5:G$448*Data!AT$5:AT$448*(Data!$A$5:$A$448='Tóm tắt'!$A5))/SUMIFS(Data!G$5:G$448,Data!$A$5:$A$448,'Tóm tắt'!$A5),0)</f>
        <v>1355.3278575212094</v>
      </c>
      <c r="AX5" s="49" cm="1">
        <f t="array" ref="AX5">IFERROR(SUMPRODUCT(Data!H$5:H$448*Data!AU$5:AU$448*(Data!$A$5:$A$448='Tóm tắt'!$A5))/SUMIFS(Data!H$5:H$448,Data!$A$5:$A$448,'Tóm tắt'!$A5),0)</f>
        <v>1354.130103736712</v>
      </c>
      <c r="AY5" s="49" cm="1">
        <f t="array" ref="AY5">IFERROR(SUMPRODUCT(Data!I$5:I$448*Data!AV$5:AV$448*(Data!$A$5:$A$448='Tóm tắt'!$A5))/SUMIFS(Data!I$5:I$448,Data!$A$5:$A$448,'Tóm tắt'!$A5),0)</f>
        <v>1327.1282617548486</v>
      </c>
      <c r="AZ5" s="49" cm="1">
        <f t="array" ref="AZ5">IFERROR(SUMPRODUCT(Data!J$5:J$448*Data!AW$5:AW$448*(Data!$A$5:$A$448='Tóm tắt'!$A5))/SUMIFS(Data!J$5:J$448,Data!$A$5:$A$448,'Tóm tắt'!$A5),0)</f>
        <v>1350.09536191757</v>
      </c>
      <c r="BA5" s="49" cm="1">
        <f t="array" ref="BA5">IFERROR(SUMPRODUCT(Data!K$5:K$448*Data!AX$5:AX$448*(Data!$A$5:$A$448='Tóm tắt'!$A5))/SUMIFS(Data!K$5:K$448,Data!$A$5:$A$448,'Tóm tắt'!$A5),0)</f>
        <v>1415.132869440866</v>
      </c>
      <c r="BB5" s="49" cm="1">
        <f t="array" ref="BB5">IFERROR(SUMPRODUCT(Data!L$5:L$448*Data!AY$5:AY$448*(Data!$A$5:$A$448='Tóm tắt'!$A5))/SUMIFS(Data!L$5:L$448,Data!$A$5:$A$448,'Tóm tắt'!$A5),0)</f>
        <v>1375.7433124666475</v>
      </c>
      <c r="BC5" s="49" cm="1">
        <f t="array" ref="BC5">IFERROR(SUMPRODUCT(Data!M$5:M$448*Data!AZ$5:AZ$448*(Data!$A$5:$A$448='Tóm tắt'!$A5))/SUMIFS(Data!M$5:M$448,Data!$A$5:$A$448,'Tóm tắt'!$A5),0)</f>
        <v>1431.1249322987508</v>
      </c>
      <c r="BD5" s="49" cm="1">
        <f t="array" ref="BD5">IFERROR(SUMPRODUCT(Data!N$5:N$448*Data!BA$5:BA$448*(Data!$A$5:$A$448='Tóm tắt'!$A5))/SUMIFS(Data!N$5:N$448,Data!$A$5:$A$448,'Tóm tắt'!$A5),0)</f>
        <v>1404.2107220545186</v>
      </c>
      <c r="BE5" s="49" cm="1">
        <f t="array" ref="BE5">IFERROR(SUMPRODUCT(Data!O$5:O$448*Data!BB$5:BB$448*(Data!$A$5:$A$448='Tóm tắt'!$A5))/SUMIFS(Data!O$5:O$448,Data!$A$5:$A$448,'Tóm tắt'!$A5),0)</f>
        <v>1442.6826277717919</v>
      </c>
      <c r="BF5" s="52" cm="1">
        <f t="array" ref="BF5">IFERROR(SUMPRODUCT(Data!P$5:P$448*Data!BC$5:BC$448*(Data!$A$5:$A$448='Tóm tắt'!$A5))/SUMIFS(Data!P$5:P$448,Data!$A$5:$A$448,'Tóm tắt'!$A5),0)</f>
        <v>1396.9592995301155</v>
      </c>
      <c r="BG5" s="49" cm="1">
        <f t="array" ref="BG5">IFERROR(SUMPRODUCT(Data!Q$5:Q$448*Data!BD$5:BD$448*(Data!$A$5:$A$448='Tóm tắt'!$A5))/SUMIFS(Data!Q$5:Q$448,Data!$A$5:$A$448,'Tóm tắt'!$A5),0)</f>
        <v>1387.6579140000943</v>
      </c>
      <c r="BH5" s="49" cm="1">
        <f t="array" ref="BH5">IFERROR(SUMPRODUCT(Data!R$5:R$448*Data!BE$5:BE$448*(Data!$A$5:$A$448='Tóm tắt'!$A5))/SUMIFS(Data!R$5:R$448,Data!$A$5:$A$448,'Tóm tắt'!$A5),0)</f>
        <v>1391.0448203435699</v>
      </c>
      <c r="BI5" s="49" cm="1">
        <f t="array" ref="BI5">IFERROR(SUMPRODUCT(Data!S$5:S$448*Data!BF$5:BF$448*(Data!$A$5:$A$448='Tóm tắt'!$A5))/SUMIFS(Data!S$5:S$448,Data!$A$5:$A$448,'Tóm tắt'!$A5),0)</f>
        <v>1380.4574301843866</v>
      </c>
      <c r="BJ5" s="49" cm="1">
        <f t="array" ref="BJ5">IFERROR(SUMPRODUCT(Data!T$5:T$448*Data!BG$5:BG$448*(Data!$A$5:$A$448='Tóm tắt'!$A5))/SUMIFS(Data!T$5:T$448,Data!$A$5:$A$448,'Tóm tắt'!$A5),0)</f>
        <v>1353.3675450314595</v>
      </c>
      <c r="BK5" s="49" cm="1">
        <f t="array" ref="BK5">IFERROR(SUMPRODUCT(Data!U$5:U$448*Data!BH$5:BH$448*(Data!$A$5:$A$448='Tóm tắt'!$A5))/SUMIFS(Data!U$5:U$448,Data!$A$5:$A$448,'Tóm tắt'!$A5),0)</f>
        <v>1361.7839535303515</v>
      </c>
      <c r="BL5" s="49" cm="1">
        <f t="array" ref="BL5">IFERROR(SUMPRODUCT(Data!V$5:V$448*Data!BI$5:BI$448*(Data!$A$5:$A$448='Tóm tắt'!$A5))/SUMIFS(Data!V$5:V$448,Data!$A$5:$A$448,'Tóm tắt'!$A5),0)</f>
        <v>1338.1441594144567</v>
      </c>
      <c r="BM5" s="49" cm="1">
        <f t="array" ref="BM5">IFERROR(SUMPRODUCT(Data!W$5:W$448*Data!BJ$5:BJ$448*(Data!$A$5:$A$448='Tóm tắt'!$A5))/SUMIFS(Data!W$5:W$448,Data!$A$5:$A$448,'Tóm tắt'!$A5),0)</f>
        <v>1371.4578271810799</v>
      </c>
      <c r="BN5" s="49" cm="1">
        <f t="array" ref="BN5">IFERROR(SUMPRODUCT(Data!X$5:X$448*Data!BK$5:BK$448*(Data!$A$5:$A$448='Tóm tắt'!$A5))/SUMIFS(Data!X$5:X$448,Data!$A$5:$A$448,'Tóm tắt'!$A5),0)</f>
        <v>1352.6897668444267</v>
      </c>
      <c r="BO5" s="49" cm="1">
        <f t="array" ref="BO5">IFERROR(SUMPRODUCT(Data!Y$5:Y$448*Data!BL$5:BL$448*(Data!$A$5:$A$448='Tóm tắt'!$A5))/SUMIFS(Data!Y$5:Y$448,Data!$A$5:$A$448,'Tóm tắt'!$A5),0)</f>
        <v>1203.8922647298652</v>
      </c>
      <c r="BP5" s="49" cm="1">
        <f t="array" ref="BP5">IFERROR(SUMPRODUCT(Data!Z$5:Z$448*Data!BM$5:BM$448*(Data!$A$5:$A$448='Tóm tắt'!$A5))/SUMIFS(Data!Z$5:Z$448,Data!$A$5:$A$448,'Tóm tắt'!$A5),0)</f>
        <v>1286.0621022695966</v>
      </c>
      <c r="BQ5" s="49" cm="1">
        <f t="array" ref="BQ5">IFERROR(SUMPRODUCT(Data!AA$5:AA$448*Data!BN$5:BN$448*(Data!$A$5:$A$448='Tóm tắt'!$A5))/SUMIFS(Data!AA$5:AA$448,Data!$A$5:$A$448,'Tóm tắt'!$A5),0)</f>
        <v>1311.185527550474</v>
      </c>
      <c r="BR5" s="49" cm="1">
        <f t="array" ref="BR5">IFERROR(SUMPRODUCT(Data!AB$5:AB$448*Data!BO$5:BO$448*(Data!$A$5:$A$448='Tóm tắt'!$A5))/SUMIFS(Data!AB$5:AB$448,Data!$A$5:$A$448,'Tóm tắt'!$A5),0)</f>
        <v>1341.4884127328585</v>
      </c>
      <c r="BS5" s="52" cm="1">
        <f t="array" ref="BS5">IFERROR(SUMPRODUCT(Data!AC$5:AC$448*Data!BP$5:BP$448*(Data!$A$5:$A$448='Tóm tắt'!$A5))/SUMIFS(Data!AC$5:AC$448,Data!$A$5:$A$448,'Tóm tắt'!$A5),0)</f>
        <v>1345.2792347226514</v>
      </c>
      <c r="BT5" s="49" cm="1">
        <f t="array" ref="BT5">IFERROR(SUMPRODUCT(Data!AD$5:AD$448*Data!BQ$5:BQ$448*(Data!$A$5:$A$448='Tóm tắt'!$A5))/SUMIFS(Data!AD$5:AD$448,Data!$A$5:$A$448,'Tóm tắt'!$A5),0)</f>
        <v>1258.3455534087757</v>
      </c>
      <c r="BU5" s="49" cm="1">
        <f t="array" ref="BU5">IFERROR(SUMPRODUCT(Data!AE$5:AE$448*Data!BR$5:BR$448*(Data!$A$5:$A$448='Tóm tắt'!$A5))/SUMIFS(Data!AE$5:AE$448,Data!$A$5:$A$448,'Tóm tắt'!$A5),0)</f>
        <v>1249.913491542598</v>
      </c>
      <c r="BV5" s="49" cm="1">
        <f t="array" ref="BV5">IFERROR(SUMPRODUCT(Data!AF$5:AF$448*Data!BS$5:BS$448*(Data!$A$5:$A$448='Tóm tắt'!$A5))/SUMIFS(Data!AF$5:AF$448,Data!$A$5:$A$448,'Tóm tắt'!$A5),0)</f>
        <v>1156.4084054163484</v>
      </c>
      <c r="BW5" s="49" cm="1">
        <f t="array" ref="BW5">IFERROR(SUMPRODUCT(Data!AG$5:AG$448*Data!BT$5:BT$448*(Data!$A$5:$A$448='Tóm tắt'!$A5))/SUMIFS(Data!AG$5:AG$448,Data!$A$5:$A$448,'Tóm tắt'!$A5),0)</f>
        <v>1149.2395405155087</v>
      </c>
      <c r="BX5" s="49" cm="1">
        <f t="array" ref="BX5">IFERROR(SUMPRODUCT(Data!AH$5:AH$448*Data!BU$5:BU$448*(Data!$A$5:$A$448='Tóm tắt'!$A5))/SUMIFS(Data!AH$5:AH$448,Data!$A$5:$A$448,'Tóm tắt'!$A5),0)</f>
        <v>0</v>
      </c>
      <c r="BY5" s="49" cm="1">
        <f t="array" ref="BY5">IFERROR(SUMPRODUCT(Data!AI$5:AI$448*Data!BV$5:BV$448*(Data!$A$5:$A$448='Tóm tắt'!$A5))/SUMIFS(Data!AI$5:AI$448,Data!$A$5:$A$448,'Tóm tắt'!$A5),0)</f>
        <v>0</v>
      </c>
      <c r="BZ5" s="49" cm="1">
        <f t="array" ref="BZ5">IFERROR(SUMPRODUCT(Data!AJ$5:AJ$448*Data!BW$5:BW$448*(Data!$A$5:$A$448='Tóm tắt'!$A5))/SUMIFS(Data!AJ$5:AJ$448,Data!$A$5:$A$448,'Tóm tắt'!$A5),0)</f>
        <v>0</v>
      </c>
      <c r="CA5" s="49" cm="1">
        <f t="array" ref="CA5">IFERROR(SUMPRODUCT(Data!AK$5:AK$448*Data!BX$5:BX$448*(Data!$A$5:$A$448='Tóm tắt'!$A5))/SUMIFS(Data!AK$5:AK$448,Data!$A$5:$A$448,'Tóm tắt'!$A5),0)</f>
        <v>0</v>
      </c>
      <c r="CB5" s="49" cm="1">
        <f t="array" ref="CB5">IFERROR(SUMPRODUCT(Data!AL$5:AL$448*Data!BY$5:BY$448*(Data!$A$5:$A$448='Tóm tắt'!$A5))/SUMIFS(Data!AL$5:AL$448,Data!$A$5:$A$448,'Tóm tắt'!$A5),0)</f>
        <v>0</v>
      </c>
      <c r="CC5" s="49" cm="1">
        <f t="array" ref="CC5">IFERROR(SUMPRODUCT(Data!AM$5:AM$448*Data!BZ$5:BZ$448*(Data!$A$5:$A$448='Tóm tắt'!$A5))/SUMIFS(Data!AM$5:AM$448,Data!$A$5:$A$448,'Tóm tắt'!$A5),0)</f>
        <v>0</v>
      </c>
      <c r="CD5" s="49" cm="1">
        <f t="array" ref="CD5">IFERROR(SUMPRODUCT(Data!AN$5:AN$448*Data!CA$5:CA$448*(Data!$A$5:$A$448='Tóm tắt'!$A5))/SUMIFS(Data!AN$5:AN$448,Data!$A$5:$A$448,'Tóm tắt'!$A5),0)</f>
        <v>0</v>
      </c>
      <c r="CE5" s="49" cm="1">
        <f t="array" ref="CE5">IFERROR(SUMPRODUCT(Data!AO$5:AO$448*Data!CB$5:CB$448*(Data!$A$5:$A$448='Tóm tắt'!$A5))/SUMIFS(Data!AO$5:AO$448,Data!$A$5:$A$448,'Tóm tắt'!$A5),0)</f>
        <v>0</v>
      </c>
      <c r="CF5" s="52" cm="1">
        <f t="array" ref="CF5">IFERROR(SUMPRODUCT(Data!AP$5:AP$448*Data!CC$5:CC$448*(Data!$A$5:$A$448='Tóm tắt'!$A5))/SUMIFS(Data!AP$5:AP$448,Data!$A$5:$A$448,'Tóm tắt'!$A5),0)</f>
        <v>1191.5563229628794</v>
      </c>
      <c r="CH5" s="49" cm="1">
        <f t="array" ref="CH5">IFERROR(SUMPRODUCT(Data!CD$5:CD$448*Data!D$5:D$448*(Data!$A$5:$A$448='Tóm tắt'!$A5))/SUMIFS(Data!D$5:D$448,Data!$A$5:$A$448,'Tóm tắt'!$A5),0)</f>
        <v>21238.243532735527</v>
      </c>
      <c r="CI5" s="49" cm="1">
        <f t="array" ref="CI5">IFERROR(SUMPRODUCT(Data!CE$5:CE$448*Data!E$5:E$448*(Data!$A$5:$A$448='Tóm tắt'!$A5))/SUMIFS(Data!E$5:E$448,Data!$A$5:$A$448,'Tóm tắt'!$A5),0)</f>
        <v>22878.931928229671</v>
      </c>
      <c r="CJ5" s="49" cm="1">
        <f t="array" ref="CJ5">IFERROR(SUMPRODUCT(Data!CF$5:CF$448*Data!F$5:F$448*(Data!$A$5:$A$448='Tóm tắt'!$A5))/SUMIFS(Data!F$5:F$448,Data!$A$5:$A$448,'Tóm tắt'!$A5),0)</f>
        <v>23530.17634297521</v>
      </c>
      <c r="CK5" s="49" cm="1">
        <f t="array" ref="CK5">IFERROR(SUMPRODUCT(Data!CG$5:CG$448*Data!G$5:G$448*(Data!$A$5:$A$448='Tóm tắt'!$A5))/SUMIFS(Data!G$5:G$448,Data!$A$5:$A$448,'Tóm tắt'!$A5),0)</f>
        <v>24292.539047322549</v>
      </c>
      <c r="CL5" s="49" cm="1">
        <f t="array" ref="CL5">IFERROR(SUMPRODUCT(Data!CH$5:CH$448*Data!H$5:H$448*(Data!$A$5:$A$448='Tóm tắt'!$A5))/SUMIFS(Data!H$5:H$448,Data!$A$5:$A$448,'Tóm tắt'!$A5),0)</f>
        <v>24249.993818181818</v>
      </c>
      <c r="CM5" s="49" cm="1">
        <f t="array" ref="CM5">IFERROR(SUMPRODUCT(Data!CI$5:CI$448*Data!I$5:I$448*(Data!$A$5:$A$448='Tóm tắt'!$A5))/SUMIFS(Data!I$5:I$448,Data!$A$5:$A$448,'Tóm tắt'!$A5),0)</f>
        <v>25375.877165800663</v>
      </c>
      <c r="CN5" s="49" cm="1">
        <f t="array" ref="CN5">IFERROR(SUMPRODUCT(Data!CJ$5:CJ$448*Data!J$5:J$448*(Data!$A$5:$A$448='Tóm tắt'!$A5))/SUMIFS(Data!J$5:J$448,Data!$A$5:$A$448,'Tóm tắt'!$A5),0)</f>
        <v>27313.011505681825</v>
      </c>
      <c r="CO5" s="49" cm="1">
        <f t="array" ref="CO5">IFERROR(SUMPRODUCT(Data!CK$5:CK$448*Data!K$5:K$448*(Data!$A$5:$A$448='Tóm tắt'!$A5))/SUMIFS(Data!K$5:K$448,Data!$A$5:$A$448,'Tóm tắt'!$A5),0)</f>
        <v>31248.214809649035</v>
      </c>
      <c r="CP5" s="49" cm="1">
        <f t="array" ref="CP5">IFERROR(SUMPRODUCT(Data!CL$5:CL$448*Data!L$5:L$448*(Data!$A$5:$A$448='Tóm tắt'!$A5))/SUMIFS(Data!L$5:L$448,Data!$A$5:$A$448,'Tóm tắt'!$A5),0)</f>
        <v>29615.281548542385</v>
      </c>
      <c r="CQ5" s="49" cm="1">
        <f t="array" ref="CQ5">IFERROR(SUMPRODUCT(Data!CM$5:CM$448*Data!M$5:M$448*(Data!$A$5:$A$448='Tóm tắt'!$A5))/SUMIFS(Data!M$5:M$448,Data!$A$5:$A$448,'Tóm tắt'!$A5),0)</f>
        <v>28196.916496368645</v>
      </c>
      <c r="CR5" s="49" cm="1">
        <f t="array" ref="CR5">IFERROR(SUMPRODUCT(Data!CN$5:CN$448*Data!N$5:N$448*(Data!$A$5:$A$448='Tóm tắt'!$A5))/SUMIFS(Data!N$5:N$448,Data!$A$5:$A$448,'Tóm tắt'!$A5),0)</f>
        <v>27347.50299882629</v>
      </c>
      <c r="CS5" s="49" cm="1">
        <f t="array" ref="CS5">IFERROR(SUMPRODUCT(Data!CO$5:CO$448*Data!O$5:O$448*(Data!$A$5:$A$448='Tóm tắt'!$A5))/SUMIFS(Data!O$5:O$448,Data!$A$5:$A$448,'Tóm tắt'!$A5),0)</f>
        <v>26134.394106303669</v>
      </c>
      <c r="CT5" s="104" cm="1">
        <f t="array" ref="CT5">IFERROR(SUMPRODUCT(Data!CP$5:CP$448*Data!P$5:P$448*(Data!$A$5:$A$448='Tóm tắt'!$A5))/SUMIFS(Data!P$5:P$448,Data!$A$5:$A$448,'Tóm tắt'!$A5),0)</f>
        <v>27271.253178600313</v>
      </c>
      <c r="CU5" s="49" cm="1">
        <f t="array" ref="CU5">IFERROR(SUMPRODUCT(Data!CQ$5:CQ$448*Data!Q$5:Q$448*(Data!$A$5:$A$448='Tóm tắt'!$A5))/SUMIFS(Data!Q$5:Q$448,Data!$A$5:$A$448,'Tóm tắt'!$A5),0)</f>
        <v>26518.028670747248</v>
      </c>
      <c r="CV5" s="49" cm="1">
        <f t="array" ref="CV5">IFERROR(SUMPRODUCT(Data!CR$5:CR$448*Data!R$5:R$448*(Data!$A$5:$A$448='Tóm tắt'!$A5))/SUMIFS(Data!R$5:R$448,Data!$A$5:$A$448,'Tóm tắt'!$A5),0)</f>
        <v>26406.714239393932</v>
      </c>
      <c r="CW5" s="49" cm="1">
        <f t="array" ref="CW5">IFERROR(SUMPRODUCT(Data!CS$5:CS$448*Data!S$5:S$448*(Data!$A$5:$A$448='Tóm tắt'!$A5))/SUMIFS(Data!S$5:S$448,Data!$A$5:$A$448,'Tóm tắt'!$A5),0)</f>
        <v>26379.930672870436</v>
      </c>
      <c r="CX5" s="49" cm="1">
        <f t="array" ref="CX5">IFERROR(SUMPRODUCT(Data!CT$5:CT$448*Data!T$5:T$448*(Data!$A$5:$A$448='Tóm tắt'!$A5))/SUMIFS(Data!T$5:T$448,Data!$A$5:$A$448,'Tóm tắt'!$A5),0)</f>
        <v>26574.885243741792</v>
      </c>
      <c r="CY5" s="49" cm="1">
        <f t="array" ref="CY5">IFERROR(SUMPRODUCT(Data!CU$5:CU$448*Data!U$5:U$448*(Data!$A$5:$A$448='Tóm tắt'!$A5))/SUMIFS(Data!U$5:U$448,Data!$A$5:$A$448,'Tóm tắt'!$A5),0)</f>
        <v>27745.545505495433</v>
      </c>
      <c r="CZ5" s="49" cm="1">
        <f t="array" ref="CZ5">IFERROR(SUMPRODUCT(Data!CV$5:CV$448*Data!V$5:V$448*(Data!$A$5:$A$448='Tóm tắt'!$A5))/SUMIFS(Data!V$5:V$448,Data!$A$5:$A$448,'Tóm tắt'!$A5),0)</f>
        <v>27988.793617972202</v>
      </c>
      <c r="DA5" s="49" cm="1">
        <f t="array" ref="DA5">IFERROR(SUMPRODUCT(Data!CW$5:CW$448*Data!W$5:W$448*(Data!$A$5:$A$448='Tóm tắt'!$A5))/SUMIFS(Data!W$5:W$448,Data!$A$5:$A$448,'Tóm tắt'!$A5),0)</f>
        <v>28635.040633556539</v>
      </c>
      <c r="DB5" s="49" cm="1">
        <f t="array" ref="DB5">IFERROR(SUMPRODUCT(Data!CX$5:CX$448*Data!X$5:X$448*(Data!$A$5:$A$448='Tóm tắt'!$A5))/SUMIFS(Data!X$5:X$448,Data!$A$5:$A$448,'Tóm tắt'!$A5),0)</f>
        <v>29299.876073425752</v>
      </c>
      <c r="DC5" s="49" cm="1">
        <f t="array" ref="DC5">IFERROR(SUMPRODUCT(Data!CY$5:CY$448*Data!Y$5:Y$448*(Data!$A$5:$A$448='Tóm tắt'!$A5))/SUMIFS(Data!Y$5:Y$448,Data!$A$5:$A$448,'Tóm tắt'!$A5),0)</f>
        <v>29454.49357716701</v>
      </c>
      <c r="DD5" s="49" cm="1">
        <f t="array" ref="DD5">IFERROR(SUMPRODUCT(Data!CZ$5:CZ$448*Data!Z$5:Z$448*(Data!$A$5:$A$448='Tóm tắt'!$A5))/SUMIFS(Data!Z$5:Z$448,Data!$A$5:$A$448,'Tóm tắt'!$A5),0)</f>
        <v>31284.462865206715</v>
      </c>
      <c r="DE5" s="49" cm="1">
        <f t="array" ref="DE5">IFERROR(SUMPRODUCT(Data!DA$5:DA$448*Data!AA$5:AA$448*(Data!$A$5:$A$448='Tóm tắt'!$A5))/SUMIFS(Data!AA$5:AA$448,Data!$A$5:$A$448,'Tóm tắt'!$A5),0)</f>
        <v>30369.749926115906</v>
      </c>
      <c r="DF5" s="49" cm="1">
        <f t="array" ref="DF5">IFERROR(SUMPRODUCT(Data!DB$5:DB$448*Data!AB$5:AB$448*(Data!$A$5:$A$448='Tóm tắt'!$A5))/SUMIFS(Data!AB$5:AB$448,Data!$A$5:$A$448,'Tóm tắt'!$A5),0)</f>
        <v>27529.345255813947</v>
      </c>
      <c r="DG5" s="104" cm="1">
        <f t="array" ref="DG5">IFERROR(SUMPRODUCT(Data!DC$5:DC$448*Data!AC$5:AC$448*(Data!$A$5:$A$448='Tóm tắt'!$A5))/SUMIFS(Data!AC$5:AC$448,Data!$A$5:$A$448,'Tóm tắt'!$A5),0)</f>
        <v>28138.633379936906</v>
      </c>
      <c r="DH5" s="49" cm="1">
        <f t="array" ref="DH5">IFERROR(SUMPRODUCT(Data!DD$5:DD$448*Data!AD$5:AD$448*(Data!$A$5:$A$448='Tóm tắt'!$A5))/SUMIFS(Data!AD$5:AD$448,Data!$A$5:$A$448,'Tóm tắt'!$A5),0)</f>
        <v>28300.028103896122</v>
      </c>
      <c r="DI5" s="49" cm="1">
        <f t="array" ref="DI5">IFERROR(SUMPRODUCT(Data!DE$5:DE$448*Data!AE$5:AE$448*(Data!$A$5:$A$448='Tóm tắt'!$A5))/SUMIFS(Data!AE$5:AE$448,Data!$A$5:$A$448,'Tóm tắt'!$A5),0)</f>
        <v>28728.818794575596</v>
      </c>
      <c r="DJ5" s="49" cm="1">
        <f t="array" ref="DJ5">IFERROR(SUMPRODUCT(Data!DF$5:DF$448*Data!AF$5:AF$448*(Data!$A$5:$A$448='Tóm tắt'!$A5))/SUMIFS(Data!AF$5:AF$448,Data!$A$5:$A$448,'Tóm tắt'!$A5),0)</f>
        <v>28764.36036519035</v>
      </c>
      <c r="DK5" s="49" cm="1">
        <f t="array" ref="DK5">IFERROR(SUMPRODUCT(Data!DG$5:DG$448*Data!AG$5:AG$448*(Data!$A$5:$A$448='Tóm tắt'!$A5))/SUMIFS(Data!AG$5:AG$448,Data!$A$5:$A$448,'Tóm tắt'!$A5),0)</f>
        <v>28764.360362823605</v>
      </c>
      <c r="DL5" s="49" cm="1">
        <f t="array" ref="DL5">IFERROR(SUMPRODUCT(Data!DH$5:DH$448*Data!AH$5:AH$448*(Data!$A$5:$A$448='Tóm tắt'!$A5))/SUMIFS(Data!AH$5:AH$448,Data!$A$5:$A$448,'Tóm tắt'!$A5),0)</f>
        <v>0</v>
      </c>
      <c r="DM5" s="49" cm="1">
        <f t="array" ref="DM5">IFERROR(SUMPRODUCT(Data!DI$5:DI$448*Data!AI$5:AI$448*(Data!$A$5:$A$448='Tóm tắt'!$A5))/SUMIFS(Data!AI$5:AI$448,Data!$A$5:$A$448,'Tóm tắt'!$A5),0)</f>
        <v>0</v>
      </c>
      <c r="DN5" s="49" cm="1">
        <f t="array" ref="DN5">IFERROR(SUMPRODUCT(Data!DJ$5:DJ$448*Data!AJ$5:AJ$448*(Data!$A$5:$A$448='Tóm tắt'!$A5))/SUMIFS(Data!AJ$5:AJ$448,Data!$A$5:$A$448,'Tóm tắt'!$A5),0)</f>
        <v>0</v>
      </c>
      <c r="DO5" s="49" cm="1">
        <f t="array" ref="DO5">IFERROR(SUMPRODUCT(Data!DK$5:DK$448*Data!AK$5:AK$448*(Data!$A$5:$A$448='Tóm tắt'!$A5))/SUMIFS(Data!AK$5:AK$448,Data!$A$5:$A$448,'Tóm tắt'!$A5),0)</f>
        <v>0</v>
      </c>
      <c r="DP5" s="49" cm="1">
        <f t="array" ref="DP5">IFERROR(SUMPRODUCT(Data!DL$5:DL$448*Data!AL$5:AL$448*(Data!$A$5:$A$448='Tóm tắt'!$A5))/SUMIFS(Data!AL$5:AL$448,Data!$A$5:$A$448,'Tóm tắt'!$A5),0)</f>
        <v>0</v>
      </c>
      <c r="DQ5" s="49" cm="1">
        <f t="array" ref="DQ5">IFERROR(SUMPRODUCT(Data!DM$5:DM$448*Data!AM$5:AM$448*(Data!$A$5:$A$448='Tóm tắt'!$A5))/SUMIFS(Data!AM$5:AM$448,Data!$A$5:$A$448,'Tóm tắt'!$A5),0)</f>
        <v>0</v>
      </c>
      <c r="DR5" s="49" cm="1">
        <f t="array" ref="DR5">IFERROR(SUMPRODUCT(Data!DN$5:DN$448*Data!AN$5:AN$448*(Data!$A$5:$A$448='Tóm tắt'!$A5))/SUMIFS(Data!AN$5:AN$448,Data!$A$5:$A$448,'Tóm tắt'!$A5),0)</f>
        <v>0</v>
      </c>
      <c r="DS5" s="49" cm="1">
        <f t="array" ref="DS5">IFERROR(SUMPRODUCT(Data!DO$5:DO$448*Data!AO$5:AO$448*(Data!$A$5:$A$448='Tóm tắt'!$A5))/SUMIFS(Data!AO$5:AO$448,Data!$A$5:$A$448,'Tóm tắt'!$A5),0)</f>
        <v>0</v>
      </c>
      <c r="DT5" s="104" cm="1">
        <f t="array" ref="DT5">IFERROR(SUMPRODUCT(Data!DP$5:DP$448*Data!AP$5:AP$448*(Data!$A$5:$A$448='Tóm tắt'!$A5))/SUMIFS(Data!AP$5:AP$448,Data!$A$5:$A$448,'Tóm tắt'!$A5),0)</f>
        <v>28651.781109092688</v>
      </c>
      <c r="DV5" s="104">
        <f t="shared" ref="DV5:DV12" si="0">(BF5/1000*$DV$2)-CT5</f>
        <v>7455.4525768094791</v>
      </c>
      <c r="DW5" s="104">
        <f>(BS5/1000*$DW$2)-DG5</f>
        <v>6553.5937835847544</v>
      </c>
      <c r="DX5" s="104">
        <f>(CF5/1000*$DX$2)-DT5</f>
        <v>2547.9223323474289</v>
      </c>
      <c r="DZ5" s="129">
        <f>IFERROR(R5/SUM($R$5:$R$12),0)</f>
        <v>0.10673146745322792</v>
      </c>
      <c r="EA5" s="130">
        <f>IFERROR(AE5/SUM($AE$5:$AE$12),0)</f>
        <v>0.15279482629158905</v>
      </c>
      <c r="EB5" s="131">
        <f>IFERROR(AR5/SUM($AR$5:$AR$12),0)</f>
        <v>0.16131305828722847</v>
      </c>
      <c r="ED5" s="65">
        <f>IFERROR(1-CT5/(BF5*ED$2/10^3),0)</f>
        <v>0.21468931229240062</v>
      </c>
      <c r="EE5" s="65">
        <f>IFERROR(1-DG5/(BS5*EE$2/10^3),0)</f>
        <v>0.18890668946373546</v>
      </c>
      <c r="EF5" s="65">
        <f>IFERROR(1-DT5/(CF5*EF$2/10^3),0)</f>
        <v>8.1664953550911856E-2</v>
      </c>
      <c r="EH5" s="94"/>
    </row>
    <row r="6" spans="1:138" x14ac:dyDescent="0.35">
      <c r="A6" s="48" t="s">
        <v>363</v>
      </c>
      <c r="B6" s="43">
        <v>2</v>
      </c>
      <c r="C6" s="40" t="s">
        <v>363</v>
      </c>
      <c r="D6" s="40"/>
      <c r="F6" s="111">
        <f>SUMIFS(Data!D$5:D$448,Data!$A$5:$A$448,'Tóm tắt'!$A6)</f>
        <v>902000</v>
      </c>
      <c r="G6" s="111">
        <f>SUMIFS(Data!E$5:E$448,Data!$A$5:$A$448,'Tóm tắt'!$A6)</f>
        <v>44000</v>
      </c>
      <c r="H6" s="111">
        <f>SUMIFS(Data!F$5:F$448,Data!$A$5:$A$448,'Tóm tắt'!$A6)</f>
        <v>666600</v>
      </c>
      <c r="I6" s="111">
        <f>SUMIFS(Data!G$5:G$448,Data!$A$5:$A$448,'Tóm tắt'!$A6)</f>
        <v>668800</v>
      </c>
      <c r="J6" s="111">
        <f>SUMIFS(Data!H$5:H$448,Data!$A$5:$A$448,'Tóm tắt'!$A6)</f>
        <v>23100</v>
      </c>
      <c r="K6" s="111">
        <f>SUMIFS(Data!I$5:I$448,Data!$A$5:$A$448,'Tóm tắt'!$A6)</f>
        <v>92400</v>
      </c>
      <c r="L6" s="111">
        <f>SUMIFS(Data!J$5:J$448,Data!$A$5:$A$448,'Tóm tắt'!$A6)</f>
        <v>6600</v>
      </c>
      <c r="M6" s="111">
        <f>SUMIFS(Data!K$5:K$448,Data!$A$5:$A$448,'Tóm tắt'!$A6)</f>
        <v>631400</v>
      </c>
      <c r="N6" s="111">
        <f>SUMIFS(Data!L$5:L$448,Data!$A$5:$A$448,'Tóm tắt'!$A6)</f>
        <v>884400</v>
      </c>
      <c r="O6" s="111">
        <f>SUMIFS(Data!M$5:M$448,Data!$A$5:$A$448,'Tóm tắt'!$A6)</f>
        <v>314600</v>
      </c>
      <c r="P6" s="111">
        <f>SUMIFS(Data!N$5:N$448,Data!$A$5:$A$448,'Tóm tắt'!$A6)</f>
        <v>172800</v>
      </c>
      <c r="Q6" s="111">
        <f>SUMIFS(Data!O$5:O$448,Data!$A$5:$A$448,'Tóm tắt'!$A6)</f>
        <v>7700</v>
      </c>
      <c r="R6" s="112">
        <f t="shared" ref="R6:R12" si="1">SUM(F6:Q6)</f>
        <v>4414400</v>
      </c>
      <c r="S6" s="111">
        <f>SUMIFS(Data!Q$5:Q$448,Data!$A$5:$A$448,'Tóm tắt'!$A6)</f>
        <v>143000</v>
      </c>
      <c r="T6" s="111">
        <f>SUMIFS(Data!R$5:R$448,Data!$A$5:$A$448,'Tóm tắt'!$A6)</f>
        <v>2270400</v>
      </c>
      <c r="U6" s="111">
        <f>SUMIFS(Data!S$5:S$448,Data!$A$5:$A$448,'Tóm tắt'!$A6)</f>
        <v>1786400</v>
      </c>
      <c r="V6" s="111">
        <f>SUMIFS(Data!T$5:T$448,Data!$A$5:$A$448,'Tóm tắt'!$A6)</f>
        <v>1189600</v>
      </c>
      <c r="W6" s="111">
        <f>SUMIFS(Data!U$5:U$448,Data!$A$5:$A$448,'Tóm tắt'!$A6)</f>
        <v>1854000</v>
      </c>
      <c r="X6" s="111">
        <f>SUMIFS(Data!V$5:V$448,Data!$A$5:$A$448,'Tóm tắt'!$A6)</f>
        <v>1077435.8</v>
      </c>
      <c r="Y6" s="111">
        <f>SUMIFS(Data!W$5:W$448,Data!$A$5:$A$448,'Tóm tắt'!$A6)</f>
        <v>957000</v>
      </c>
      <c r="Z6" s="111">
        <f>SUMIFS(Data!X$5:X$448,Data!$A$5:$A$448,'Tóm tắt'!$A6)</f>
        <v>1287000</v>
      </c>
      <c r="AA6" s="111">
        <f>SUMIFS(Data!Y$5:Y$448,Data!$A$5:$A$448,'Tóm tắt'!$A6)</f>
        <v>3300</v>
      </c>
      <c r="AB6" s="111">
        <f>SUMIFS(Data!Z$5:Z$448,Data!$A$5:$A$448,'Tóm tắt'!$A6)</f>
        <v>49500</v>
      </c>
      <c r="AC6" s="111">
        <f>SUMIFS(Data!AA$5:AA$448,Data!$A$5:$A$448,'Tóm tắt'!$A6)</f>
        <v>20900</v>
      </c>
      <c r="AD6" s="111">
        <f>SUMIFS(Data!AB$5:AB$448,Data!$A$5:$A$448,'Tóm tắt'!$A6)</f>
        <v>189200</v>
      </c>
      <c r="AE6" s="112">
        <f t="shared" ref="AE6:AE12" si="2">SUM(S6:AD6)</f>
        <v>10827735.800000001</v>
      </c>
      <c r="AF6" s="111">
        <f>SUMIFS(Data!AD$5:AD$448,Data!$A$5:$A$448,'Tóm tắt'!$A6)</f>
        <v>25300</v>
      </c>
      <c r="AG6" s="111">
        <f>SUMIFS(Data!AE$5:AE$448,Data!$A$5:$A$448,'Tóm tắt'!$A6)</f>
        <v>492800</v>
      </c>
      <c r="AH6" s="111">
        <f>SUMIFS(Data!AF$5:AF$448,Data!$A$5:$A$448,'Tóm tắt'!$A6)</f>
        <v>1065950</v>
      </c>
      <c r="AI6" s="111">
        <f>SUMIFS(Data!AG$5:AG$448,Data!$A$5:$A$448,'Tóm tắt'!$A6)</f>
        <v>103450</v>
      </c>
      <c r="AJ6" s="111"/>
      <c r="AK6" s="111"/>
      <c r="AL6" s="111"/>
      <c r="AM6" s="111"/>
      <c r="AN6" s="111"/>
      <c r="AO6" s="111"/>
      <c r="AP6" s="111"/>
      <c r="AQ6" s="111"/>
      <c r="AR6" s="112">
        <f t="shared" ref="AR6:AR12" si="3">SUM(AF6:AQ6)</f>
        <v>1687500</v>
      </c>
      <c r="AT6" s="50" cm="1">
        <f t="array" ref="AT6">IFERROR(SUMPRODUCT(Data!D$5:D$448*Data!AQ$5:AQ$448*(Data!$A$5:$A$448='Tóm tắt'!$A6))/SUMIFS(Data!D$5:D$448,Data!$A$5:$A$448,'Tóm tắt'!$A6),0)</f>
        <v>1128.4000773316573</v>
      </c>
      <c r="AU6" s="50" cm="1">
        <f t="array" ref="AU6">IFERROR(SUMPRODUCT(Data!E$5:E$448*Data!AR$5:AR$448*(Data!$A$5:$A$448='Tóm tắt'!$A6))/SUMIFS(Data!E$5:E$448,Data!$A$5:$A$448,'Tóm tắt'!$A6),0)</f>
        <v>1252.8995509362153</v>
      </c>
      <c r="AV6" s="50" cm="1">
        <f t="array" ref="AV6">IFERROR(SUMPRODUCT(Data!F$5:F$448*Data!AS$5:AS$448*(Data!$A$5:$A$448='Tóm tắt'!$A6))/SUMIFS(Data!F$5:F$448,Data!$A$5:$A$448,'Tóm tắt'!$A6),0)</f>
        <v>1266.1992558452603</v>
      </c>
      <c r="AW6" s="50" cm="1">
        <f t="array" ref="AW6">IFERROR(SUMPRODUCT(Data!G$5:G$448*Data!AT$5:AT$448*(Data!$A$5:$A$448='Tóm tắt'!$A6))/SUMIFS(Data!G$5:G$448,Data!$A$5:$A$448,'Tóm tắt'!$A6),0)</f>
        <v>1260.6154373337054</v>
      </c>
      <c r="AX6" s="50" cm="1">
        <f t="array" ref="AX6">IFERROR(SUMPRODUCT(Data!H$5:H$448*Data!AU$5:AU$448*(Data!$A$5:$A$448='Tóm tắt'!$A6))/SUMIFS(Data!H$5:H$448,Data!$A$5:$A$448,'Tóm tắt'!$A6),0)</f>
        <v>1225.550589898111</v>
      </c>
      <c r="AY6" s="50" cm="1">
        <f t="array" ref="AY6">IFERROR(SUMPRODUCT(Data!I$5:I$448*Data!AV$5:AV$448*(Data!$A$5:$A$448='Tóm tắt'!$A6))/SUMIFS(Data!I$5:I$448,Data!$A$5:$A$448,'Tóm tắt'!$A6),0)</f>
        <v>1353.2539180982815</v>
      </c>
      <c r="AZ6" s="50" cm="1">
        <f t="array" ref="AZ6">IFERROR(SUMPRODUCT(Data!J$5:J$448*Data!AW$5:AW$448*(Data!$A$5:$A$448='Tóm tắt'!$A6))/SUMIFS(Data!J$5:J$448,Data!$A$5:$A$448,'Tóm tắt'!$A6),0)</f>
        <v>1359.7877849353229</v>
      </c>
      <c r="BA6" s="50" cm="1">
        <f t="array" ref="BA6">IFERROR(SUMPRODUCT(Data!K$5:K$448*Data!AX$5:AX$448*(Data!$A$5:$A$448='Tóm tắt'!$A6))/SUMIFS(Data!K$5:K$448,Data!$A$5:$A$448,'Tóm tắt'!$A6),0)</f>
        <v>1194.5946538268399</v>
      </c>
      <c r="BB6" s="50" cm="1">
        <f t="array" ref="BB6">IFERROR(SUMPRODUCT(Data!L$5:L$448*Data!AY$5:AY$448*(Data!$A$5:$A$448='Tóm tắt'!$A6))/SUMIFS(Data!L$5:L$448,Data!$A$5:$A$448,'Tóm tắt'!$A6),0)</f>
        <v>1240.3411694294289</v>
      </c>
      <c r="BC6" s="50" cm="1">
        <f t="array" ref="BC6">IFERROR(SUMPRODUCT(Data!M$5:M$448*Data!AZ$5:AZ$448*(Data!$A$5:$A$448='Tóm tắt'!$A6))/SUMIFS(Data!M$5:M$448,Data!$A$5:$A$448,'Tóm tắt'!$A6),0)</f>
        <v>1256.114100122682</v>
      </c>
      <c r="BD6" s="50" cm="1">
        <f t="array" ref="BD6">IFERROR(SUMPRODUCT(Data!N$5:N$448*Data!BA$5:BA$448*(Data!$A$5:$A$448='Tóm tắt'!$A6))/SUMIFS(Data!N$5:N$448,Data!$A$5:$A$448,'Tóm tắt'!$A6),0)</f>
        <v>1273.647152483413</v>
      </c>
      <c r="BE6" s="50" cm="1">
        <f t="array" ref="BE6">IFERROR(SUMPRODUCT(Data!O$5:O$448*Data!BB$5:BB$448*(Data!$A$5:$A$448='Tóm tắt'!$A6))/SUMIFS(Data!O$5:O$448,Data!$A$5:$A$448,'Tóm tắt'!$A6),0)</f>
        <v>1357.7868889841911</v>
      </c>
      <c r="BF6" s="53" cm="1">
        <f t="array" ref="BF6">IFERROR(SUMPRODUCT(Data!P$5:P$448*Data!BC$5:BC$448*(Data!$A$5:$A$448='Tóm tắt'!$A6))/SUMIFS(Data!P$5:P$448,Data!$A$5:$A$448,'Tóm tắt'!$A6),0)</f>
        <v>1223.1237395867231</v>
      </c>
      <c r="BG6" s="50" cm="1">
        <f t="array" ref="BG6">IFERROR(SUMPRODUCT(Data!Q$5:Q$448*Data!BD$5:BD$448*(Data!$A$5:$A$448='Tóm tắt'!$A6))/SUMIFS(Data!Q$5:Q$448,Data!$A$5:$A$448,'Tóm tắt'!$A6),0)</f>
        <v>1270.9782973960375</v>
      </c>
      <c r="BH6" s="50" cm="1">
        <f t="array" ref="BH6">IFERROR(SUMPRODUCT(Data!R$5:R$448*Data!BE$5:BE$448*(Data!$A$5:$A$448='Tóm tắt'!$A6))/SUMIFS(Data!R$5:R$448,Data!$A$5:$A$448,'Tóm tắt'!$A6),0)</f>
        <v>1246.9423480472944</v>
      </c>
      <c r="BI6" s="50" cm="1">
        <f t="array" ref="BI6">IFERROR(SUMPRODUCT(Data!S$5:S$448*Data!BF$5:BF$448*(Data!$A$5:$A$448='Tóm tắt'!$A6))/SUMIFS(Data!S$5:S$448,Data!$A$5:$A$448,'Tóm tắt'!$A6),0)</f>
        <v>1232.9299951504295</v>
      </c>
      <c r="BJ6" s="50" cm="1">
        <f t="array" ref="BJ6">IFERROR(SUMPRODUCT(Data!T$5:T$448*Data!BG$5:BG$448*(Data!$A$5:$A$448='Tóm tắt'!$A6))/SUMIFS(Data!T$5:T$448,Data!$A$5:$A$448,'Tóm tắt'!$A6),0)</f>
        <v>1244.7111208454701</v>
      </c>
      <c r="BK6" s="50" cm="1">
        <f t="array" ref="BK6">IFERROR(SUMPRODUCT(Data!U$5:U$448*Data!BH$5:BH$448*(Data!$A$5:$A$448='Tóm tắt'!$A6))/SUMIFS(Data!U$5:U$448,Data!$A$5:$A$448,'Tóm tắt'!$A6),0)</f>
        <v>1260.9180038686388</v>
      </c>
      <c r="BL6" s="50" cm="1">
        <f t="array" ref="BL6">IFERROR(SUMPRODUCT(Data!V$5:V$448*Data!BI$5:BI$448*(Data!$A$5:$A$448='Tóm tắt'!$A6))/SUMIFS(Data!V$5:V$448,Data!$A$5:$A$448,'Tóm tắt'!$A6),0)</f>
        <v>1237.8416051017246</v>
      </c>
      <c r="BM6" s="50" cm="1">
        <f t="array" ref="BM6">IFERROR(SUMPRODUCT(Data!W$5:W$448*Data!BJ$5:BJ$448*(Data!$A$5:$A$448='Tóm tắt'!$A6))/SUMIFS(Data!W$5:W$448,Data!$A$5:$A$448,'Tóm tắt'!$A6),0)</f>
        <v>1234.1619833313136</v>
      </c>
      <c r="BN6" s="50" cm="1">
        <f t="array" ref="BN6">IFERROR(SUMPRODUCT(Data!X$5:X$448*Data!BK$5:BK$448*(Data!$A$5:$A$448='Tóm tắt'!$A6))/SUMIFS(Data!X$5:X$448,Data!$A$5:$A$448,'Tóm tắt'!$A6),0)</f>
        <v>1193.3119788319257</v>
      </c>
      <c r="BO6" s="50" cm="1">
        <f t="array" ref="BO6">IFERROR(SUMPRODUCT(Data!Y$5:Y$448*Data!BL$5:BL$448*(Data!$A$5:$A$448='Tóm tắt'!$A6))/SUMIFS(Data!Y$5:Y$448,Data!$A$5:$A$448,'Tóm tắt'!$A6),0)</f>
        <v>1273.3614070094807</v>
      </c>
      <c r="BP6" s="50" cm="1">
        <f t="array" ref="BP6">IFERROR(SUMPRODUCT(Data!Z$5:Z$448*Data!BM$5:BM$448*(Data!$A$5:$A$448='Tóm tắt'!$A6))/SUMIFS(Data!Z$5:Z$448,Data!$A$5:$A$448,'Tóm tắt'!$A6),0)</f>
        <v>1251.2300167177291</v>
      </c>
      <c r="BQ6" s="50" cm="1">
        <f t="array" ref="BQ6">IFERROR(SUMPRODUCT(Data!AA$5:AA$448*Data!BN$5:BN$448*(Data!$A$5:$A$448='Tóm tắt'!$A6))/SUMIFS(Data!AA$5:AA$448,Data!$A$5:$A$448,'Tóm tắt'!$A6),0)</f>
        <v>1265.0085764451653</v>
      </c>
      <c r="BR6" s="50" cm="1">
        <f t="array" ref="BR6">IFERROR(SUMPRODUCT(Data!AB$5:AB$448*Data!BO$5:BO$448*(Data!$A$5:$A$448='Tóm tắt'!$A6))/SUMIFS(Data!AB$5:AB$448,Data!$A$5:$A$448,'Tóm tắt'!$A6),0)</f>
        <v>1206.0199761295271</v>
      </c>
      <c r="BS6" s="53" cm="1">
        <f t="array" ref="BS6">IFERROR(SUMPRODUCT(Data!AC$5:AC$448*Data!BP$5:BP$448*(Data!$A$5:$A$448='Tóm tắt'!$A6))/SUMIFS(Data!AC$5:AC$448,Data!$A$5:$A$448,'Tóm tắt'!$A6),0)</f>
        <v>1238.0335607629145</v>
      </c>
      <c r="BT6" s="50" cm="1">
        <f t="array" ref="BT6">IFERROR(SUMPRODUCT(Data!AD$5:AD$448*Data!BQ$5:BQ$448*(Data!$A$5:$A$448='Tóm tắt'!$A6))/SUMIFS(Data!AD$5:AD$448,Data!$A$5:$A$448,'Tóm tắt'!$A6),0)</f>
        <v>1189.3999221062261</v>
      </c>
      <c r="BU6" s="50" cm="1">
        <f t="array" ref="BU6">IFERROR(SUMPRODUCT(Data!AE$5:AE$448*Data!BR$5:BR$448*(Data!$A$5:$A$448='Tóm tắt'!$A6))/SUMIFS(Data!AE$5:AE$448,Data!$A$5:$A$448,'Tóm tắt'!$A6),0)</f>
        <v>1143.1404154984273</v>
      </c>
      <c r="BV6" s="50" cm="1">
        <f t="array" ref="BV6">IFERROR(SUMPRODUCT(Data!AF$5:AF$448*Data!BS$5:BS$448*(Data!$A$5:$A$448='Tóm tắt'!$A6))/SUMIFS(Data!AF$5:AF$448,Data!$A$5:$A$448,'Tóm tắt'!$A6),0)</f>
        <v>1126.2133484373842</v>
      </c>
      <c r="BW6" s="50" cm="1">
        <f t="array" ref="BW6">IFERROR(SUMPRODUCT(Data!AG$5:AG$448*Data!BT$5:BT$448*(Data!$A$5:$A$448='Tóm tắt'!$A6))/SUMIFS(Data!AG$5:AG$448,Data!$A$5:$A$448,'Tóm tắt'!$A6),0)</f>
        <v>1278.2392620363935</v>
      </c>
      <c r="BX6" s="50" cm="1">
        <f t="array" ref="BX6">IFERROR(SUMPRODUCT(Data!AH$5:AH$448*Data!BU$5:BU$448*(Data!$A$5:$A$448='Tóm tắt'!$A6))/SUMIFS(Data!AH$5:AH$448,Data!$A$5:$A$448,'Tóm tắt'!$A6),0)</f>
        <v>0</v>
      </c>
      <c r="BY6" s="50" cm="1">
        <f t="array" ref="BY6">IFERROR(SUMPRODUCT(Data!AI$5:AI$448*Data!BV$5:BV$448*(Data!$A$5:$A$448='Tóm tắt'!$A6))/SUMIFS(Data!AI$5:AI$448,Data!$A$5:$A$448,'Tóm tắt'!$A6),0)</f>
        <v>0</v>
      </c>
      <c r="BZ6" s="50" cm="1">
        <f t="array" ref="BZ6">IFERROR(SUMPRODUCT(Data!AJ$5:AJ$448*Data!BW$5:BW$448*(Data!$A$5:$A$448='Tóm tắt'!$A6))/SUMIFS(Data!AJ$5:AJ$448,Data!$A$5:$A$448,'Tóm tắt'!$A6),0)</f>
        <v>0</v>
      </c>
      <c r="CA6" s="50" cm="1">
        <f t="array" ref="CA6">IFERROR(SUMPRODUCT(Data!AK$5:AK$448*Data!BX$5:BX$448*(Data!$A$5:$A$448='Tóm tắt'!$A6))/SUMIFS(Data!AK$5:AK$448,Data!$A$5:$A$448,'Tóm tắt'!$A6),0)</f>
        <v>0</v>
      </c>
      <c r="CB6" s="50" cm="1">
        <f t="array" ref="CB6">IFERROR(SUMPRODUCT(Data!AL$5:AL$448*Data!BY$5:BY$448*(Data!$A$5:$A$448='Tóm tắt'!$A6))/SUMIFS(Data!AL$5:AL$448,Data!$A$5:$A$448,'Tóm tắt'!$A6),0)</f>
        <v>0</v>
      </c>
      <c r="CC6" s="50" cm="1">
        <f t="array" ref="CC6">IFERROR(SUMPRODUCT(Data!AM$5:AM$448*Data!BZ$5:BZ$448*(Data!$A$5:$A$448='Tóm tắt'!$A6))/SUMIFS(Data!AM$5:AM$448,Data!$A$5:$A$448,'Tóm tắt'!$A6),0)</f>
        <v>0</v>
      </c>
      <c r="CD6" s="50" cm="1">
        <f t="array" ref="CD6">IFERROR(SUMPRODUCT(Data!AN$5:AN$448*Data!CA$5:CA$448*(Data!$A$5:$A$448='Tóm tắt'!$A6))/SUMIFS(Data!AN$5:AN$448,Data!$A$5:$A$448,'Tóm tắt'!$A6),0)</f>
        <v>0</v>
      </c>
      <c r="CE6" s="50" cm="1">
        <f t="array" ref="CE6">IFERROR(SUMPRODUCT(Data!AO$5:AO$448*Data!CB$5:CB$448*(Data!$A$5:$A$448='Tóm tắt'!$A6))/SUMIFS(Data!AO$5:AO$448,Data!$A$5:$A$448,'Tóm tắt'!$A6),0)</f>
        <v>0</v>
      </c>
      <c r="CF6" s="53" cm="1">
        <f t="array" ref="CF6">IFERROR(SUMPRODUCT(Data!AP$5:AP$448*Data!CC$5:CC$448*(Data!$A$5:$A$448='Tóm tắt'!$A6))/SUMIFS(Data!AP$5:AP$448,Data!$A$5:$A$448,'Tóm tắt'!$A6),0)</f>
        <v>1141.4236356808346</v>
      </c>
      <c r="CH6" s="50" cm="1">
        <f t="array" ref="CH6">IFERROR(SUMPRODUCT(Data!CD$5:CD$448*Data!D$5:D$448*(Data!$A$5:$A$448='Tóm tắt'!$A6))/SUMIFS(Data!D$5:D$448,Data!$A$5:$A$448,'Tóm tắt'!$A6),0)</f>
        <v>21465.657881867475</v>
      </c>
      <c r="CI6" s="50" cm="1">
        <f t="array" ref="CI6">IFERROR(SUMPRODUCT(Data!CE$5:CE$448*Data!E$5:E$448*(Data!$A$5:$A$448='Tóm tắt'!$A6))/SUMIFS(Data!E$5:E$448,Data!$A$5:$A$448,'Tóm tắt'!$A6),0)</f>
        <v>21452.450954545453</v>
      </c>
      <c r="CJ6" s="50" cm="1">
        <f t="array" ref="CJ6">IFERROR(SUMPRODUCT(Data!CF$5:CF$448*Data!F$5:F$448*(Data!$A$5:$A$448='Tóm tắt'!$A6))/SUMIFS(Data!F$5:F$448,Data!$A$5:$A$448,'Tóm tắt'!$A6),0)</f>
        <v>22381.843084308446</v>
      </c>
      <c r="CK6" s="50" cm="1">
        <f t="array" ref="CK6">IFERROR(SUMPRODUCT(Data!CG$5:CG$448*Data!G$5:G$448*(Data!$A$5:$A$448='Tóm tắt'!$A6))/SUMIFS(Data!G$5:G$448,Data!$A$5:$A$448,'Tóm tắt'!$A6),0)</f>
        <v>22418.984252392336</v>
      </c>
      <c r="CL6" s="50" cm="1">
        <f t="array" ref="CL6">IFERROR(SUMPRODUCT(Data!CH$5:CH$448*Data!H$5:H$448*(Data!$A$5:$A$448='Tóm tắt'!$A6))/SUMIFS(Data!H$5:H$448,Data!$A$5:$A$448,'Tóm tắt'!$A6),0)</f>
        <v>24247.44597402597</v>
      </c>
      <c r="CM6" s="50" cm="1">
        <f t="array" ref="CM6">IFERROR(SUMPRODUCT(Data!CI$5:CI$448*Data!I$5:I$448*(Data!$A$5:$A$448='Tóm tắt'!$A6))/SUMIFS(Data!I$5:I$448,Data!$A$5:$A$448,'Tóm tắt'!$A6),0)</f>
        <v>23118.400952380955</v>
      </c>
      <c r="CN6" s="50" cm="1">
        <f t="array" ref="CN6">IFERROR(SUMPRODUCT(Data!CJ$5:CJ$448*Data!J$5:J$448*(Data!$A$5:$A$448='Tóm tắt'!$A6))/SUMIFS(Data!J$5:J$448,Data!$A$5:$A$448,'Tóm tắt'!$A6),0)</f>
        <v>23390.034393939397</v>
      </c>
      <c r="CO6" s="50" cm="1">
        <f t="array" ref="CO6">IFERROR(SUMPRODUCT(Data!CK$5:CK$448*Data!K$5:K$448*(Data!$A$5:$A$448='Tóm tắt'!$A6))/SUMIFS(Data!K$5:K$448,Data!$A$5:$A$448,'Tóm tắt'!$A6),0)</f>
        <v>23973.138883433618</v>
      </c>
      <c r="CP6" s="50" cm="1">
        <f t="array" ref="CP6">IFERROR(SUMPRODUCT(Data!CL$5:CL$448*Data!L$5:L$448*(Data!$A$5:$A$448='Tóm tắt'!$A6))/SUMIFS(Data!L$5:L$448,Data!$A$5:$A$448,'Tóm tắt'!$A6),0)</f>
        <v>24176.698172772496</v>
      </c>
      <c r="CQ6" s="50" cm="1">
        <f t="array" ref="CQ6">IFERROR(SUMPRODUCT(Data!CM$5:CM$448*Data!M$5:M$448*(Data!$A$5:$A$448='Tóm tắt'!$A6))/SUMIFS(Data!M$5:M$448,Data!$A$5:$A$448,'Tóm tắt'!$A6),0)</f>
        <v>24598.295273362994</v>
      </c>
      <c r="CR6" s="50" cm="1">
        <f t="array" ref="CR6">IFERROR(SUMPRODUCT(Data!CN$5:CN$448*Data!N$5:N$448*(Data!$A$5:$A$448='Tóm tắt'!$A6))/SUMIFS(Data!N$5:N$448,Data!$A$5:$A$448,'Tóm tắt'!$A6),0)</f>
        <v>24783.769907407412</v>
      </c>
      <c r="CS6" s="50" cm="1">
        <f t="array" ref="CS6">IFERROR(SUMPRODUCT(Data!CO$5:CO$448*Data!O$5:O$448*(Data!$A$5:$A$448='Tóm tắt'!$A6))/SUMIFS(Data!O$5:O$448,Data!$A$5:$A$448,'Tóm tắt'!$A6),0)</f>
        <v>24825.723506493505</v>
      </c>
      <c r="CT6" s="105" cm="1">
        <f t="array" ref="CT6">IFERROR(SUMPRODUCT(Data!CP$5:CP$448*Data!P$5:P$448*(Data!$A$5:$A$448='Tóm tắt'!$A6))/SUMIFS(Data!P$5:P$448,Data!$A$5:$A$448,'Tóm tắt'!$A6),0)</f>
        <v>23061.128116039436</v>
      </c>
      <c r="CU6" s="50" cm="1">
        <f t="array" ref="CU6">IFERROR(SUMPRODUCT(Data!CQ$5:CQ$448*Data!Q$5:Q$448*(Data!$A$5:$A$448='Tóm tắt'!$A6))/SUMIFS(Data!Q$5:Q$448,Data!$A$5:$A$448,'Tóm tắt'!$A6),0)</f>
        <v>25862.348937062932</v>
      </c>
      <c r="CV6" s="50" cm="1">
        <f t="array" ref="CV6">IFERROR(SUMPRODUCT(Data!CR$5:CR$448*Data!R$5:R$448*(Data!$A$5:$A$448='Tóm tắt'!$A6))/SUMIFS(Data!R$5:R$448,Data!$A$5:$A$448,'Tóm tắt'!$A6),0)</f>
        <v>25129.887448907677</v>
      </c>
      <c r="CW6" s="50" cm="1">
        <f t="array" ref="CW6">IFERROR(SUMPRODUCT(Data!CS$5:CS$448*Data!S$5:S$448*(Data!$A$5:$A$448='Tóm tắt'!$A6))/SUMIFS(Data!S$5:S$448,Data!$A$5:$A$448,'Tóm tắt'!$A6),0)</f>
        <v>25341.010729959671</v>
      </c>
      <c r="CX6" s="50" cm="1">
        <f t="array" ref="CX6">IFERROR(SUMPRODUCT(Data!CT$5:CT$448*Data!T$5:T$448*(Data!$A$5:$A$448='Tóm tắt'!$A6))/SUMIFS(Data!T$5:T$448,Data!$A$5:$A$448,'Tóm tắt'!$A6),0)</f>
        <v>25147.349790685959</v>
      </c>
      <c r="CY6" s="50" cm="1">
        <f t="array" ref="CY6">IFERROR(SUMPRODUCT(Data!CU$5:CU$448*Data!U$5:U$448*(Data!$A$5:$A$448='Tóm tắt'!$A6))/SUMIFS(Data!U$5:U$448,Data!$A$5:$A$448,'Tóm tắt'!$A6),0)</f>
        <v>25776.223757281561</v>
      </c>
      <c r="CZ6" s="50" cm="1">
        <f t="array" ref="CZ6">IFERROR(SUMPRODUCT(Data!CV$5:CV$448*Data!V$5:V$448*(Data!$A$5:$A$448='Tóm tắt'!$A6))/SUMIFS(Data!V$5:V$448,Data!$A$5:$A$448,'Tóm tắt'!$A6),0)</f>
        <v>26907.289228741043</v>
      </c>
      <c r="DA6" s="50" cm="1">
        <f t="array" ref="DA6">IFERROR(SUMPRODUCT(Data!CW$5:CW$448*Data!W$5:W$448*(Data!$A$5:$A$448='Tóm tắt'!$A6))/SUMIFS(Data!W$5:W$448,Data!$A$5:$A$448,'Tóm tắt'!$A6),0)</f>
        <v>26496.412830721019</v>
      </c>
      <c r="DB6" s="50" cm="1">
        <f t="array" ref="DB6">IFERROR(SUMPRODUCT(Data!CX$5:CX$448*Data!X$5:X$448*(Data!$A$5:$A$448='Tóm tắt'!$A6))/SUMIFS(Data!X$5:X$448,Data!$A$5:$A$448,'Tóm tắt'!$A6),0)</f>
        <v>26353.716282051268</v>
      </c>
      <c r="DC6" s="50" cm="1">
        <f t="array" ref="DC6">IFERROR(SUMPRODUCT(Data!CY$5:CY$448*Data!Y$5:Y$448*(Data!$A$5:$A$448='Tóm tắt'!$A6))/SUMIFS(Data!Y$5:Y$448,Data!$A$5:$A$448,'Tóm tắt'!$A6),0)</f>
        <v>26289.233333333334</v>
      </c>
      <c r="DD6" s="50" cm="1">
        <f t="array" ref="DD6">IFERROR(SUMPRODUCT(Data!CZ$5:CZ$448*Data!Z$5:Z$448*(Data!$A$5:$A$448='Tóm tắt'!$A6))/SUMIFS(Data!Z$5:Z$448,Data!$A$5:$A$448,'Tóm tắt'!$A6),0)</f>
        <v>26174.066343434344</v>
      </c>
      <c r="DE6" s="50" cm="1">
        <f t="array" ref="DE6">IFERROR(SUMPRODUCT(Data!DA$5:DA$448*Data!AA$5:AA$448*(Data!$A$5:$A$448='Tóm tắt'!$A6))/SUMIFS(Data!AA$5:AA$448,Data!$A$5:$A$448,'Tóm tắt'!$A6),0)</f>
        <v>26931.270430622004</v>
      </c>
      <c r="DF6" s="50" cm="1">
        <f t="array" ref="DF6">IFERROR(SUMPRODUCT(Data!DB$5:DB$448*Data!AB$5:AB$448*(Data!$A$5:$A$448='Tóm tắt'!$A6))/SUMIFS(Data!AB$5:AB$448,Data!$A$5:$A$448,'Tóm tắt'!$A6),0)</f>
        <v>26926.025935517966</v>
      </c>
      <c r="DG6" s="105" cm="1">
        <f t="array" ref="DG6">IFERROR(SUMPRODUCT(Data!DC$5:DC$448*Data!AC$5:AC$448*(Data!$A$5:$A$448='Tóm tắt'!$A6))/SUMIFS(Data!AC$5:AC$448,Data!$A$5:$A$448,'Tóm tắt'!$A6),0)</f>
        <v>25770.07975480899</v>
      </c>
      <c r="DH6" s="50" cm="1">
        <f t="array" ref="DH6">IFERROR(SUMPRODUCT(Data!DD$5:DD$448*Data!AD$5:AD$448*(Data!$A$5:$A$448='Tóm tắt'!$A6))/SUMIFS(Data!AD$5:AD$448,Data!$A$5:$A$448,'Tóm tắt'!$A6),0)</f>
        <v>26929.877905138339</v>
      </c>
      <c r="DI6" s="50" cm="1">
        <f t="array" ref="DI6">IFERROR(SUMPRODUCT(Data!DE$5:DE$448*Data!AE$5:AE$448*(Data!$A$5:$A$448='Tóm tắt'!$A6))/SUMIFS(Data!AE$5:AE$448,Data!$A$5:$A$448,'Tóm tắt'!$A6),0)</f>
        <v>26519.323053977274</v>
      </c>
      <c r="DJ6" s="50" cm="1">
        <f t="array" ref="DJ6">IFERROR(SUMPRODUCT(Data!DF$5:DF$448*Data!AF$5:AF$448*(Data!$A$5:$A$448='Tóm tắt'!$A6))/SUMIFS(Data!AF$5:AF$448,Data!$A$5:$A$448,'Tóm tắt'!$A6),0)</f>
        <v>26378.532509967641</v>
      </c>
      <c r="DK6" s="50" cm="1">
        <f t="array" ref="DK6">IFERROR(SUMPRODUCT(Data!DG$5:DG$448*Data!AG$5:AG$448*(Data!$A$5:$A$448='Tóm tắt'!$A6))/SUMIFS(Data!AG$5:AG$448,Data!$A$5:$A$448,'Tóm tắt'!$A6),0)</f>
        <v>26752.065393958364</v>
      </c>
      <c r="DL6" s="50" cm="1">
        <f t="array" ref="DL6">IFERROR(SUMPRODUCT(Data!DH$5:DH$448*Data!AH$5:AH$448*(Data!$A$5:$A$448='Tóm tắt'!$A6))/SUMIFS(Data!AH$5:AH$448,Data!$A$5:$A$448,'Tóm tắt'!$A6),0)</f>
        <v>0</v>
      </c>
      <c r="DM6" s="50" cm="1">
        <f t="array" ref="DM6">IFERROR(SUMPRODUCT(Data!DI$5:DI$448*Data!AI$5:AI$448*(Data!$A$5:$A$448='Tóm tắt'!$A6))/SUMIFS(Data!AI$5:AI$448,Data!$A$5:$A$448,'Tóm tắt'!$A6),0)</f>
        <v>0</v>
      </c>
      <c r="DN6" s="50" cm="1">
        <f t="array" ref="DN6">IFERROR(SUMPRODUCT(Data!DJ$5:DJ$448*Data!AJ$5:AJ$448*(Data!$A$5:$A$448='Tóm tắt'!$A6))/SUMIFS(Data!AJ$5:AJ$448,Data!$A$5:$A$448,'Tóm tắt'!$A6),0)</f>
        <v>0</v>
      </c>
      <c r="DO6" s="50" cm="1">
        <f t="array" ref="DO6">IFERROR(SUMPRODUCT(Data!DK$5:DK$448*Data!AK$5:AK$448*(Data!$A$5:$A$448='Tóm tắt'!$A6))/SUMIFS(Data!AK$5:AK$448,Data!$A$5:$A$448,'Tóm tắt'!$A6),0)</f>
        <v>0</v>
      </c>
      <c r="DP6" s="50" cm="1">
        <f t="array" ref="DP6">IFERROR(SUMPRODUCT(Data!DL$5:DL$448*Data!AL$5:AL$448*(Data!$A$5:$A$448='Tóm tắt'!$A6))/SUMIFS(Data!AL$5:AL$448,Data!$A$5:$A$448,'Tóm tắt'!$A6),0)</f>
        <v>0</v>
      </c>
      <c r="DQ6" s="50" cm="1">
        <f t="array" ref="DQ6">IFERROR(SUMPRODUCT(Data!DM$5:DM$448*Data!AM$5:AM$448*(Data!$A$5:$A$448='Tóm tắt'!$A6))/SUMIFS(Data!AM$5:AM$448,Data!$A$5:$A$448,'Tóm tắt'!$A6),0)</f>
        <v>0</v>
      </c>
      <c r="DR6" s="50" cm="1">
        <f t="array" ref="DR6">IFERROR(SUMPRODUCT(Data!DN$5:DN$448*Data!AN$5:AN$448*(Data!$A$5:$A$448='Tóm tắt'!$A6))/SUMIFS(Data!AN$5:AN$448,Data!$A$5:$A$448,'Tóm tắt'!$A6),0)</f>
        <v>0</v>
      </c>
      <c r="DS6" s="50" cm="1">
        <f t="array" ref="DS6">IFERROR(SUMPRODUCT(Data!DO$5:DO$448*Data!AO$5:AO$448*(Data!$A$5:$A$448='Tóm tắt'!$A6))/SUMIFS(Data!AO$5:AO$448,Data!$A$5:$A$448,'Tóm tắt'!$A6),0)</f>
        <v>0</v>
      </c>
      <c r="DT6" s="105" cm="1">
        <f t="array" ref="DT6">IFERROR(SUMPRODUCT(Data!DP$5:DP$448*Data!AP$5:AP$448*(Data!$A$5:$A$448='Tóm tắt'!$A6))/SUMIFS(Data!AP$5:AP$448,Data!$A$5:$A$448,'Tóm tắt'!$A6),0)</f>
        <v>26450.812566521479</v>
      </c>
      <c r="DV6" s="105">
        <f t="shared" si="0"/>
        <v>7344.2374671752077</v>
      </c>
      <c r="DW6" s="104">
        <f t="shared" ref="DW6:DW12" si="4">(BS6/1000*$DW$2)-DG6</f>
        <v>6156.4827145101881</v>
      </c>
      <c r="DX6" s="104">
        <f t="shared" ref="DX6:DX12" si="5">(CF6/1000*$DX$2)-DT6</f>
        <v>3436.2168990607825</v>
      </c>
      <c r="DZ6" s="124">
        <f t="shared" ref="DZ6:DZ12" si="6">IFERROR(R6/SUM($R$5:$R$12),0)</f>
        <v>0.12444861558555061</v>
      </c>
      <c r="EA6" s="120">
        <f t="shared" ref="EA6:EA12" si="7">IFERROR(AE6/SUM($AE$5:$AE$12),0)</f>
        <v>0.258156787043757</v>
      </c>
      <c r="EB6" s="125">
        <f t="shared" ref="EB6:EB12" si="8">IFERROR(AR6/SUM($AR$5:$AR$12),0)</f>
        <v>0.1020911288102678</v>
      </c>
      <c r="ED6" s="66">
        <f t="shared" ref="ED6:ED12" si="9">IFERROR(1-CT6/(BF6*ED$2/10^3),0)</f>
        <v>0.24154412638371991</v>
      </c>
      <c r="EE6" s="66">
        <f t="shared" ref="EE6:EE12" si="10">IFERROR(1-DG6/(BS6*EE$2/10^3),0)</f>
        <v>0.19283262081304398</v>
      </c>
      <c r="EF6" s="66">
        <f t="shared" ref="EF6:EF12" si="11">IFERROR(1-DT6/(CF6*EF$2/10^3),0)</f>
        <v>0.11497351729177063</v>
      </c>
    </row>
    <row r="7" spans="1:138" x14ac:dyDescent="0.35">
      <c r="A7" s="48" t="s">
        <v>364</v>
      </c>
      <c r="B7" s="42">
        <v>3</v>
      </c>
      <c r="C7" s="40" t="s">
        <v>364</v>
      </c>
      <c r="D7" s="40" t="s">
        <v>377</v>
      </c>
      <c r="F7" s="111">
        <f>SUMIFS(Data!D$5:D$448,Data!$A$5:$A$448,'Tóm tắt'!$A7)</f>
        <v>1302400</v>
      </c>
      <c r="G7" s="111">
        <f>SUMIFS(Data!E$5:E$448,Data!$A$5:$A$448,'Tóm tắt'!$A7)</f>
        <v>1709400</v>
      </c>
      <c r="H7" s="111">
        <f>SUMIFS(Data!F$5:F$448,Data!$A$5:$A$448,'Tóm tắt'!$A7)</f>
        <v>1788900</v>
      </c>
      <c r="I7" s="111">
        <f>SUMIFS(Data!G$5:G$448,Data!$A$5:$A$448,'Tóm tắt'!$A7)</f>
        <v>1463000</v>
      </c>
      <c r="J7" s="111">
        <f>SUMIFS(Data!H$5:H$448,Data!$A$5:$A$448,'Tóm tắt'!$A7)</f>
        <v>2441800</v>
      </c>
      <c r="K7" s="111">
        <f>SUMIFS(Data!I$5:I$448,Data!$A$5:$A$448,'Tóm tắt'!$A7)</f>
        <v>1150000</v>
      </c>
      <c r="L7" s="111">
        <f>SUMIFS(Data!J$5:J$448,Data!$A$5:$A$448,'Tóm tắt'!$A7)</f>
        <v>1217900</v>
      </c>
      <c r="M7" s="111">
        <f>SUMIFS(Data!K$5:K$448,Data!$A$5:$A$448,'Tóm tắt'!$A7)</f>
        <v>2181700</v>
      </c>
      <c r="N7" s="111">
        <f>SUMIFS(Data!L$5:L$448,Data!$A$5:$A$448,'Tóm tắt'!$A7)</f>
        <v>2313800</v>
      </c>
      <c r="O7" s="111">
        <f>SUMIFS(Data!M$5:M$448,Data!$A$5:$A$448,'Tóm tắt'!$A7)</f>
        <v>1567700</v>
      </c>
      <c r="P7" s="111">
        <f>SUMIFS(Data!N$5:N$448,Data!$A$5:$A$448,'Tóm tắt'!$A7)</f>
        <v>926200</v>
      </c>
      <c r="Q7" s="111">
        <f>SUMIFS(Data!O$5:O$448,Data!$A$5:$A$448,'Tóm tắt'!$A7)</f>
        <v>1725900</v>
      </c>
      <c r="R7" s="112">
        <f t="shared" si="1"/>
        <v>19788700</v>
      </c>
      <c r="S7" s="111">
        <f>SUMIFS(Data!Q$5:Q$448,Data!$A$5:$A$448,'Tóm tắt'!$A7)</f>
        <v>2850100</v>
      </c>
      <c r="T7" s="111">
        <f>SUMIFS(Data!R$5:R$448,Data!$A$5:$A$448,'Tóm tắt'!$A7)</f>
        <v>2172500</v>
      </c>
      <c r="U7" s="111">
        <f>SUMIFS(Data!S$5:S$448,Data!$A$5:$A$448,'Tóm tắt'!$A7)</f>
        <v>1581700</v>
      </c>
      <c r="V7" s="111">
        <f>SUMIFS(Data!T$5:T$448,Data!$A$5:$A$448,'Tóm tắt'!$A7)</f>
        <v>1699500</v>
      </c>
      <c r="W7" s="111">
        <f>SUMIFS(Data!U$5:U$448,Data!$A$5:$A$448,'Tóm tắt'!$A7)</f>
        <v>1785300</v>
      </c>
      <c r="X7" s="111">
        <f>SUMIFS(Data!V$5:V$448,Data!$A$5:$A$448,'Tóm tắt'!$A7)</f>
        <v>1272725</v>
      </c>
      <c r="Y7" s="111">
        <f>SUMIFS(Data!W$5:W$448,Data!$A$5:$A$448,'Tóm tắt'!$A7)</f>
        <v>2068000</v>
      </c>
      <c r="Z7" s="111">
        <f>SUMIFS(Data!X$5:X$448,Data!$A$5:$A$448,'Tóm tắt'!$A7)</f>
        <v>1771300</v>
      </c>
      <c r="AA7" s="111">
        <f>SUMIFS(Data!Y$5:Y$448,Data!$A$5:$A$448,'Tóm tắt'!$A7)</f>
        <v>1195100</v>
      </c>
      <c r="AB7" s="111">
        <f>SUMIFS(Data!Z$5:Z$448,Data!$A$5:$A$448,'Tóm tắt'!$A7)</f>
        <v>1399200</v>
      </c>
      <c r="AC7" s="111">
        <f>SUMIFS(Data!AA$5:AA$448,Data!$A$5:$A$448,'Tóm tắt'!$A7)</f>
        <v>816200</v>
      </c>
      <c r="AD7" s="111">
        <f>SUMIFS(Data!AB$5:AB$448,Data!$A$5:$A$448,'Tóm tắt'!$A7)</f>
        <v>1092300</v>
      </c>
      <c r="AE7" s="112">
        <f t="shared" si="2"/>
        <v>19703925</v>
      </c>
      <c r="AF7" s="111">
        <f>SUMIFS(Data!AD$5:AD$448,Data!$A$5:$A$448,'Tóm tắt'!$A7)</f>
        <v>2674100</v>
      </c>
      <c r="AG7" s="111">
        <f>SUMIFS(Data!AE$5:AE$448,Data!$A$5:$A$448,'Tóm tắt'!$A7)</f>
        <v>1868900</v>
      </c>
      <c r="AH7" s="111">
        <f>SUMIFS(Data!AF$5:AF$448,Data!$A$5:$A$448,'Tóm tắt'!$A7)</f>
        <v>2057000</v>
      </c>
      <c r="AI7" s="111">
        <f>SUMIFS(Data!AG$5:AG$448,Data!$A$5:$A$448,'Tóm tắt'!$A7)</f>
        <v>1929600</v>
      </c>
      <c r="AJ7" s="111"/>
      <c r="AK7" s="111"/>
      <c r="AL7" s="111"/>
      <c r="AM7" s="111"/>
      <c r="AN7" s="111"/>
      <c r="AO7" s="111"/>
      <c r="AP7" s="111"/>
      <c r="AQ7" s="111"/>
      <c r="AR7" s="112">
        <f t="shared" si="3"/>
        <v>8529600</v>
      </c>
      <c r="AT7" s="50" cm="1">
        <f t="array" ref="AT7">IFERROR(SUMPRODUCT(Data!D$5:D$448*Data!AQ$5:AQ$448*(Data!$A$5:$A$448='Tóm tắt'!$A7))/SUMIFS(Data!D$5:D$448,Data!$A$5:$A$448,'Tóm tắt'!$A7),0)</f>
        <v>1213.1984403104093</v>
      </c>
      <c r="AU7" s="50" cm="1">
        <f t="array" ref="AU7">IFERROR(SUMPRODUCT(Data!E$5:E$448*Data!AR$5:AR$448*(Data!$A$5:$A$448='Tóm tắt'!$A7))/SUMIFS(Data!E$5:E$448,Data!$A$5:$A$448,'Tóm tắt'!$A7),0)</f>
        <v>1214.8932270030198</v>
      </c>
      <c r="AV7" s="50" cm="1">
        <f t="array" ref="AV7">IFERROR(SUMPRODUCT(Data!F$5:F$448*Data!AS$5:AS$448*(Data!$A$5:$A$448='Tóm tắt'!$A7))/SUMIFS(Data!F$5:F$448,Data!$A$5:$A$448,'Tóm tắt'!$A7),0)</f>
        <v>1214.5032280319456</v>
      </c>
      <c r="AW7" s="50" cm="1">
        <f t="array" ref="AW7">IFERROR(SUMPRODUCT(Data!G$5:G$448*Data!AT$5:AT$448*(Data!$A$5:$A$448='Tóm tắt'!$A7))/SUMIFS(Data!G$5:G$448,Data!$A$5:$A$448,'Tóm tắt'!$A7),0)</f>
        <v>1188.461339745478</v>
      </c>
      <c r="AX7" s="50" cm="1">
        <f t="array" ref="AX7">IFERROR(SUMPRODUCT(Data!H$5:H$448*Data!AU$5:AU$448*(Data!$A$5:$A$448='Tóm tắt'!$A7))/SUMIFS(Data!H$5:H$448,Data!$A$5:$A$448,'Tóm tắt'!$A7),0)</f>
        <v>1217.1201664540306</v>
      </c>
      <c r="AY7" s="50" cm="1">
        <f t="array" ref="AY7">IFERROR(SUMPRODUCT(Data!I$5:I$448*Data!AV$5:AV$448*(Data!$A$5:$A$448='Tóm tắt'!$A7))/SUMIFS(Data!I$5:I$448,Data!$A$5:$A$448,'Tóm tắt'!$A7),0)</f>
        <v>1231.3255380885339</v>
      </c>
      <c r="AZ7" s="50" cm="1">
        <f t="array" ref="AZ7">IFERROR(SUMPRODUCT(Data!J$5:J$448*Data!AW$5:AW$448*(Data!$A$5:$A$448='Tóm tắt'!$A7))/SUMIFS(Data!J$5:J$448,Data!$A$5:$A$448,'Tóm tắt'!$A7),0)</f>
        <v>1204.910766980466</v>
      </c>
      <c r="BA7" s="50" cm="1">
        <f t="array" ref="BA7">IFERROR(SUMPRODUCT(Data!K$5:K$448*Data!AX$5:AX$448*(Data!$A$5:$A$448='Tóm tắt'!$A7))/SUMIFS(Data!K$5:K$448,Data!$A$5:$A$448,'Tóm tắt'!$A7),0)</f>
        <v>1207.1535647858802</v>
      </c>
      <c r="BB7" s="50" cm="1">
        <f t="array" ref="BB7">IFERROR(SUMPRODUCT(Data!L$5:L$448*Data!AY$5:AY$448*(Data!$A$5:$A$448='Tóm tắt'!$A7))/SUMIFS(Data!L$5:L$448,Data!$A$5:$A$448,'Tóm tắt'!$A7),0)</f>
        <v>1231.4031695281126</v>
      </c>
      <c r="BC7" s="50" cm="1">
        <f t="array" ref="BC7">IFERROR(SUMPRODUCT(Data!M$5:M$448*Data!AZ$5:AZ$448*(Data!$A$5:$A$448='Tóm tắt'!$A7))/SUMIFS(Data!M$5:M$448,Data!$A$5:$A$448,'Tóm tắt'!$A7),0)</f>
        <v>1256.8239985148441</v>
      </c>
      <c r="BD7" s="50" cm="1">
        <f t="array" ref="BD7">IFERROR(SUMPRODUCT(Data!N$5:N$448*Data!BA$5:BA$448*(Data!$A$5:$A$448='Tóm tắt'!$A7))/SUMIFS(Data!N$5:N$448,Data!$A$5:$A$448,'Tóm tắt'!$A7),0)</f>
        <v>1260.6495333332041</v>
      </c>
      <c r="BE7" s="50" cm="1">
        <f t="array" ref="BE7">IFERROR(SUMPRODUCT(Data!O$5:O$448*Data!BB$5:BB$448*(Data!$A$5:$A$448='Tóm tắt'!$A7))/SUMIFS(Data!O$5:O$448,Data!$A$5:$A$448,'Tóm tắt'!$A7),0)</f>
        <v>1264.4588829009476</v>
      </c>
      <c r="BF7" s="53" cm="1">
        <f t="array" ref="BF7">IFERROR(SUMPRODUCT(Data!P$5:P$448*Data!BC$5:BC$448*(Data!$A$5:$A$448='Tóm tắt'!$A7))/SUMIFS(Data!P$5:P$448,Data!$A$5:$A$448,'Tóm tắt'!$A7),0)</f>
        <v>1224.2711679958338</v>
      </c>
      <c r="BG7" s="50" cm="1">
        <f t="array" ref="BG7">IFERROR(SUMPRODUCT(Data!Q$5:Q$448*Data!BD$5:BD$448*(Data!$A$5:$A$448='Tóm tắt'!$A7))/SUMIFS(Data!Q$5:Q$448,Data!$A$5:$A$448,'Tóm tắt'!$A7),0)</f>
        <v>1198.4682210274464</v>
      </c>
      <c r="BH7" s="50" cm="1">
        <f t="array" ref="BH7">IFERROR(SUMPRODUCT(Data!R$5:R$448*Data!BE$5:BE$448*(Data!$A$5:$A$448='Tóm tắt'!$A7))/SUMIFS(Data!R$5:R$448,Data!$A$5:$A$448,'Tóm tắt'!$A7),0)</f>
        <v>1249.8588127500557</v>
      </c>
      <c r="BI7" s="50" cm="1">
        <f t="array" ref="BI7">IFERROR(SUMPRODUCT(Data!S$5:S$448*Data!BF$5:BF$448*(Data!$A$5:$A$448='Tóm tắt'!$A7))/SUMIFS(Data!S$5:S$448,Data!$A$5:$A$448,'Tóm tắt'!$A7),0)</f>
        <v>1228.4670473624285</v>
      </c>
      <c r="BJ7" s="50" cm="1">
        <f t="array" ref="BJ7">IFERROR(SUMPRODUCT(Data!T$5:T$448*Data!BG$5:BG$448*(Data!$A$5:$A$448='Tóm tắt'!$A7))/SUMIFS(Data!T$5:T$448,Data!$A$5:$A$448,'Tóm tắt'!$A7),0)</f>
        <v>1197.405860463301</v>
      </c>
      <c r="BK7" s="50" cm="1">
        <f t="array" ref="BK7">IFERROR(SUMPRODUCT(Data!U$5:U$448*Data!BH$5:BH$448*(Data!$A$5:$A$448='Tóm tắt'!$A7))/SUMIFS(Data!U$5:U$448,Data!$A$5:$A$448,'Tóm tắt'!$A7),0)</f>
        <v>1199.7430423628871</v>
      </c>
      <c r="BL7" s="50" cm="1">
        <f t="array" ref="BL7">IFERROR(SUMPRODUCT(Data!V$5:V$448*Data!BI$5:BI$448*(Data!$A$5:$A$448='Tóm tắt'!$A7))/SUMIFS(Data!V$5:V$448,Data!$A$5:$A$448,'Tóm tắt'!$A7),0)</f>
        <v>1206.1507595899714</v>
      </c>
      <c r="BM7" s="50" cm="1">
        <f t="array" ref="BM7">IFERROR(SUMPRODUCT(Data!W$5:W$448*Data!BJ$5:BJ$448*(Data!$A$5:$A$448='Tóm tắt'!$A7))/SUMIFS(Data!W$5:W$448,Data!$A$5:$A$448,'Tóm tắt'!$A7),0)</f>
        <v>1196.8077542691233</v>
      </c>
      <c r="BN7" s="50" cm="1">
        <f t="array" ref="BN7">IFERROR(SUMPRODUCT(Data!X$5:X$448*Data!BK$5:BK$448*(Data!$A$5:$A$448='Tóm tắt'!$A7))/SUMIFS(Data!X$5:X$448,Data!$A$5:$A$448,'Tóm tắt'!$A7),0)</f>
        <v>1168.1324488662431</v>
      </c>
      <c r="BO7" s="50" cm="1">
        <f t="array" ref="BO7">IFERROR(SUMPRODUCT(Data!Y$5:Y$448*Data!BL$5:BL$448*(Data!$A$5:$A$448='Tóm tắt'!$A7))/SUMIFS(Data!Y$5:Y$448,Data!$A$5:$A$448,'Tóm tắt'!$A7),0)</f>
        <v>1205.1231606356473</v>
      </c>
      <c r="BP7" s="50" cm="1">
        <f t="array" ref="BP7">IFERROR(SUMPRODUCT(Data!Z$5:Z$448*Data!BM$5:BM$448*(Data!$A$5:$A$448='Tóm tắt'!$A7))/SUMIFS(Data!Z$5:Z$448,Data!$A$5:$A$448,'Tóm tắt'!$A7),0)</f>
        <v>1204.6606660541058</v>
      </c>
      <c r="BQ7" s="50" cm="1">
        <f t="array" ref="BQ7">IFERROR(SUMPRODUCT(Data!AA$5:AA$448*Data!BN$5:BN$448*(Data!$A$5:$A$448='Tóm tắt'!$A7))/SUMIFS(Data!AA$5:AA$448,Data!$A$5:$A$448,'Tóm tắt'!$A7),0)</f>
        <v>1207.8536720403783</v>
      </c>
      <c r="BR7" s="50" cm="1">
        <f t="array" ref="BR7">IFERROR(SUMPRODUCT(Data!AB$5:AB$448*Data!BO$5:BO$448*(Data!$A$5:$A$448='Tóm tắt'!$A7))/SUMIFS(Data!AB$5:AB$448,Data!$A$5:$A$448,'Tóm tắt'!$A7),0)</f>
        <v>1180.2375441497661</v>
      </c>
      <c r="BS7" s="53" cm="1">
        <f t="array" ref="BS7">IFERROR(SUMPRODUCT(Data!AC$5:AC$448*Data!BP$5:BP$448*(Data!$A$5:$A$448='Tóm tắt'!$A7))/SUMIFS(Data!AC$5:AC$448,Data!$A$5:$A$448,'Tóm tắt'!$A7),0)</f>
        <v>1204.2755925836173</v>
      </c>
      <c r="BT7" s="50" cm="1">
        <f t="array" ref="BT7">IFERROR(SUMPRODUCT(Data!AD$5:AD$448*Data!BQ$5:BQ$448*(Data!$A$5:$A$448='Tóm tắt'!$A7))/SUMIFS(Data!AD$5:AD$448,Data!$A$5:$A$448,'Tóm tắt'!$A7),0)</f>
        <v>1101.5663229475324</v>
      </c>
      <c r="BU7" s="50" cm="1">
        <f t="array" ref="BU7">IFERROR(SUMPRODUCT(Data!AE$5:AE$448*Data!BR$5:BR$448*(Data!$A$5:$A$448='Tóm tắt'!$A7))/SUMIFS(Data!AE$5:AE$448,Data!$A$5:$A$448,'Tóm tắt'!$A7),0)</f>
        <v>1087.3576945612749</v>
      </c>
      <c r="BV7" s="50" cm="1">
        <f t="array" ref="BV7">IFERROR(SUMPRODUCT(Data!AF$5:AF$448*Data!BS$5:BS$448*(Data!$A$5:$A$448='Tóm tắt'!$A7))/SUMIFS(Data!AF$5:AF$448,Data!$A$5:$A$448,'Tóm tắt'!$A7),0)</f>
        <v>1100.0380334808431</v>
      </c>
      <c r="BW7" s="50" cm="1">
        <f t="array" ref="BW7">IFERROR(SUMPRODUCT(Data!AG$5:AG$448*Data!BT$5:BT$448*(Data!$A$5:$A$448='Tóm tắt'!$A7))/SUMIFS(Data!AG$5:AG$448,Data!$A$5:$A$448,'Tóm tắt'!$A7),0)</f>
        <v>1169.4485724582905</v>
      </c>
      <c r="BX7" s="50" cm="1">
        <f t="array" ref="BX7">IFERROR(SUMPRODUCT(Data!AH$5:AH$448*Data!BU$5:BU$448*(Data!$A$5:$A$448='Tóm tắt'!$A7))/SUMIFS(Data!AH$5:AH$448,Data!$A$5:$A$448,'Tóm tắt'!$A7),0)</f>
        <v>0</v>
      </c>
      <c r="BY7" s="50" cm="1">
        <f t="array" ref="BY7">IFERROR(SUMPRODUCT(Data!AI$5:AI$448*Data!BV$5:BV$448*(Data!$A$5:$A$448='Tóm tắt'!$A7))/SUMIFS(Data!AI$5:AI$448,Data!$A$5:$A$448,'Tóm tắt'!$A7),0)</f>
        <v>0</v>
      </c>
      <c r="BZ7" s="50" cm="1">
        <f t="array" ref="BZ7">IFERROR(SUMPRODUCT(Data!AJ$5:AJ$448*Data!BW$5:BW$448*(Data!$A$5:$A$448='Tóm tắt'!$A7))/SUMIFS(Data!AJ$5:AJ$448,Data!$A$5:$A$448,'Tóm tắt'!$A7),0)</f>
        <v>0</v>
      </c>
      <c r="CA7" s="50" cm="1">
        <f t="array" ref="CA7">IFERROR(SUMPRODUCT(Data!AK$5:AK$448*Data!BX$5:BX$448*(Data!$A$5:$A$448='Tóm tắt'!$A7))/SUMIFS(Data!AK$5:AK$448,Data!$A$5:$A$448,'Tóm tắt'!$A7),0)</f>
        <v>0</v>
      </c>
      <c r="CB7" s="50" cm="1">
        <f t="array" ref="CB7">IFERROR(SUMPRODUCT(Data!AL$5:AL$448*Data!BY$5:BY$448*(Data!$A$5:$A$448='Tóm tắt'!$A7))/SUMIFS(Data!AL$5:AL$448,Data!$A$5:$A$448,'Tóm tắt'!$A7),0)</f>
        <v>0</v>
      </c>
      <c r="CC7" s="50" cm="1">
        <f t="array" ref="CC7">IFERROR(SUMPRODUCT(Data!AM$5:AM$448*Data!BZ$5:BZ$448*(Data!$A$5:$A$448='Tóm tắt'!$A7))/SUMIFS(Data!AM$5:AM$448,Data!$A$5:$A$448,'Tóm tắt'!$A7),0)</f>
        <v>0</v>
      </c>
      <c r="CD7" s="50" cm="1">
        <f t="array" ref="CD7">IFERROR(SUMPRODUCT(Data!AN$5:AN$448*Data!CA$5:CA$448*(Data!$A$5:$A$448='Tóm tắt'!$A7))/SUMIFS(Data!AN$5:AN$448,Data!$A$5:$A$448,'Tóm tắt'!$A7),0)</f>
        <v>0</v>
      </c>
      <c r="CE7" s="50" cm="1">
        <f t="array" ref="CE7">IFERROR(SUMPRODUCT(Data!AO$5:AO$448*Data!CB$5:CB$448*(Data!$A$5:$A$448='Tóm tắt'!$A7))/SUMIFS(Data!AO$5:AO$448,Data!$A$5:$A$448,'Tóm tắt'!$A7),0)</f>
        <v>0</v>
      </c>
      <c r="CF7" s="53" cm="1">
        <f t="array" ref="CF7">IFERROR(SUMPRODUCT(Data!AP$5:AP$448*Data!CC$5:CC$448*(Data!$A$5:$A$448='Tóm tắt'!$A7))/SUMIFS(Data!AP$5:AP$448,Data!$A$5:$A$448,'Tóm tắt'!$A7),0)</f>
        <v>1113.441134384399</v>
      </c>
      <c r="CH7" s="50" cm="1">
        <f t="array" ref="CH7">IFERROR(SUMPRODUCT(Data!CD$5:CD$448*Data!D$5:D$448*(Data!$A$5:$A$448='Tóm tắt'!$A7))/SUMIFS(Data!D$5:D$448,Data!$A$5:$A$448,'Tóm tắt'!$A7),0)</f>
        <v>22677.158798201581</v>
      </c>
      <c r="CI7" s="50" cm="1">
        <f t="array" ref="CI7">IFERROR(SUMPRODUCT(Data!CE$5:CE$448*Data!E$5:E$448*(Data!$A$5:$A$448='Tóm tắt'!$A7))/SUMIFS(Data!E$5:E$448,Data!$A$5:$A$448,'Tóm tắt'!$A7),0)</f>
        <v>23766.920436410433</v>
      </c>
      <c r="CJ7" s="50" cm="1">
        <f t="array" ref="CJ7">IFERROR(SUMPRODUCT(Data!CF$5:CF$448*Data!F$5:F$448*(Data!$A$5:$A$448='Tóm tắt'!$A7))/SUMIFS(Data!F$5:F$448,Data!$A$5:$A$448,'Tóm tắt'!$A7),0)</f>
        <v>23757.094120409212</v>
      </c>
      <c r="CK7" s="50" cm="1">
        <f t="array" ref="CK7">IFERROR(SUMPRODUCT(Data!CG$5:CG$448*Data!G$5:G$448*(Data!$A$5:$A$448='Tóm tắt'!$A7))/SUMIFS(Data!G$5:G$448,Data!$A$5:$A$448,'Tóm tắt'!$A7),0)</f>
        <v>23816.000300751868</v>
      </c>
      <c r="CL7" s="50" cm="1">
        <f t="array" ref="CL7">IFERROR(SUMPRODUCT(Data!CH$5:CH$448*Data!H$5:H$448*(Data!$A$5:$A$448='Tóm tắt'!$A7))/SUMIFS(Data!H$5:H$448,Data!$A$5:$A$448,'Tóm tắt'!$A7),0)</f>
        <v>24951.225695388646</v>
      </c>
      <c r="CM7" s="50" cm="1">
        <f t="array" ref="CM7">IFERROR(SUMPRODUCT(Data!CI$5:CI$448*Data!I$5:I$448*(Data!$A$5:$A$448='Tóm tắt'!$A7))/SUMIFS(Data!I$5:I$448,Data!$A$5:$A$448,'Tóm tắt'!$A7),0)</f>
        <v>24543.866072173914</v>
      </c>
      <c r="CN7" s="50" cm="1">
        <f t="array" ref="CN7">IFERROR(SUMPRODUCT(Data!CJ$5:CJ$448*Data!J$5:J$448*(Data!$A$5:$A$448='Tóm tắt'!$A7))/SUMIFS(Data!J$5:J$448,Data!$A$5:$A$448,'Tóm tắt'!$A7),0)</f>
        <v>24508.522088841462</v>
      </c>
      <c r="CO7" s="50" cm="1">
        <f t="array" ref="CO7">IFERROR(SUMPRODUCT(Data!CK$5:CK$448*Data!K$5:K$448*(Data!$A$5:$A$448='Tóm tắt'!$A7))/SUMIFS(Data!K$5:K$448,Data!$A$5:$A$448,'Tóm tắt'!$A7),0)</f>
        <v>24710.338686803898</v>
      </c>
      <c r="CP7" s="50" cm="1">
        <f t="array" ref="CP7">IFERROR(SUMPRODUCT(Data!CL$5:CL$448*Data!L$5:L$448*(Data!$A$5:$A$448='Tóm tắt'!$A7))/SUMIFS(Data!L$5:L$448,Data!$A$5:$A$448,'Tóm tắt'!$A7),0)</f>
        <v>24614.028918661978</v>
      </c>
      <c r="CQ7" s="50" cm="1">
        <f t="array" ref="CQ7">IFERROR(SUMPRODUCT(Data!CM$5:CM$448*Data!M$5:M$448*(Data!$A$5:$A$448='Tóm tắt'!$A7))/SUMIFS(Data!M$5:M$448,Data!$A$5:$A$448,'Tóm tắt'!$A7),0)</f>
        <v>25145.245029023394</v>
      </c>
      <c r="CR7" s="50" cm="1">
        <f t="array" ref="CR7">IFERROR(SUMPRODUCT(Data!CN$5:CN$448*Data!N$5:N$448*(Data!$A$5:$A$448='Tóm tắt'!$A7))/SUMIFS(Data!N$5:N$448,Data!$A$5:$A$448,'Tóm tắt'!$A7),0)</f>
        <v>23889.380517166926</v>
      </c>
      <c r="CS7" s="50" cm="1">
        <f t="array" ref="CS7">IFERROR(SUMPRODUCT(Data!CO$5:CO$448*Data!O$5:O$448*(Data!$A$5:$A$448='Tóm tắt'!$A7))/SUMIFS(Data!O$5:O$448,Data!$A$5:$A$448,'Tóm tắt'!$A7),0)</f>
        <v>25440.18510297731</v>
      </c>
      <c r="CT7" s="105" cm="1">
        <f t="array" ref="CT7">IFERROR(SUMPRODUCT(Data!CP$5:CP$448*Data!P$5:P$448*(Data!$A$5:$A$448='Tóm tắt'!$A7))/SUMIFS(Data!P$5:P$448,Data!$A$5:$A$448,'Tóm tắt'!$A7),0)</f>
        <v>24398.788390546506</v>
      </c>
      <c r="CU7" s="50" cm="1">
        <f t="array" ref="CU7">IFERROR(SUMPRODUCT(Data!CQ$5:CQ$448*Data!Q$5:Q$448*(Data!$A$5:$A$448='Tóm tắt'!$A7))/SUMIFS(Data!Q$5:Q$448,Data!$A$5:$A$448,'Tóm tắt'!$A7),0)</f>
        <v>25584.521870380482</v>
      </c>
      <c r="CV7" s="50" cm="1">
        <f t="array" ref="CV7">IFERROR(SUMPRODUCT(Data!CR$5:CR$448*Data!R$5:R$448*(Data!$A$5:$A$448='Tóm tắt'!$A7))/SUMIFS(Data!R$5:R$448,Data!$A$5:$A$448,'Tóm tắt'!$A7),0)</f>
        <v>25060.438721749131</v>
      </c>
      <c r="CW7" s="50" cm="1">
        <f t="array" ref="CW7">IFERROR(SUMPRODUCT(Data!CS$5:CS$448*Data!S$5:S$448*(Data!$A$5:$A$448='Tóm tắt'!$A7))/SUMIFS(Data!S$5:S$448,Data!$A$5:$A$448,'Tóm tắt'!$A7),0)</f>
        <v>26237.511626098498</v>
      </c>
      <c r="CX7" s="50" cm="1">
        <f t="array" ref="CX7">IFERROR(SUMPRODUCT(Data!CT$5:CT$448*Data!T$5:T$448*(Data!$A$5:$A$448='Tóm tắt'!$A7))/SUMIFS(Data!T$5:T$448,Data!$A$5:$A$448,'Tóm tắt'!$A7),0)</f>
        <v>26870.734739040869</v>
      </c>
      <c r="CY7" s="50" cm="1">
        <f t="array" ref="CY7">IFERROR(SUMPRODUCT(Data!CU$5:CU$448*Data!U$5:U$448*(Data!$A$5:$A$448='Tóm tắt'!$A7))/SUMIFS(Data!U$5:U$448,Data!$A$5:$A$448,'Tóm tắt'!$A7),0)</f>
        <v>27142.562728392975</v>
      </c>
      <c r="CZ7" s="50" cm="1">
        <f t="array" ref="CZ7">IFERROR(SUMPRODUCT(Data!CV$5:CV$448*Data!V$5:V$448*(Data!$A$5:$A$448='Tóm tắt'!$A7))/SUMIFS(Data!V$5:V$448,Data!$A$5:$A$448,'Tóm tắt'!$A7),0)</f>
        <v>27964.308498693772</v>
      </c>
      <c r="DA7" s="50" cm="1">
        <f t="array" ref="DA7">IFERROR(SUMPRODUCT(Data!CW$5:CW$448*Data!W$5:W$448*(Data!$A$5:$A$448='Tóm tắt'!$A7))/SUMIFS(Data!W$5:W$448,Data!$A$5:$A$448,'Tóm tắt'!$A7),0)</f>
        <v>28505.692332204999</v>
      </c>
      <c r="DB7" s="50" cm="1">
        <f t="array" ref="DB7">IFERROR(SUMPRODUCT(Data!CX$5:CX$448*Data!X$5:X$448*(Data!$A$5:$A$448='Tóm tắt'!$A7))/SUMIFS(Data!X$5:X$448,Data!$A$5:$A$448,'Tóm tắt'!$A7),0)</f>
        <v>27773.820478179907</v>
      </c>
      <c r="DC7" s="50" cm="1">
        <f t="array" ref="DC7">IFERROR(SUMPRODUCT(Data!CY$5:CY$448*Data!Y$5:Y$448*(Data!$A$5:$A$448='Tóm tắt'!$A7))/SUMIFS(Data!Y$5:Y$448,Data!$A$5:$A$448,'Tóm tắt'!$A7),0)</f>
        <v>26804.874072462586</v>
      </c>
      <c r="DD7" s="50" cm="1">
        <f t="array" ref="DD7">IFERROR(SUMPRODUCT(Data!CZ$5:CZ$448*Data!Z$5:Z$448*(Data!$A$5:$A$448='Tóm tắt'!$A7))/SUMIFS(Data!Z$5:Z$448,Data!$A$5:$A$448,'Tóm tắt'!$A7),0)</f>
        <v>26546.40542738705</v>
      </c>
      <c r="DE7" s="50" cm="1">
        <f t="array" ref="DE7">IFERROR(SUMPRODUCT(Data!DA$5:DA$448*Data!AA$5:AA$448*(Data!$A$5:$A$448='Tóm tắt'!$A7))/SUMIFS(Data!AA$5:AA$448,Data!$A$5:$A$448,'Tóm tắt'!$A7),0)</f>
        <v>26997.945496201912</v>
      </c>
      <c r="DF7" s="50" cm="1">
        <f t="array" ref="DF7">IFERROR(SUMPRODUCT(Data!DB$5:DB$448*Data!AB$5:AB$448*(Data!$A$5:$A$448='Tóm tắt'!$A7))/SUMIFS(Data!AB$5:AB$448,Data!$A$5:$A$448,'Tóm tắt'!$A7),0)</f>
        <v>26664.70009948092</v>
      </c>
      <c r="DG7" s="105" cm="1">
        <f t="array" ref="DG7">IFERROR(SUMPRODUCT(Data!DC$5:DC$448*Data!AC$5:AC$448*(Data!$A$5:$A$448='Tóm tắt'!$A7))/SUMIFS(Data!AC$5:AC$448,Data!$A$5:$A$448,'Tóm tắt'!$A7),0)</f>
        <v>26749.126226040491</v>
      </c>
      <c r="DH7" s="50" cm="1">
        <f t="array" ref="DH7">IFERROR(SUMPRODUCT(Data!DD$5:DD$448*Data!AD$5:AD$448*(Data!$A$5:$A$448='Tóm tắt'!$A7))/SUMIFS(Data!AD$5:AD$448,Data!$A$5:$A$448,'Tóm tắt'!$A7),0)</f>
        <v>26146.775177092783</v>
      </c>
      <c r="DI7" s="50" cm="1">
        <f t="array" ref="DI7">IFERROR(SUMPRODUCT(Data!DE$5:DE$448*Data!AE$5:AE$448*(Data!$A$5:$A$448='Tóm tắt'!$A7))/SUMIFS(Data!AE$5:AE$448,Data!$A$5:$A$448,'Tóm tắt'!$A7),0)</f>
        <v>27601.980685429895</v>
      </c>
      <c r="DJ7" s="50" cm="1">
        <f t="array" ref="DJ7">IFERROR(SUMPRODUCT(Data!DF$5:DF$448*Data!AF$5:AF$448*(Data!$A$5:$A$448='Tóm tắt'!$A7))/SUMIFS(Data!AF$5:AF$448,Data!$A$5:$A$448,'Tóm tắt'!$A7),0)</f>
        <v>25755.492243558565</v>
      </c>
      <c r="DK7" s="50" cm="1">
        <f t="array" ref="DK7">IFERROR(SUMPRODUCT(Data!DG$5:DG$448*Data!AG$5:AG$448*(Data!$A$5:$A$448='Tóm tắt'!$A7))/SUMIFS(Data!AG$5:AG$448,Data!$A$5:$A$448,'Tóm tắt'!$A7),0)</f>
        <v>25708.098016532029</v>
      </c>
      <c r="DL7" s="50" cm="1">
        <f t="array" ref="DL7">IFERROR(SUMPRODUCT(Data!DH$5:DH$448*Data!AH$5:AH$448*(Data!$A$5:$A$448='Tóm tắt'!$A7))/SUMIFS(Data!AH$5:AH$448,Data!$A$5:$A$448,'Tóm tắt'!$A7),0)</f>
        <v>0</v>
      </c>
      <c r="DM7" s="50" cm="1">
        <f t="array" ref="DM7">IFERROR(SUMPRODUCT(Data!DI$5:DI$448*Data!AI$5:AI$448*(Data!$A$5:$A$448='Tóm tắt'!$A7))/SUMIFS(Data!AI$5:AI$448,Data!$A$5:$A$448,'Tóm tắt'!$A7),0)</f>
        <v>0</v>
      </c>
      <c r="DN7" s="50" cm="1">
        <f t="array" ref="DN7">IFERROR(SUMPRODUCT(Data!DJ$5:DJ$448*Data!AJ$5:AJ$448*(Data!$A$5:$A$448='Tóm tắt'!$A7))/SUMIFS(Data!AJ$5:AJ$448,Data!$A$5:$A$448,'Tóm tắt'!$A7),0)</f>
        <v>0</v>
      </c>
      <c r="DO7" s="50" cm="1">
        <f t="array" ref="DO7">IFERROR(SUMPRODUCT(Data!DK$5:DK$448*Data!AK$5:AK$448*(Data!$A$5:$A$448='Tóm tắt'!$A7))/SUMIFS(Data!AK$5:AK$448,Data!$A$5:$A$448,'Tóm tắt'!$A7),0)</f>
        <v>0</v>
      </c>
      <c r="DP7" s="50" cm="1">
        <f t="array" ref="DP7">IFERROR(SUMPRODUCT(Data!DL$5:DL$448*Data!AL$5:AL$448*(Data!$A$5:$A$448='Tóm tắt'!$A7))/SUMIFS(Data!AL$5:AL$448,Data!$A$5:$A$448,'Tóm tắt'!$A7),0)</f>
        <v>0</v>
      </c>
      <c r="DQ7" s="50" cm="1">
        <f t="array" ref="DQ7">IFERROR(SUMPRODUCT(Data!DM$5:DM$448*Data!AM$5:AM$448*(Data!$A$5:$A$448='Tóm tắt'!$A7))/SUMIFS(Data!AM$5:AM$448,Data!$A$5:$A$448,'Tóm tắt'!$A7),0)</f>
        <v>0</v>
      </c>
      <c r="DR7" s="50" cm="1">
        <f t="array" ref="DR7">IFERROR(SUMPRODUCT(Data!DN$5:DN$448*Data!AN$5:AN$448*(Data!$A$5:$A$448='Tóm tắt'!$A7))/SUMIFS(Data!AN$5:AN$448,Data!$A$5:$A$448,'Tóm tắt'!$A7),0)</f>
        <v>0</v>
      </c>
      <c r="DS7" s="50" cm="1">
        <f t="array" ref="DS7">IFERROR(SUMPRODUCT(Data!DO$5:DO$448*Data!AO$5:AO$448*(Data!$A$5:$A$448='Tóm tắt'!$A7))/SUMIFS(Data!AO$5:AO$448,Data!$A$5:$A$448,'Tóm tắt'!$A7),0)</f>
        <v>0</v>
      </c>
      <c r="DT7" s="105" cm="1">
        <f t="array" ref="DT7">IFERROR(SUMPRODUCT(Data!DP$5:DP$448*Data!AP$5:AP$448*(Data!$A$5:$A$448='Tóm tắt'!$A7))/SUMIFS(Data!AP$5:AP$448,Data!$A$5:$A$448,'Tóm tắt'!$A7),0)</f>
        <v>26272.020573270045</v>
      </c>
      <c r="DV7" s="105">
        <f t="shared" si="0"/>
        <v>6035.1008645832626</v>
      </c>
      <c r="DW7" s="104">
        <f t="shared" si="4"/>
        <v>4306.8815878382775</v>
      </c>
      <c r="DX7" s="104">
        <f t="shared" si="5"/>
        <v>2882.3152502461635</v>
      </c>
      <c r="DZ7" s="124">
        <f t="shared" si="6"/>
        <v>0.55787339598536267</v>
      </c>
      <c r="EA7" s="120">
        <f t="shared" si="7"/>
        <v>0.46978445578171191</v>
      </c>
      <c r="EB7" s="125">
        <f t="shared" si="8"/>
        <v>0.51602755099262831</v>
      </c>
      <c r="ED7" s="66">
        <f t="shared" si="9"/>
        <v>0.19830199203232035</v>
      </c>
      <c r="EE7" s="66">
        <f t="shared" si="10"/>
        <v>0.13868110845572224</v>
      </c>
      <c r="EF7" s="66">
        <f t="shared" si="11"/>
        <v>9.8864034073492979E-2</v>
      </c>
    </row>
    <row r="8" spans="1:138" x14ac:dyDescent="0.35">
      <c r="A8" s="48" t="s">
        <v>365</v>
      </c>
      <c r="B8" s="43">
        <v>4</v>
      </c>
      <c r="C8" s="40" t="s">
        <v>365</v>
      </c>
      <c r="D8" s="40" t="s">
        <v>378</v>
      </c>
      <c r="F8" s="111">
        <f>SUMIFS(Data!D$5:D$448,Data!$A$5:$A$448,'Tóm tắt'!$A8)</f>
        <v>440000</v>
      </c>
      <c r="G8" s="111">
        <f>SUMIFS(Data!E$5:E$448,Data!$A$5:$A$448,'Tóm tắt'!$A8)</f>
        <v>0</v>
      </c>
      <c r="H8" s="111">
        <f>SUMIFS(Data!F$5:F$448,Data!$A$5:$A$448,'Tóm tắt'!$A8)</f>
        <v>176000</v>
      </c>
      <c r="I8" s="111">
        <f>SUMIFS(Data!G$5:G$448,Data!$A$5:$A$448,'Tóm tắt'!$A8)</f>
        <v>441100</v>
      </c>
      <c r="J8" s="111">
        <f>SUMIFS(Data!H$5:H$448,Data!$A$5:$A$448,'Tóm tắt'!$A8)</f>
        <v>330025</v>
      </c>
      <c r="K8" s="111">
        <f>SUMIFS(Data!I$5:I$448,Data!$A$5:$A$448,'Tóm tắt'!$A8)</f>
        <v>110000</v>
      </c>
      <c r="L8" s="111">
        <f>SUMIFS(Data!J$5:J$448,Data!$A$5:$A$448,'Tóm tắt'!$A8)</f>
        <v>1100</v>
      </c>
      <c r="M8" s="111">
        <f>SUMIFS(Data!K$5:K$448,Data!$A$5:$A$448,'Tóm tắt'!$A8)</f>
        <v>5500</v>
      </c>
      <c r="N8" s="111">
        <f>SUMIFS(Data!L$5:L$448,Data!$A$5:$A$448,'Tóm tắt'!$A8)</f>
        <v>88000</v>
      </c>
      <c r="O8" s="111">
        <f>SUMIFS(Data!M$5:M$448,Data!$A$5:$A$448,'Tóm tắt'!$A8)</f>
        <v>147400</v>
      </c>
      <c r="P8" s="111">
        <f>SUMIFS(Data!N$5:N$448,Data!$A$5:$A$448,'Tóm tắt'!$A8)</f>
        <v>0</v>
      </c>
      <c r="Q8" s="111">
        <f>SUMIFS(Data!O$5:O$448,Data!$A$5:$A$448,'Tóm tắt'!$A8)</f>
        <v>1100</v>
      </c>
      <c r="R8" s="112">
        <f t="shared" si="1"/>
        <v>1740225</v>
      </c>
      <c r="S8" s="111">
        <f>SUMIFS(Data!Q$5:Q$448,Data!$A$5:$A$448,'Tóm tắt'!$A8)</f>
        <v>0</v>
      </c>
      <c r="T8" s="111">
        <f>SUMIFS(Data!R$5:R$448,Data!$A$5:$A$448,'Tóm tắt'!$A8)</f>
        <v>45100</v>
      </c>
      <c r="U8" s="111">
        <f>SUMIFS(Data!S$5:S$448,Data!$A$5:$A$448,'Tóm tắt'!$A8)</f>
        <v>231000</v>
      </c>
      <c r="V8" s="111">
        <f>SUMIFS(Data!T$5:T$448,Data!$A$5:$A$448,'Tóm tắt'!$A8)</f>
        <v>154000</v>
      </c>
      <c r="W8" s="111">
        <f>SUMIFS(Data!U$5:U$448,Data!$A$5:$A$448,'Tóm tắt'!$A8)</f>
        <v>11000</v>
      </c>
      <c r="X8" s="111">
        <f>SUMIFS(Data!V$5:V$448,Data!$A$5:$A$448,'Tóm tắt'!$A8)</f>
        <v>44000</v>
      </c>
      <c r="Y8" s="111">
        <f>SUMIFS(Data!W$5:W$448,Data!$A$5:$A$448,'Tóm tắt'!$A8)</f>
        <v>374850</v>
      </c>
      <c r="Z8" s="111">
        <f>SUMIFS(Data!X$5:X$448,Data!$A$5:$A$448,'Tóm tắt'!$A8)</f>
        <v>44000</v>
      </c>
      <c r="AA8" s="111">
        <f>SUMIFS(Data!Y$5:Y$448,Data!$A$5:$A$448,'Tóm tắt'!$A8)</f>
        <v>67100</v>
      </c>
      <c r="AB8" s="111">
        <f>SUMIFS(Data!Z$5:Z$448,Data!$A$5:$A$448,'Tóm tắt'!$A8)</f>
        <v>264000</v>
      </c>
      <c r="AC8" s="111">
        <f>SUMIFS(Data!AA$5:AA$448,Data!$A$5:$A$448,'Tóm tắt'!$A8)</f>
        <v>0</v>
      </c>
      <c r="AD8" s="111">
        <f>SUMIFS(Data!AB$5:AB$448,Data!$A$5:$A$448,'Tóm tắt'!$A8)</f>
        <v>0</v>
      </c>
      <c r="AE8" s="112">
        <f t="shared" si="2"/>
        <v>1235050</v>
      </c>
      <c r="AF8" s="111">
        <f>SUMIFS(Data!AD$5:AD$448,Data!$A$5:$A$448,'Tóm tắt'!$A8)</f>
        <v>2200</v>
      </c>
      <c r="AG8" s="111">
        <f>SUMIFS(Data!AE$5:AE$448,Data!$A$5:$A$448,'Tóm tắt'!$A8)</f>
        <v>5500</v>
      </c>
      <c r="AH8" s="111">
        <f>SUMIFS(Data!AF$5:AF$448,Data!$A$5:$A$448,'Tóm tắt'!$A8)</f>
        <v>440150</v>
      </c>
      <c r="AI8" s="111">
        <f>SUMIFS(Data!AG$5:AG$448,Data!$A$5:$A$448,'Tóm tắt'!$A8)</f>
        <v>798600</v>
      </c>
      <c r="AJ8" s="111"/>
      <c r="AK8" s="111"/>
      <c r="AL8" s="111"/>
      <c r="AM8" s="111"/>
      <c r="AN8" s="111"/>
      <c r="AO8" s="111"/>
      <c r="AP8" s="111"/>
      <c r="AQ8" s="111"/>
      <c r="AR8" s="112">
        <f t="shared" si="3"/>
        <v>1246450</v>
      </c>
      <c r="AT8" s="50" cm="1">
        <f t="array" ref="AT8">IFERROR(SUMPRODUCT(Data!D$5:D$448*Data!AQ$5:AQ$448*(Data!$A$5:$A$448='Tóm tắt'!$A8))/SUMIFS(Data!D$5:D$448,Data!$A$5:$A$448,'Tóm tắt'!$A8),0)</f>
        <v>1100.8707469830874</v>
      </c>
      <c r="AU8" s="50" cm="1">
        <f t="array" ref="AU8">IFERROR(SUMPRODUCT(Data!E$5:E$448*Data!AR$5:AR$448*(Data!$A$5:$A$448='Tóm tắt'!$A8))/SUMIFS(Data!E$5:E$448,Data!$A$5:$A$448,'Tóm tắt'!$A8),0)</f>
        <v>0</v>
      </c>
      <c r="AV8" s="50" cm="1">
        <f t="array" ref="AV8">IFERROR(SUMPRODUCT(Data!F$5:F$448*Data!AS$5:AS$448*(Data!$A$5:$A$448='Tóm tắt'!$A8))/SUMIFS(Data!F$5:F$448,Data!$A$5:$A$448,'Tóm tắt'!$A8),0)</f>
        <v>1078.9487418926278</v>
      </c>
      <c r="AW8" s="50" cm="1">
        <f t="array" ref="AW8">IFERROR(SUMPRODUCT(Data!G$5:G$448*Data!AT$5:AT$448*(Data!$A$5:$A$448='Tóm tắt'!$A8))/SUMIFS(Data!G$5:G$448,Data!$A$5:$A$448,'Tóm tắt'!$A8),0)</f>
        <v>1054.6320439410076</v>
      </c>
      <c r="AX8" s="50" cm="1">
        <f t="array" ref="AX8">IFERROR(SUMPRODUCT(Data!H$5:H$448*Data!AU$5:AU$448*(Data!$A$5:$A$448='Tóm tắt'!$A8))/SUMIFS(Data!H$5:H$448,Data!$A$5:$A$448,'Tóm tắt'!$A8),0)</f>
        <v>1049.6031992220082</v>
      </c>
      <c r="AY8" s="50" cm="1">
        <f t="array" ref="AY8">IFERROR(SUMPRODUCT(Data!I$5:I$448*Data!AV$5:AV$448*(Data!$A$5:$A$448='Tóm tắt'!$A8))/SUMIFS(Data!I$5:I$448,Data!$A$5:$A$448,'Tóm tắt'!$A8),0)</f>
        <v>1061.9428643776796</v>
      </c>
      <c r="AZ8" s="50" cm="1">
        <f t="array" ref="AZ8">IFERROR(SUMPRODUCT(Data!J$5:J$448*Data!AW$5:AW$448*(Data!$A$5:$A$448='Tóm tắt'!$A8))/SUMIFS(Data!J$5:J$448,Data!$A$5:$A$448,'Tóm tắt'!$A8),0)</f>
        <v>1046.6680149400099</v>
      </c>
      <c r="BA8" s="50" cm="1">
        <f t="array" ref="BA8">IFERROR(SUMPRODUCT(Data!K$5:K$448*Data!AX$5:AX$448*(Data!$A$5:$A$448='Tóm tắt'!$A8))/SUMIFS(Data!K$5:K$448,Data!$A$5:$A$448,'Tóm tắt'!$A8),0)</f>
        <v>1220.8141881198053</v>
      </c>
      <c r="BB8" s="50" cm="1">
        <f t="array" ref="BB8">IFERROR(SUMPRODUCT(Data!L$5:L$448*Data!AY$5:AY$448*(Data!$A$5:$A$448='Tóm tắt'!$A8))/SUMIFS(Data!L$5:L$448,Data!$A$5:$A$448,'Tóm tắt'!$A8),0)</f>
        <v>1062.4232977965062</v>
      </c>
      <c r="BC8" s="50" cm="1">
        <f t="array" ref="BC8">IFERROR(SUMPRODUCT(Data!M$5:M$448*Data!AZ$5:AZ$448*(Data!$A$5:$A$448='Tóm tắt'!$A8))/SUMIFS(Data!M$5:M$448,Data!$A$5:$A$448,'Tóm tắt'!$A8),0)</f>
        <v>1052.3009737939149</v>
      </c>
      <c r="BD8" s="50" cm="1">
        <f t="array" ref="BD8">IFERROR(SUMPRODUCT(Data!N$5:N$448*Data!BA$5:BA$448*(Data!$A$5:$A$448='Tóm tắt'!$A8))/SUMIFS(Data!N$5:N$448,Data!$A$5:$A$448,'Tóm tắt'!$A8),0)</f>
        <v>0</v>
      </c>
      <c r="BE8" s="50" cm="1">
        <f t="array" ref="BE8">IFERROR(SUMPRODUCT(Data!O$5:O$448*Data!BB$5:BB$448*(Data!$A$5:$A$448='Tóm tắt'!$A8))/SUMIFS(Data!O$5:O$448,Data!$A$5:$A$448,'Tóm tắt'!$A8),0)</f>
        <v>1029.5188339879237</v>
      </c>
      <c r="BF8" s="53" cm="1">
        <f t="array" ref="BF8">IFERROR(SUMPRODUCT(Data!P$5:P$448*Data!BC$5:BC$448*(Data!$A$5:$A$448='Tóm tắt'!$A8))/SUMIFS(Data!P$5:P$448,Data!$A$5:$A$448,'Tóm tắt'!$A8),0)</f>
        <v>1068.9916591501799</v>
      </c>
      <c r="BG8" s="50" cm="1">
        <f t="array" ref="BG8">IFERROR(SUMPRODUCT(Data!Q$5:Q$448*Data!BD$5:BD$448*(Data!$A$5:$A$448='Tóm tắt'!$A8))/SUMIFS(Data!Q$5:Q$448,Data!$A$5:$A$448,'Tóm tắt'!$A8),0)</f>
        <v>0</v>
      </c>
      <c r="BH8" s="50" cm="1">
        <f t="array" ref="BH8">IFERROR(SUMPRODUCT(Data!R$5:R$448*Data!BE$5:BE$448*(Data!$A$5:$A$448='Tóm tắt'!$A8))/SUMIFS(Data!R$5:R$448,Data!$A$5:$A$448,'Tóm tắt'!$A8),0)</f>
        <v>1070.989438076653</v>
      </c>
      <c r="BI8" s="50" cm="1">
        <f t="array" ref="BI8">IFERROR(SUMPRODUCT(Data!S$5:S$448*Data!BF$5:BF$448*(Data!$A$5:$A$448='Tóm tắt'!$A8))/SUMIFS(Data!S$5:S$448,Data!$A$5:$A$448,'Tóm tắt'!$A8),0)</f>
        <v>1108.1819029232433</v>
      </c>
      <c r="BJ8" s="50" cm="1">
        <f t="array" ref="BJ8">IFERROR(SUMPRODUCT(Data!T$5:T$448*Data!BG$5:BG$448*(Data!$A$5:$A$448='Tóm tắt'!$A8))/SUMIFS(Data!T$5:T$448,Data!$A$5:$A$448,'Tóm tắt'!$A8),0)</f>
        <v>1128.0826029521377</v>
      </c>
      <c r="BK8" s="50" cm="1">
        <f t="array" ref="BK8">IFERROR(SUMPRODUCT(Data!U$5:U$448*Data!BH$5:BH$448*(Data!$A$5:$A$448='Tóm tắt'!$A8))/SUMIFS(Data!U$5:U$448,Data!$A$5:$A$448,'Tóm tắt'!$A8),0)</f>
        <v>1192.8780014307174</v>
      </c>
      <c r="BL8" s="50" cm="1">
        <f t="array" ref="BL8">IFERROR(SUMPRODUCT(Data!V$5:V$448*Data!BI$5:BI$448*(Data!$A$5:$A$448='Tóm tắt'!$A8))/SUMIFS(Data!V$5:V$448,Data!$A$5:$A$448,'Tóm tắt'!$A8),0)</f>
        <v>1127.1582992807919</v>
      </c>
      <c r="BM8" s="50" cm="1">
        <f t="array" ref="BM8">IFERROR(SUMPRODUCT(Data!W$5:W$448*Data!BJ$5:BJ$448*(Data!$A$5:$A$448='Tóm tắt'!$A8))/SUMIFS(Data!W$5:W$448,Data!$A$5:$A$448,'Tóm tắt'!$A8),0)</f>
        <v>1085.7568882622413</v>
      </c>
      <c r="BN8" s="50" cm="1">
        <f t="array" ref="BN8">IFERROR(SUMPRODUCT(Data!X$5:X$448*Data!BK$5:BK$448*(Data!$A$5:$A$448='Tóm tắt'!$A8))/SUMIFS(Data!X$5:X$448,Data!$A$5:$A$448,'Tóm tắt'!$A8),0)</f>
        <v>1055.6829788320722</v>
      </c>
      <c r="BO8" s="50" cm="1">
        <f t="array" ref="BO8">IFERROR(SUMPRODUCT(Data!Y$5:Y$448*Data!BL$5:BL$448*(Data!$A$5:$A$448='Tóm tắt'!$A8))/SUMIFS(Data!Y$5:Y$448,Data!$A$5:$A$448,'Tóm tắt'!$A8),0)</f>
        <v>1079.3418099483297</v>
      </c>
      <c r="BP8" s="50" cm="1">
        <f t="array" ref="BP8">IFERROR(SUMPRODUCT(Data!Z$5:Z$448*Data!BM$5:BM$448*(Data!$A$5:$A$448='Tóm tắt'!$A8))/SUMIFS(Data!Z$5:Z$448,Data!$A$5:$A$448,'Tóm tắt'!$A8),0)</f>
        <v>1063.9378674739787</v>
      </c>
      <c r="BQ8" s="50" cm="1">
        <f t="array" ref="BQ8">IFERROR(SUMPRODUCT(Data!AA$5:AA$448*Data!BN$5:BN$448*(Data!$A$5:$A$448='Tóm tắt'!$A8))/SUMIFS(Data!AA$5:AA$448,Data!$A$5:$A$448,'Tóm tắt'!$A8),0)</f>
        <v>0</v>
      </c>
      <c r="BR8" s="50" cm="1">
        <f t="array" ref="BR8">IFERROR(SUMPRODUCT(Data!AB$5:AB$448*Data!BO$5:BO$448*(Data!$A$5:$A$448='Tóm tắt'!$A8))/SUMIFS(Data!AB$5:AB$448,Data!$A$5:$A$448,'Tóm tắt'!$A8),0)</f>
        <v>0</v>
      </c>
      <c r="BS8" s="53" cm="1">
        <f t="array" ref="BS8">IFERROR(SUMPRODUCT(Data!AC$5:AC$448*Data!BP$5:BP$448*(Data!$A$5:$A$448='Tóm tắt'!$A8))/SUMIFS(Data!AC$5:AC$448,Data!$A$5:$A$448,'Tóm tắt'!$A8),0)</f>
        <v>1091.0347276350142</v>
      </c>
      <c r="BT8" s="50" cm="1">
        <f t="array" ref="BT8">IFERROR(SUMPRODUCT(Data!AD$5:AD$448*Data!BQ$5:BQ$448*(Data!$A$5:$A$448='Tóm tắt'!$A8))/SUMIFS(Data!AD$5:AD$448,Data!$A$5:$A$448,'Tóm tắt'!$A8),0)</f>
        <v>1067.3497593257371</v>
      </c>
      <c r="BU8" s="50" cm="1">
        <f t="array" ref="BU8">IFERROR(SUMPRODUCT(Data!AE$5:AE$448*Data!BR$5:BR$448*(Data!$A$5:$A$448='Tóm tắt'!$A8))/SUMIFS(Data!AE$5:AE$448,Data!$A$5:$A$448,'Tóm tắt'!$A8),0)</f>
        <v>1110.7002719727043</v>
      </c>
      <c r="BV8" s="50" cm="1">
        <f t="array" ref="BV8">IFERROR(SUMPRODUCT(Data!AF$5:AF$448*Data!BS$5:BS$448*(Data!$A$5:$A$448='Tóm tắt'!$A8))/SUMIFS(Data!AF$5:AF$448,Data!$A$5:$A$448,'Tóm tắt'!$A8),0)</f>
        <v>1081.1055662980348</v>
      </c>
      <c r="BW8" s="50" cm="1">
        <f t="array" ref="BW8">IFERROR(SUMPRODUCT(Data!AG$5:AG$448*Data!BT$5:BT$448*(Data!$A$5:$A$448='Tóm tắt'!$A8))/SUMIFS(Data!AG$5:AG$448,Data!$A$5:$A$448,'Tóm tắt'!$A8),0)</f>
        <v>1117.6608653724388</v>
      </c>
      <c r="BX8" s="50" cm="1">
        <f t="array" ref="BX8">IFERROR(SUMPRODUCT(Data!AH$5:AH$448*Data!BU$5:BU$448*(Data!$A$5:$A$448='Tóm tắt'!$A8))/SUMIFS(Data!AH$5:AH$448,Data!$A$5:$A$448,'Tóm tắt'!$A8),0)</f>
        <v>0</v>
      </c>
      <c r="BY8" s="50" cm="1">
        <f t="array" ref="BY8">IFERROR(SUMPRODUCT(Data!AI$5:AI$448*Data!BV$5:BV$448*(Data!$A$5:$A$448='Tóm tắt'!$A8))/SUMIFS(Data!AI$5:AI$448,Data!$A$5:$A$448,'Tóm tắt'!$A8),0)</f>
        <v>0</v>
      </c>
      <c r="BZ8" s="50" cm="1">
        <f t="array" ref="BZ8">IFERROR(SUMPRODUCT(Data!AJ$5:AJ$448*Data!BW$5:BW$448*(Data!$A$5:$A$448='Tóm tắt'!$A8))/SUMIFS(Data!AJ$5:AJ$448,Data!$A$5:$A$448,'Tóm tắt'!$A8),0)</f>
        <v>0</v>
      </c>
      <c r="CA8" s="50" cm="1">
        <f t="array" ref="CA8">IFERROR(SUMPRODUCT(Data!AK$5:AK$448*Data!BX$5:BX$448*(Data!$A$5:$A$448='Tóm tắt'!$A8))/SUMIFS(Data!AK$5:AK$448,Data!$A$5:$A$448,'Tóm tắt'!$A8),0)</f>
        <v>0</v>
      </c>
      <c r="CB8" s="50" cm="1">
        <f t="array" ref="CB8">IFERROR(SUMPRODUCT(Data!AL$5:AL$448*Data!BY$5:BY$448*(Data!$A$5:$A$448='Tóm tắt'!$A8))/SUMIFS(Data!AL$5:AL$448,Data!$A$5:$A$448,'Tóm tắt'!$A8),0)</f>
        <v>0</v>
      </c>
      <c r="CC8" s="50" cm="1">
        <f t="array" ref="CC8">IFERROR(SUMPRODUCT(Data!AM$5:AM$448*Data!BZ$5:BZ$448*(Data!$A$5:$A$448='Tóm tắt'!$A8))/SUMIFS(Data!AM$5:AM$448,Data!$A$5:$A$448,'Tóm tắt'!$A8),0)</f>
        <v>0</v>
      </c>
      <c r="CD8" s="50" cm="1">
        <f t="array" ref="CD8">IFERROR(SUMPRODUCT(Data!AN$5:AN$448*Data!CA$5:CA$448*(Data!$A$5:$A$448='Tóm tắt'!$A8))/SUMIFS(Data!AN$5:AN$448,Data!$A$5:$A$448,'Tóm tắt'!$A8),0)</f>
        <v>0</v>
      </c>
      <c r="CE8" s="50" cm="1">
        <f t="array" ref="CE8">IFERROR(SUMPRODUCT(Data!AO$5:AO$448*Data!CB$5:CB$448*(Data!$A$5:$A$448='Tóm tắt'!$A8))/SUMIFS(Data!AO$5:AO$448,Data!$A$5:$A$448,'Tóm tắt'!$A8),0)</f>
        <v>0</v>
      </c>
      <c r="CF8" s="53" cm="1">
        <f t="array" ref="CF8">IFERROR(SUMPRODUCT(Data!AP$5:AP$448*Data!CC$5:CC$448*(Data!$A$5:$A$448='Tóm tắt'!$A8))/SUMIFS(Data!AP$5:AP$448,Data!$A$5:$A$448,'Tóm tắt'!$A8),0)</f>
        <v>1104.632839711883</v>
      </c>
      <c r="CH8" s="50" cm="1">
        <f t="array" ref="CH8">IFERROR(SUMPRODUCT(Data!CD$5:CD$448*Data!D$5:D$448*(Data!$A$5:$A$448='Tóm tắt'!$A8))/SUMIFS(Data!D$5:D$448,Data!$A$5:$A$448,'Tóm tắt'!$A8),0)</f>
        <v>28600.564904040413</v>
      </c>
      <c r="CI8" s="50" cm="1">
        <f t="array" ref="CI8">IFERROR(SUMPRODUCT(Data!CE$5:CE$448*Data!E$5:E$448*(Data!$A$5:$A$448='Tóm tắt'!$A8))/SUMIFS(Data!E$5:E$448,Data!$A$5:$A$448,'Tóm tắt'!$A8),0)</f>
        <v>0</v>
      </c>
      <c r="CJ8" s="50" cm="1">
        <f t="array" ref="CJ8">IFERROR(SUMPRODUCT(Data!CF$5:CF$448*Data!F$5:F$448*(Data!$A$5:$A$448='Tóm tắt'!$A8))/SUMIFS(Data!F$5:F$448,Data!$A$5:$A$448,'Tóm tắt'!$A8),0)</f>
        <v>31994.901795454545</v>
      </c>
      <c r="CK8" s="50" cm="1">
        <f t="array" ref="CK8">IFERROR(SUMPRODUCT(Data!CG$5:CG$448*Data!G$5:G$448*(Data!$A$5:$A$448='Tóm tắt'!$A8))/SUMIFS(Data!G$5:G$448,Data!$A$5:$A$448,'Tóm tắt'!$A8),0)</f>
        <v>22894.547581047373</v>
      </c>
      <c r="CL8" s="50" cm="1">
        <f t="array" ref="CL8">IFERROR(SUMPRODUCT(Data!CH$5:CH$448*Data!H$5:H$448*(Data!$A$5:$A$448='Tóm tắt'!$A8))/SUMIFS(Data!H$5:H$448,Data!$A$5:$A$448,'Tóm tắt'!$A8),0)</f>
        <v>35741.912158169827</v>
      </c>
      <c r="CM8" s="50" cm="1">
        <f t="array" ref="CM8">IFERROR(SUMPRODUCT(Data!CI$5:CI$448*Data!I$5:I$448*(Data!$A$5:$A$448='Tóm tắt'!$A8))/SUMIFS(Data!I$5:I$448,Data!$A$5:$A$448,'Tóm tắt'!$A8),0)</f>
        <v>36010.117172727274</v>
      </c>
      <c r="CN8" s="50" cm="1">
        <f t="array" ref="CN8">IFERROR(SUMPRODUCT(Data!CJ$5:CJ$448*Data!J$5:J$448*(Data!$A$5:$A$448='Tóm tắt'!$A8))/SUMIFS(Data!J$5:J$448,Data!$A$5:$A$448,'Tóm tắt'!$A8),0)</f>
        <v>34637.483170042404</v>
      </c>
      <c r="CO8" s="50" cm="1">
        <f t="array" ref="CO8">IFERROR(SUMPRODUCT(Data!CK$5:CK$448*Data!K$5:K$448*(Data!$A$5:$A$448='Tóm tắt'!$A8))/SUMIFS(Data!K$5:K$448,Data!$A$5:$A$448,'Tóm tắt'!$A8),0)</f>
        <v>32734.511474014336</v>
      </c>
      <c r="CP8" s="50" cm="1">
        <f t="array" ref="CP8">IFERROR(SUMPRODUCT(Data!CL$5:CL$448*Data!L$5:L$448*(Data!$A$5:$A$448='Tóm tắt'!$A8))/SUMIFS(Data!L$5:L$448,Data!$A$5:$A$448,'Tóm tắt'!$A8),0)</f>
        <v>30956.860691176469</v>
      </c>
      <c r="CQ8" s="50" cm="1">
        <f t="array" ref="CQ8">IFERROR(SUMPRODUCT(Data!CM$5:CM$448*Data!M$5:M$448*(Data!$A$5:$A$448='Tóm tắt'!$A8))/SUMIFS(Data!M$5:M$448,Data!$A$5:$A$448,'Tóm tắt'!$A8),0)</f>
        <v>25958.588552142683</v>
      </c>
      <c r="CR8" s="50" cm="1">
        <f t="array" ref="CR8">IFERROR(SUMPRODUCT(Data!CN$5:CN$448*Data!N$5:N$448*(Data!$A$5:$A$448='Tóm tắt'!$A8))/SUMIFS(Data!N$5:N$448,Data!$A$5:$A$448,'Tóm tắt'!$A8),0)</f>
        <v>0</v>
      </c>
      <c r="CS8" s="50" cm="1">
        <f t="array" ref="CS8">IFERROR(SUMPRODUCT(Data!CO$5:CO$448*Data!O$5:O$448*(Data!$A$5:$A$448='Tóm tắt'!$A8))/SUMIFS(Data!O$5:O$448,Data!$A$5:$A$448,'Tóm tắt'!$A8),0)</f>
        <v>25663.109090909093</v>
      </c>
      <c r="CT8" s="105" cm="1">
        <f t="array" ref="CT8">IFERROR(SUMPRODUCT(Data!CP$5:CP$448*Data!P$5:P$448*(Data!$A$5:$A$448='Tóm tắt'!$A8))/SUMIFS(Data!P$5:P$448,Data!$A$5:$A$448,'Tóm tắt'!$A8),0)</f>
        <v>29230.613178629941</v>
      </c>
      <c r="CU8" s="50" cm="1">
        <f t="array" ref="CU8">IFERROR(SUMPRODUCT(Data!CQ$5:CQ$448*Data!Q$5:Q$448*(Data!$A$5:$A$448='Tóm tắt'!$A8))/SUMIFS(Data!Q$5:Q$448,Data!$A$5:$A$448,'Tóm tắt'!$A8),0)</f>
        <v>0</v>
      </c>
      <c r="CV8" s="50" cm="1">
        <f t="array" ref="CV8">IFERROR(SUMPRODUCT(Data!CR$5:CR$448*Data!R$5:R$448*(Data!$A$5:$A$448='Tóm tắt'!$A8))/SUMIFS(Data!R$5:R$448,Data!$A$5:$A$448,'Tóm tắt'!$A8),0)</f>
        <v>26281.539312638582</v>
      </c>
      <c r="CW8" s="50" cm="1">
        <f t="array" ref="CW8">IFERROR(SUMPRODUCT(Data!CS$5:CS$448*Data!S$5:S$448*(Data!$A$5:$A$448='Tóm tắt'!$A8))/SUMIFS(Data!S$5:S$448,Data!$A$5:$A$448,'Tóm tắt'!$A8),0)</f>
        <v>26290.106346320343</v>
      </c>
      <c r="CX8" s="50" cm="1">
        <f t="array" ref="CX8">IFERROR(SUMPRODUCT(Data!CT$5:CT$448*Data!T$5:T$448*(Data!$A$5:$A$448='Tóm tắt'!$A8))/SUMIFS(Data!T$5:T$448,Data!$A$5:$A$448,'Tóm tắt'!$A8),0)</f>
        <v>26255.244798701297</v>
      </c>
      <c r="CY8" s="50" cm="1">
        <f t="array" ref="CY8">IFERROR(SUMPRODUCT(Data!CU$5:CU$448*Data!U$5:U$448*(Data!$A$5:$A$448='Tóm tắt'!$A8))/SUMIFS(Data!U$5:U$448,Data!$A$5:$A$448,'Tóm tắt'!$A8),0)</f>
        <v>25347.070727272727</v>
      </c>
      <c r="CZ8" s="50" cm="1">
        <f t="array" ref="CZ8">IFERROR(SUMPRODUCT(Data!CV$5:CV$448*Data!V$5:V$448*(Data!$A$5:$A$448='Tóm tắt'!$A8))/SUMIFS(Data!V$5:V$448,Data!$A$5:$A$448,'Tóm tắt'!$A8),0)</f>
        <v>24892.503037878789</v>
      </c>
      <c r="DA8" s="50" cm="1">
        <f t="array" ref="DA8">IFERROR(SUMPRODUCT(Data!CW$5:CW$448*Data!W$5:W$448*(Data!$A$5:$A$448='Tóm tắt'!$A8))/SUMIFS(Data!W$5:W$448,Data!$A$5:$A$448,'Tóm tắt'!$A8),0)</f>
        <v>25198.362390289443</v>
      </c>
      <c r="DB8" s="50" cm="1">
        <f t="array" ref="DB8">IFERROR(SUMPRODUCT(Data!CX$5:CX$448*Data!X$5:X$448*(Data!$A$5:$A$448='Tóm tắt'!$A8))/SUMIFS(Data!X$5:X$448,Data!$A$5:$A$448,'Tóm tắt'!$A8),0)</f>
        <v>25694.032378787881</v>
      </c>
      <c r="DC8" s="50" cm="1">
        <f t="array" ref="DC8">IFERROR(SUMPRODUCT(Data!CY$5:CY$448*Data!Y$5:Y$448*(Data!$A$5:$A$448='Tóm tắt'!$A8))/SUMIFS(Data!Y$5:Y$448,Data!$A$5:$A$448,'Tóm tắt'!$A8),0)</f>
        <v>25771.567436661691</v>
      </c>
      <c r="DD8" s="50" cm="1">
        <f t="array" ref="DD8">IFERROR(SUMPRODUCT(Data!CZ$5:CZ$448*Data!Z$5:Z$448*(Data!$A$5:$A$448='Tóm tắt'!$A8))/SUMIFS(Data!Z$5:Z$448,Data!$A$5:$A$448,'Tóm tắt'!$A8),0)</f>
        <v>25788.527606060605</v>
      </c>
      <c r="DE8" s="50" cm="1">
        <f t="array" ref="DE8">IFERROR(SUMPRODUCT(Data!DA$5:DA$448*Data!AA$5:AA$448*(Data!$A$5:$A$448='Tóm tắt'!$A8))/SUMIFS(Data!AA$5:AA$448,Data!$A$5:$A$448,'Tóm tắt'!$A8),0)</f>
        <v>0</v>
      </c>
      <c r="DF8" s="50" cm="1">
        <f t="array" ref="DF8">IFERROR(SUMPRODUCT(Data!DB$5:DB$448*Data!AB$5:AB$448*(Data!$A$5:$A$448='Tóm tắt'!$A8))/SUMIFS(Data!AB$5:AB$448,Data!$A$5:$A$448,'Tóm tắt'!$A8),0)</f>
        <v>0</v>
      </c>
      <c r="DG8" s="105" cm="1">
        <f t="array" ref="DG8">IFERROR(SUMPRODUCT(Data!DC$5:DC$448*Data!AC$5:AC$448*(Data!$A$5:$A$448='Tóm tắt'!$A8))/SUMIFS(Data!AC$5:AC$448,Data!$A$5:$A$448,'Tóm tắt'!$A8),0)</f>
        <v>25739.27746191113</v>
      </c>
      <c r="DH8" s="50" cm="1">
        <f t="array" ref="DH8">IFERROR(SUMPRODUCT(Data!DD$5:DD$448*Data!AD$5:AD$448*(Data!$A$5:$A$448='Tóm tắt'!$A8))/SUMIFS(Data!AD$5:AD$448,Data!$A$5:$A$448,'Tóm tắt'!$A8),0)</f>
        <v>26954.321097461092</v>
      </c>
      <c r="DI8" s="50" cm="1">
        <f t="array" ref="DI8">IFERROR(SUMPRODUCT(Data!DE$5:DE$448*Data!AE$5:AE$448*(Data!$A$5:$A$448='Tóm tắt'!$A8))/SUMIFS(Data!AE$5:AE$448,Data!$A$5:$A$448,'Tóm tắt'!$A8),0)</f>
        <v>27006.423636363637</v>
      </c>
      <c r="DJ8" s="50" cm="1">
        <f t="array" ref="DJ8">IFERROR(SUMPRODUCT(Data!DF$5:DF$448*Data!AF$5:AF$448*(Data!$A$5:$A$448='Tóm tắt'!$A8))/SUMIFS(Data!AF$5:AF$448,Data!$A$5:$A$448,'Tóm tắt'!$A8),0)</f>
        <v>27211.708151177776</v>
      </c>
      <c r="DK8" s="50" cm="1">
        <f t="array" ref="DK8">IFERROR(SUMPRODUCT(Data!DG$5:DG$448*Data!AG$5:AG$448*(Data!$A$5:$A$448='Tóm tắt'!$A8))/SUMIFS(Data!AG$5:AG$448,Data!$A$5:$A$448,'Tóm tắt'!$A8),0)</f>
        <v>27211.70815274258</v>
      </c>
      <c r="DL8" s="50" cm="1">
        <f t="array" ref="DL8">IFERROR(SUMPRODUCT(Data!DH$5:DH$448*Data!AH$5:AH$448*(Data!$A$5:$A$448='Tóm tắt'!$A8))/SUMIFS(Data!AH$5:AH$448,Data!$A$5:$A$448,'Tóm tắt'!$A8),0)</f>
        <v>0</v>
      </c>
      <c r="DM8" s="50" cm="1">
        <f t="array" ref="DM8">IFERROR(SUMPRODUCT(Data!DI$5:DI$448*Data!AI$5:AI$448*(Data!$A$5:$A$448='Tóm tắt'!$A8))/SUMIFS(Data!AI$5:AI$448,Data!$A$5:$A$448,'Tóm tắt'!$A8),0)</f>
        <v>0</v>
      </c>
      <c r="DN8" s="50" cm="1">
        <f t="array" ref="DN8">IFERROR(SUMPRODUCT(Data!DJ$5:DJ$448*Data!AJ$5:AJ$448*(Data!$A$5:$A$448='Tóm tắt'!$A8))/SUMIFS(Data!AJ$5:AJ$448,Data!$A$5:$A$448,'Tóm tắt'!$A8),0)</f>
        <v>0</v>
      </c>
      <c r="DO8" s="50" cm="1">
        <f t="array" ref="DO8">IFERROR(SUMPRODUCT(Data!DK$5:DK$448*Data!AK$5:AK$448*(Data!$A$5:$A$448='Tóm tắt'!$A8))/SUMIFS(Data!AK$5:AK$448,Data!$A$5:$A$448,'Tóm tắt'!$A8),0)</f>
        <v>0</v>
      </c>
      <c r="DP8" s="50" cm="1">
        <f t="array" ref="DP8">IFERROR(SUMPRODUCT(Data!DL$5:DL$448*Data!AL$5:AL$448*(Data!$A$5:$A$448='Tóm tắt'!$A8))/SUMIFS(Data!AL$5:AL$448,Data!$A$5:$A$448,'Tóm tắt'!$A8),0)</f>
        <v>0</v>
      </c>
      <c r="DQ8" s="50" cm="1">
        <f t="array" ref="DQ8">IFERROR(SUMPRODUCT(Data!DM$5:DM$448*Data!AM$5:AM$448*(Data!$A$5:$A$448='Tóm tắt'!$A8))/SUMIFS(Data!AM$5:AM$448,Data!$A$5:$A$448,'Tóm tắt'!$A8),0)</f>
        <v>0</v>
      </c>
      <c r="DR8" s="50" cm="1">
        <f t="array" ref="DR8">IFERROR(SUMPRODUCT(Data!DN$5:DN$448*Data!AN$5:AN$448*(Data!$A$5:$A$448='Tóm tắt'!$A8))/SUMIFS(Data!AN$5:AN$448,Data!$A$5:$A$448,'Tóm tắt'!$A8),0)</f>
        <v>0</v>
      </c>
      <c r="DS8" s="50" cm="1">
        <f t="array" ref="DS8">IFERROR(SUMPRODUCT(Data!DO$5:DO$448*Data!AO$5:AO$448*(Data!$A$5:$A$448='Tóm tắt'!$A8))/SUMIFS(Data!AO$5:AO$448,Data!$A$5:$A$448,'Tóm tắt'!$A8),0)</f>
        <v>0</v>
      </c>
      <c r="DT8" s="105" cm="1">
        <f t="array" ref="DT8">IFERROR(SUMPRODUCT(Data!DP$5:DP$448*Data!AP$5:AP$448*(Data!$A$5:$A$448='Tóm tắt'!$A8))/SUMIFS(Data!AP$5:AP$448,Data!$A$5:$A$448,'Tóm tắt'!$A8),0)</f>
        <v>27210.348036371728</v>
      </c>
      <c r="DV8" s="105">
        <f t="shared" si="0"/>
        <v>-2656.7832790886714</v>
      </c>
      <c r="DW8" s="104">
        <f t="shared" si="4"/>
        <v>2396.4609316189672</v>
      </c>
      <c r="DX8" s="104">
        <f t="shared" si="5"/>
        <v>1713.3514535434224</v>
      </c>
      <c r="DZ8" s="124">
        <f t="shared" si="6"/>
        <v>4.9059575946304092E-2</v>
      </c>
      <c r="EA8" s="120">
        <f t="shared" si="7"/>
        <v>2.9446279972807615E-2</v>
      </c>
      <c r="EB8" s="125">
        <f t="shared" si="8"/>
        <v>7.5408288892182693E-2</v>
      </c>
      <c r="ED8" s="66">
        <f t="shared" si="9"/>
        <v>-9.9977432275749178E-2</v>
      </c>
      <c r="EE8" s="66">
        <f t="shared" si="10"/>
        <v>8.5174979170621112E-2</v>
      </c>
      <c r="EF8" s="66">
        <f t="shared" si="11"/>
        <v>5.923694007887248E-2</v>
      </c>
    </row>
    <row r="9" spans="1:138" x14ac:dyDescent="0.35">
      <c r="A9" s="48" t="s">
        <v>366</v>
      </c>
      <c r="B9" s="42">
        <v>5</v>
      </c>
      <c r="C9" s="40" t="s">
        <v>366</v>
      </c>
      <c r="D9" s="40"/>
      <c r="F9" s="111">
        <f>SUMIFS(Data!D$5:D$448,Data!$A$5:$A$448,'Tóm tắt'!$A9)</f>
        <v>0</v>
      </c>
      <c r="G9" s="111">
        <f>SUMIFS(Data!E$5:E$448,Data!$A$5:$A$448,'Tóm tắt'!$A9)</f>
        <v>0</v>
      </c>
      <c r="H9" s="111">
        <f>SUMIFS(Data!F$5:F$448,Data!$A$5:$A$448,'Tóm tắt'!$A9)</f>
        <v>0</v>
      </c>
      <c r="I9" s="111">
        <f>SUMIFS(Data!G$5:G$448,Data!$A$5:$A$448,'Tóm tắt'!$A9)</f>
        <v>0</v>
      </c>
      <c r="J9" s="111">
        <f>SUMIFS(Data!H$5:H$448,Data!$A$5:$A$448,'Tóm tắt'!$A9)</f>
        <v>0</v>
      </c>
      <c r="K9" s="111">
        <f>SUMIFS(Data!I$5:I$448,Data!$A$5:$A$448,'Tóm tắt'!$A9)</f>
        <v>0</v>
      </c>
      <c r="L9" s="111">
        <f>SUMIFS(Data!J$5:J$448,Data!$A$5:$A$448,'Tóm tắt'!$A9)</f>
        <v>211200</v>
      </c>
      <c r="M9" s="111">
        <f>SUMIFS(Data!K$5:K$448,Data!$A$5:$A$448,'Tóm tắt'!$A9)</f>
        <v>887300</v>
      </c>
      <c r="N9" s="111">
        <f>SUMIFS(Data!L$5:L$448,Data!$A$5:$A$448,'Tóm tắt'!$A9)</f>
        <v>660000</v>
      </c>
      <c r="O9" s="111">
        <f>SUMIFS(Data!M$5:M$448,Data!$A$5:$A$448,'Tóm tắt'!$A9)</f>
        <v>660000</v>
      </c>
      <c r="P9" s="111">
        <f>SUMIFS(Data!N$5:N$448,Data!$A$5:$A$448,'Tóm tắt'!$A9)</f>
        <v>0</v>
      </c>
      <c r="Q9" s="111">
        <f>SUMIFS(Data!O$5:O$448,Data!$A$5:$A$448,'Tóm tắt'!$A9)</f>
        <v>0</v>
      </c>
      <c r="R9" s="112">
        <f t="shared" si="1"/>
        <v>2418500</v>
      </c>
      <c r="S9" s="111">
        <f>SUMIFS(Data!Q$5:Q$448,Data!$A$5:$A$448,'Tóm tắt'!$A9)</f>
        <v>0</v>
      </c>
      <c r="T9" s="111">
        <f>SUMIFS(Data!R$5:R$448,Data!$A$5:$A$448,'Tóm tắt'!$A9)</f>
        <v>0</v>
      </c>
      <c r="U9" s="111">
        <f>SUMIFS(Data!S$5:S$448,Data!$A$5:$A$448,'Tóm tắt'!$A9)</f>
        <v>0</v>
      </c>
      <c r="V9" s="111">
        <f>SUMIFS(Data!T$5:T$448,Data!$A$5:$A$448,'Tóm tắt'!$A9)</f>
        <v>0</v>
      </c>
      <c r="W9" s="111">
        <f>SUMIFS(Data!U$5:U$448,Data!$A$5:$A$448,'Tóm tắt'!$A9)</f>
        <v>0</v>
      </c>
      <c r="X9" s="111">
        <f>SUMIFS(Data!V$5:V$448,Data!$A$5:$A$448,'Tóm tắt'!$A9)</f>
        <v>220000</v>
      </c>
      <c r="Y9" s="111">
        <f>SUMIFS(Data!W$5:W$448,Data!$A$5:$A$448,'Tóm tắt'!$A9)</f>
        <v>0</v>
      </c>
      <c r="Z9" s="111">
        <f>SUMIFS(Data!X$5:X$448,Data!$A$5:$A$448,'Tóm tắt'!$A9)</f>
        <v>220000</v>
      </c>
      <c r="AA9" s="111">
        <f>SUMIFS(Data!Y$5:Y$448,Data!$A$5:$A$448,'Tóm tắt'!$A9)</f>
        <v>0</v>
      </c>
      <c r="AB9" s="111">
        <f>SUMIFS(Data!Z$5:Z$448,Data!$A$5:$A$448,'Tóm tắt'!$A9)</f>
        <v>0</v>
      </c>
      <c r="AC9" s="111">
        <f>SUMIFS(Data!AA$5:AA$448,Data!$A$5:$A$448,'Tóm tắt'!$A9)</f>
        <v>220000</v>
      </c>
      <c r="AD9" s="111">
        <f>SUMIFS(Data!AB$5:AB$448,Data!$A$5:$A$448,'Tóm tắt'!$A9)</f>
        <v>0</v>
      </c>
      <c r="AE9" s="112">
        <f t="shared" si="2"/>
        <v>660000</v>
      </c>
      <c r="AF9" s="111">
        <f>SUMIFS(Data!AD$5:AD$448,Data!$A$5:$A$448,'Tóm tắt'!$A9)</f>
        <v>242000</v>
      </c>
      <c r="AG9" s="111">
        <f>SUMIFS(Data!AE$5:AE$448,Data!$A$5:$A$448,'Tóm tắt'!$A9)</f>
        <v>0</v>
      </c>
      <c r="AH9" s="111">
        <f>SUMIFS(Data!AF$5:AF$448,Data!$A$5:$A$448,'Tóm tắt'!$A9)</f>
        <v>220000</v>
      </c>
      <c r="AI9" s="111">
        <f>SUMIFS(Data!AG$5:AG$448,Data!$A$5:$A$448,'Tóm tắt'!$A9)</f>
        <v>440000</v>
      </c>
      <c r="AJ9" s="111"/>
      <c r="AK9" s="111"/>
      <c r="AL9" s="111"/>
      <c r="AM9" s="111"/>
      <c r="AN9" s="111"/>
      <c r="AO9" s="111"/>
      <c r="AP9" s="111"/>
      <c r="AQ9" s="111"/>
      <c r="AR9" s="112">
        <f t="shared" si="3"/>
        <v>902000</v>
      </c>
      <c r="AT9" s="50" cm="1">
        <f t="array" ref="AT9">IFERROR(SUMPRODUCT(Data!D$5:D$448*Data!AQ$5:AQ$448*(Data!$A$5:$A$448='Tóm tắt'!$A9))/SUMIFS(Data!D$5:D$448,Data!$A$5:$A$448,'Tóm tắt'!$A9),0)</f>
        <v>0</v>
      </c>
      <c r="AU9" s="50" cm="1">
        <f t="array" ref="AU9">IFERROR(SUMPRODUCT(Data!E$5:E$448*Data!AR$5:AR$448*(Data!$A$5:$A$448='Tóm tắt'!$A9))/SUMIFS(Data!E$5:E$448,Data!$A$5:$A$448,'Tóm tắt'!$A9),0)</f>
        <v>0</v>
      </c>
      <c r="AV9" s="50" cm="1">
        <f t="array" ref="AV9">IFERROR(SUMPRODUCT(Data!F$5:F$448*Data!AS$5:AS$448*(Data!$A$5:$A$448='Tóm tắt'!$A9))/SUMIFS(Data!F$5:F$448,Data!$A$5:$A$448,'Tóm tắt'!$A9),0)</f>
        <v>0</v>
      </c>
      <c r="AW9" s="50" cm="1">
        <f t="array" ref="AW9">IFERROR(SUMPRODUCT(Data!G$5:G$448*Data!AT$5:AT$448*(Data!$A$5:$A$448='Tóm tắt'!$A9))/SUMIFS(Data!G$5:G$448,Data!$A$5:$A$448,'Tóm tắt'!$A9),0)</f>
        <v>0</v>
      </c>
      <c r="AX9" s="50" cm="1">
        <f t="array" ref="AX9">IFERROR(SUMPRODUCT(Data!H$5:H$448*Data!AU$5:AU$448*(Data!$A$5:$A$448='Tóm tắt'!$A9))/SUMIFS(Data!H$5:H$448,Data!$A$5:$A$448,'Tóm tắt'!$A9),0)</f>
        <v>0</v>
      </c>
      <c r="AY9" s="50" cm="1">
        <f t="array" ref="AY9">IFERROR(SUMPRODUCT(Data!I$5:I$448*Data!AV$5:AV$448*(Data!$A$5:$A$448='Tóm tắt'!$A9))/SUMIFS(Data!I$5:I$448,Data!$A$5:$A$448,'Tóm tắt'!$A9),0)</f>
        <v>0</v>
      </c>
      <c r="AZ9" s="50" cm="1">
        <f t="array" ref="AZ9">IFERROR(SUMPRODUCT(Data!J$5:J$448*Data!AW$5:AW$448*(Data!$A$5:$A$448='Tóm tắt'!$A9))/SUMIFS(Data!J$5:J$448,Data!$A$5:$A$448,'Tóm tắt'!$A9),0)</f>
        <v>1040.192991472185</v>
      </c>
      <c r="BA9" s="50" cm="1">
        <f t="array" ref="BA9">IFERROR(SUMPRODUCT(Data!K$5:K$448*Data!AX$5:AX$448*(Data!$A$5:$A$448='Tóm tắt'!$A9))/SUMIFS(Data!K$5:K$448,Data!$A$5:$A$448,'Tóm tắt'!$A9),0)</f>
        <v>1041.3398158237876</v>
      </c>
      <c r="BB9" s="50" cm="1">
        <f t="array" ref="BB9">IFERROR(SUMPRODUCT(Data!L$5:L$448*Data!AY$5:AY$448*(Data!$A$5:$A$448='Tóm tắt'!$A9))/SUMIFS(Data!L$5:L$448,Data!$A$5:$A$448,'Tóm tắt'!$A9),0)</f>
        <v>1041.7175185124133</v>
      </c>
      <c r="BC9" s="50" cm="1">
        <f t="array" ref="BC9">IFERROR(SUMPRODUCT(Data!M$5:M$448*Data!AZ$5:AZ$448*(Data!$A$5:$A$448='Tóm tắt'!$A9))/SUMIFS(Data!M$5:M$448,Data!$A$5:$A$448,'Tóm tắt'!$A9),0)</f>
        <v>1061.8938270539732</v>
      </c>
      <c r="BD9" s="50" cm="1">
        <f t="array" ref="BD9">IFERROR(SUMPRODUCT(Data!N$5:N$448*Data!BA$5:BA$448*(Data!$A$5:$A$448='Tóm tắt'!$A9))/SUMIFS(Data!N$5:N$448,Data!$A$5:$A$448,'Tóm tắt'!$A9),0)</f>
        <v>0</v>
      </c>
      <c r="BE9" s="50" cm="1">
        <f t="array" ref="BE9">IFERROR(SUMPRODUCT(Data!O$5:O$448*Data!BB$5:BB$448*(Data!$A$5:$A$448='Tóm tắt'!$A9))/SUMIFS(Data!O$5:O$448,Data!$A$5:$A$448,'Tóm tắt'!$A9),0)</f>
        <v>0</v>
      </c>
      <c r="BF9" s="53" cm="1">
        <f t="array" ref="BF9">IFERROR(SUMPRODUCT(Data!P$5:P$448*Data!BC$5:BC$448*(Data!$A$5:$A$448='Tóm tắt'!$A9))/SUMIFS(Data!P$5:P$448,Data!$A$5:$A$448,'Tóm tắt'!$A9),0)</f>
        <v>1046.9518571235005</v>
      </c>
      <c r="BG9" s="50" cm="1">
        <f t="array" ref="BG9">IFERROR(SUMPRODUCT(Data!Q$5:Q$448*Data!BD$5:BD$448*(Data!$A$5:$A$448='Tóm tắt'!$A9))/SUMIFS(Data!Q$5:Q$448,Data!$A$5:$A$448,'Tóm tắt'!$A9),0)</f>
        <v>0</v>
      </c>
      <c r="BH9" s="50" cm="1">
        <f t="array" ref="BH9">IFERROR(SUMPRODUCT(Data!R$5:R$448*Data!BE$5:BE$448*(Data!$A$5:$A$448='Tóm tắt'!$A9))/SUMIFS(Data!R$5:R$448,Data!$A$5:$A$448,'Tóm tắt'!$A9),0)</f>
        <v>0</v>
      </c>
      <c r="BI9" s="50" cm="1">
        <f t="array" ref="BI9">IFERROR(SUMPRODUCT(Data!S$5:S$448*Data!BF$5:BF$448*(Data!$A$5:$A$448='Tóm tắt'!$A9))/SUMIFS(Data!S$5:S$448,Data!$A$5:$A$448,'Tóm tắt'!$A9),0)</f>
        <v>0</v>
      </c>
      <c r="BJ9" s="50" cm="1">
        <f t="array" ref="BJ9">IFERROR(SUMPRODUCT(Data!T$5:T$448*Data!BG$5:BG$448*(Data!$A$5:$A$448='Tóm tắt'!$A9))/SUMIFS(Data!T$5:T$448,Data!$A$5:$A$448,'Tóm tắt'!$A9),0)</f>
        <v>0</v>
      </c>
      <c r="BK9" s="50" cm="1">
        <f t="array" ref="BK9">IFERROR(SUMPRODUCT(Data!U$5:U$448*Data!BH$5:BH$448*(Data!$A$5:$A$448='Tóm tắt'!$A9))/SUMIFS(Data!U$5:U$448,Data!$A$5:$A$448,'Tóm tắt'!$A9),0)</f>
        <v>0</v>
      </c>
      <c r="BL9" s="50" cm="1">
        <f t="array" ref="BL9">IFERROR(SUMPRODUCT(Data!V$5:V$448*Data!BI$5:BI$448*(Data!$A$5:$A$448='Tóm tắt'!$A9))/SUMIFS(Data!V$5:V$448,Data!$A$5:$A$448,'Tóm tắt'!$A9),0)</f>
        <v>1041.3422083264359</v>
      </c>
      <c r="BM9" s="50" cm="1">
        <f t="array" ref="BM9">IFERROR(SUMPRODUCT(Data!W$5:W$448*Data!BJ$5:BJ$448*(Data!$A$5:$A$448='Tóm tắt'!$A9))/SUMIFS(Data!W$5:W$448,Data!$A$5:$A$448,'Tóm tắt'!$A9),0)</f>
        <v>0</v>
      </c>
      <c r="BN9" s="50" cm="1">
        <f t="array" ref="BN9">IFERROR(SUMPRODUCT(Data!X$5:X$448*Data!BK$5:BK$448*(Data!$A$5:$A$448='Tóm tắt'!$A9))/SUMIFS(Data!X$5:X$448,Data!$A$5:$A$448,'Tóm tắt'!$A9),0)</f>
        <v>1001.5742128537597</v>
      </c>
      <c r="BO9" s="50" cm="1">
        <f t="array" ref="BO9">IFERROR(SUMPRODUCT(Data!Y$5:Y$448*Data!BL$5:BL$448*(Data!$A$5:$A$448='Tóm tắt'!$A9))/SUMIFS(Data!Y$5:Y$448,Data!$A$5:$A$448,'Tóm tắt'!$A9),0)</f>
        <v>0</v>
      </c>
      <c r="BP9" s="50" cm="1">
        <f t="array" ref="BP9">IFERROR(SUMPRODUCT(Data!Z$5:Z$448*Data!BM$5:BM$448*(Data!$A$5:$A$448='Tóm tắt'!$A9))/SUMIFS(Data!Z$5:Z$448,Data!$A$5:$A$448,'Tóm tắt'!$A9),0)</f>
        <v>0</v>
      </c>
      <c r="BQ9" s="50" cm="1">
        <f t="array" ref="BQ9">IFERROR(SUMPRODUCT(Data!AA$5:AA$448*Data!BN$5:BN$448*(Data!$A$5:$A$448='Tóm tắt'!$A9))/SUMIFS(Data!AA$5:AA$448,Data!$A$5:$A$448,'Tóm tắt'!$A9),0)</f>
        <v>881.9578218290053</v>
      </c>
      <c r="BR9" s="50" cm="1">
        <f t="array" ref="BR9">IFERROR(SUMPRODUCT(Data!AB$5:AB$448*Data!BO$5:BO$448*(Data!$A$5:$A$448='Tóm tắt'!$A9))/SUMIFS(Data!AB$5:AB$448,Data!$A$5:$A$448,'Tóm tắt'!$A9),0)</f>
        <v>0</v>
      </c>
      <c r="BS9" s="53" cm="1">
        <f t="array" ref="BS9">IFERROR(SUMPRODUCT(Data!AC$5:AC$448*Data!BP$5:BP$448*(Data!$A$5:$A$448='Tóm tắt'!$A9))/SUMIFS(Data!AC$5:AC$448,Data!$A$5:$A$448,'Tóm tắt'!$A9),0)</f>
        <v>974.95808100306647</v>
      </c>
      <c r="BT9" s="50" cm="1">
        <f t="array" ref="BT9">IFERROR(SUMPRODUCT(Data!AD$5:AD$448*Data!BQ$5:BQ$448*(Data!$A$5:$A$448='Tóm tắt'!$A9))/SUMIFS(Data!AD$5:AD$448,Data!$A$5:$A$448,'Tóm tắt'!$A9),0)</f>
        <v>881.26675058126716</v>
      </c>
      <c r="BU9" s="50" cm="1">
        <f t="array" ref="BU9">IFERROR(SUMPRODUCT(Data!AE$5:AE$448*Data!BR$5:BR$448*(Data!$A$5:$A$448='Tóm tắt'!$A9))/SUMIFS(Data!AE$5:AE$448,Data!$A$5:$A$448,'Tóm tắt'!$A9),0)</f>
        <v>0</v>
      </c>
      <c r="BV9" s="50" cm="1">
        <f t="array" ref="BV9">IFERROR(SUMPRODUCT(Data!AF$5:AF$448*Data!BS$5:BS$448*(Data!$A$5:$A$448='Tóm tắt'!$A9))/SUMIFS(Data!AF$5:AF$448,Data!$A$5:$A$448,'Tóm tắt'!$A9),0)</f>
        <v>1050.7883509741364</v>
      </c>
      <c r="BW9" s="50" cm="1">
        <f t="array" ref="BW9">IFERROR(SUMPRODUCT(Data!AG$5:AG$448*Data!BT$5:BT$448*(Data!$A$5:$A$448='Tóm tắt'!$A9))/SUMIFS(Data!AG$5:AG$448,Data!$A$5:$A$448,'Tóm tắt'!$A9),0)</f>
        <v>1110</v>
      </c>
      <c r="BX9" s="50" cm="1">
        <f t="array" ref="BX9">IFERROR(SUMPRODUCT(Data!AH$5:AH$448*Data!BU$5:BU$448*(Data!$A$5:$A$448='Tóm tắt'!$A9))/SUMIFS(Data!AH$5:AH$448,Data!$A$5:$A$448,'Tóm tắt'!$A9),0)</f>
        <v>0</v>
      </c>
      <c r="BY9" s="50" cm="1">
        <f t="array" ref="BY9">IFERROR(SUMPRODUCT(Data!AI$5:AI$448*Data!BV$5:BV$448*(Data!$A$5:$A$448='Tóm tắt'!$A9))/SUMIFS(Data!AI$5:AI$448,Data!$A$5:$A$448,'Tóm tắt'!$A9),0)</f>
        <v>0</v>
      </c>
      <c r="BZ9" s="50" cm="1">
        <f t="array" ref="BZ9">IFERROR(SUMPRODUCT(Data!AJ$5:AJ$448*Data!BW$5:BW$448*(Data!$A$5:$A$448='Tóm tắt'!$A9))/SUMIFS(Data!AJ$5:AJ$448,Data!$A$5:$A$448,'Tóm tắt'!$A9),0)</f>
        <v>0</v>
      </c>
      <c r="CA9" s="50" cm="1">
        <f t="array" ref="CA9">IFERROR(SUMPRODUCT(Data!AK$5:AK$448*Data!BX$5:BX$448*(Data!$A$5:$A$448='Tóm tắt'!$A9))/SUMIFS(Data!AK$5:AK$448,Data!$A$5:$A$448,'Tóm tắt'!$A9),0)</f>
        <v>0</v>
      </c>
      <c r="CB9" s="50" cm="1">
        <f t="array" ref="CB9">IFERROR(SUMPRODUCT(Data!AL$5:AL$448*Data!BY$5:BY$448*(Data!$A$5:$A$448='Tóm tắt'!$A9))/SUMIFS(Data!AL$5:AL$448,Data!$A$5:$A$448,'Tóm tắt'!$A9),0)</f>
        <v>0</v>
      </c>
      <c r="CC9" s="50" cm="1">
        <f t="array" ref="CC9">IFERROR(SUMPRODUCT(Data!AM$5:AM$448*Data!BZ$5:BZ$448*(Data!$A$5:$A$448='Tóm tắt'!$A9))/SUMIFS(Data!AM$5:AM$448,Data!$A$5:$A$448,'Tóm tắt'!$A9),0)</f>
        <v>0</v>
      </c>
      <c r="CD9" s="50" cm="1">
        <f t="array" ref="CD9">IFERROR(SUMPRODUCT(Data!AN$5:AN$448*Data!CA$5:CA$448*(Data!$A$5:$A$448='Tóm tắt'!$A9))/SUMIFS(Data!AN$5:AN$448,Data!$A$5:$A$448,'Tóm tắt'!$A9),0)</f>
        <v>0</v>
      </c>
      <c r="CE9" s="50" cm="1">
        <f t="array" ref="CE9">IFERROR(SUMPRODUCT(Data!AO$5:AO$448*Data!CB$5:CB$448*(Data!$A$5:$A$448='Tóm tắt'!$A9))/SUMIFS(Data!AO$5:AO$448,Data!$A$5:$A$448,'Tóm tắt'!$A9),0)</f>
        <v>0</v>
      </c>
      <c r="CF9" s="53" cm="1">
        <f t="array" ref="CF9">IFERROR(SUMPRODUCT(Data!AP$5:AP$448*Data!CC$5:CC$448*(Data!$A$5:$A$448='Tóm tắt'!$A9))/SUMIFS(Data!AP$5:AP$448,Data!$A$5:$A$448,'Tóm tắt'!$A9),0)</f>
        <v>1034.1906772228122</v>
      </c>
      <c r="CH9" s="50" cm="1">
        <f t="array" ref="CH9">IFERROR(SUMPRODUCT(Data!CD$5:CD$448*Data!D$5:D$448*(Data!$A$5:$A$448='Tóm tắt'!$A9))/SUMIFS(Data!D$5:D$448,Data!$A$5:$A$448,'Tóm tắt'!$A9),0)</f>
        <v>0</v>
      </c>
      <c r="CI9" s="50" cm="1">
        <f t="array" ref="CI9">IFERROR(SUMPRODUCT(Data!CE$5:CE$448*Data!E$5:E$448*(Data!$A$5:$A$448='Tóm tắt'!$A9))/SUMIFS(Data!E$5:E$448,Data!$A$5:$A$448,'Tóm tắt'!$A9),0)</f>
        <v>0</v>
      </c>
      <c r="CJ9" s="50" cm="1">
        <f t="array" ref="CJ9">IFERROR(SUMPRODUCT(Data!CF$5:CF$448*Data!F$5:F$448*(Data!$A$5:$A$448='Tóm tắt'!$A9))/SUMIFS(Data!F$5:F$448,Data!$A$5:$A$448,'Tóm tắt'!$A9),0)</f>
        <v>0</v>
      </c>
      <c r="CK9" s="50" cm="1">
        <f t="array" ref="CK9">IFERROR(SUMPRODUCT(Data!CG$5:CG$448*Data!G$5:G$448*(Data!$A$5:$A$448='Tóm tắt'!$A9))/SUMIFS(Data!G$5:G$448,Data!$A$5:$A$448,'Tóm tắt'!$A9),0)</f>
        <v>0</v>
      </c>
      <c r="CL9" s="50" cm="1">
        <f t="array" ref="CL9">IFERROR(SUMPRODUCT(Data!CH$5:CH$448*Data!H$5:H$448*(Data!$A$5:$A$448='Tóm tắt'!$A9))/SUMIFS(Data!H$5:H$448,Data!$A$5:$A$448,'Tóm tắt'!$A9),0)</f>
        <v>0</v>
      </c>
      <c r="CM9" s="50" cm="1">
        <f t="array" ref="CM9">IFERROR(SUMPRODUCT(Data!CI$5:CI$448*Data!I$5:I$448*(Data!$A$5:$A$448='Tóm tắt'!$A9))/SUMIFS(Data!I$5:I$448,Data!$A$5:$A$448,'Tóm tắt'!$A9),0)</f>
        <v>0</v>
      </c>
      <c r="CN9" s="50" cm="1">
        <f t="array" ref="CN9">IFERROR(SUMPRODUCT(Data!CJ$5:CJ$448*Data!J$5:J$448*(Data!$A$5:$A$448='Tóm tắt'!$A9))/SUMIFS(Data!J$5:J$448,Data!$A$5:$A$448,'Tóm tắt'!$A9),0)</f>
        <v>34637.483170042397</v>
      </c>
      <c r="CO9" s="50" cm="1">
        <f t="array" ref="CO9">IFERROR(SUMPRODUCT(Data!CK$5:CK$448*Data!K$5:K$448*(Data!$A$5:$A$448='Tóm tắt'!$A9))/SUMIFS(Data!K$5:K$448,Data!$A$5:$A$448,'Tóm tắt'!$A9),0)</f>
        <v>32734.511474014307</v>
      </c>
      <c r="CP9" s="50" cm="1">
        <f t="array" ref="CP9">IFERROR(SUMPRODUCT(Data!CL$5:CL$448*Data!L$5:L$448*(Data!$A$5:$A$448='Tóm tắt'!$A9))/SUMIFS(Data!L$5:L$448,Data!$A$5:$A$448,'Tóm tắt'!$A9),0)</f>
        <v>30956.860691176484</v>
      </c>
      <c r="CQ9" s="50" cm="1">
        <f t="array" ref="CQ9">IFERROR(SUMPRODUCT(Data!CM$5:CM$448*Data!M$5:M$448*(Data!$A$5:$A$448='Tóm tắt'!$A9))/SUMIFS(Data!M$5:M$448,Data!$A$5:$A$448,'Tóm tắt'!$A9),0)</f>
        <v>25958.588552142668</v>
      </c>
      <c r="CR9" s="50" cm="1">
        <f t="array" ref="CR9">IFERROR(SUMPRODUCT(Data!CN$5:CN$448*Data!N$5:N$448*(Data!$A$5:$A$448='Tóm tắt'!$A9))/SUMIFS(Data!N$5:N$448,Data!$A$5:$A$448,'Tóm tắt'!$A9),0)</f>
        <v>0</v>
      </c>
      <c r="CS9" s="50" cm="1">
        <f t="array" ref="CS9">IFERROR(SUMPRODUCT(Data!CO$5:CO$448*Data!O$5:O$448*(Data!$A$5:$A$448='Tóm tắt'!$A9))/SUMIFS(Data!O$5:O$448,Data!$A$5:$A$448,'Tóm tắt'!$A9),0)</f>
        <v>0</v>
      </c>
      <c r="CT9" s="105" cm="1">
        <f t="array" ref="CT9">IFERROR(SUMPRODUCT(Data!CP$5:CP$448*Data!P$5:P$448*(Data!$A$5:$A$448='Tóm tắt'!$A9))/SUMIFS(Data!P$5:P$448,Data!$A$5:$A$448,'Tóm tắt'!$A9),0)</f>
        <v>30566.452336984257</v>
      </c>
      <c r="CU9" s="50" cm="1">
        <f t="array" ref="CU9">IFERROR(SUMPRODUCT(Data!CQ$5:CQ$448*Data!Q$5:Q$448*(Data!$A$5:$A$448='Tóm tắt'!$A9))/SUMIFS(Data!Q$5:Q$448,Data!$A$5:$A$448,'Tóm tắt'!$A9),0)</f>
        <v>0</v>
      </c>
      <c r="CV9" s="50" cm="1">
        <f t="array" ref="CV9">IFERROR(SUMPRODUCT(Data!CR$5:CR$448*Data!R$5:R$448*(Data!$A$5:$A$448='Tóm tắt'!$A9))/SUMIFS(Data!R$5:R$448,Data!$A$5:$A$448,'Tóm tắt'!$A9),0)</f>
        <v>0</v>
      </c>
      <c r="CW9" s="50" cm="1">
        <f t="array" ref="CW9">IFERROR(SUMPRODUCT(Data!CS$5:CS$448*Data!S$5:S$448*(Data!$A$5:$A$448='Tóm tắt'!$A9))/SUMIFS(Data!S$5:S$448,Data!$A$5:$A$448,'Tóm tắt'!$A9),0)</f>
        <v>0</v>
      </c>
      <c r="CX9" s="50" cm="1">
        <f t="array" ref="CX9">IFERROR(SUMPRODUCT(Data!CT$5:CT$448*Data!T$5:T$448*(Data!$A$5:$A$448='Tóm tắt'!$A9))/SUMIFS(Data!T$5:T$448,Data!$A$5:$A$448,'Tóm tắt'!$A9),0)</f>
        <v>0</v>
      </c>
      <c r="CY9" s="50" cm="1">
        <f t="array" ref="CY9">IFERROR(SUMPRODUCT(Data!CU$5:CU$448*Data!U$5:U$448*(Data!$A$5:$A$448='Tóm tắt'!$A9))/SUMIFS(Data!U$5:U$448,Data!$A$5:$A$448,'Tóm tắt'!$A9),0)</f>
        <v>0</v>
      </c>
      <c r="CZ9" s="50" cm="1">
        <f t="array" ref="CZ9">IFERROR(SUMPRODUCT(Data!CV$5:CV$448*Data!V$5:V$448*(Data!$A$5:$A$448='Tóm tắt'!$A9))/SUMIFS(Data!V$5:V$448,Data!$A$5:$A$448,'Tóm tắt'!$A9),0)</f>
        <v>24892.503037878785</v>
      </c>
      <c r="DA9" s="50" cm="1">
        <f t="array" ref="DA9">IFERROR(SUMPRODUCT(Data!CW$5:CW$448*Data!W$5:W$448*(Data!$A$5:$A$448='Tóm tắt'!$A9))/SUMIFS(Data!W$5:W$448,Data!$A$5:$A$448,'Tóm tắt'!$A9),0)</f>
        <v>0</v>
      </c>
      <c r="DB9" s="50" cm="1">
        <f t="array" ref="DB9">IFERROR(SUMPRODUCT(Data!CX$5:CX$448*Data!X$5:X$448*(Data!$A$5:$A$448='Tóm tắt'!$A9))/SUMIFS(Data!X$5:X$448,Data!$A$5:$A$448,'Tóm tắt'!$A9),0)</f>
        <v>25694.032378787877</v>
      </c>
      <c r="DC9" s="50" cm="1">
        <f t="array" ref="DC9">IFERROR(SUMPRODUCT(Data!CY$5:CY$448*Data!Y$5:Y$448*(Data!$A$5:$A$448='Tóm tắt'!$A9))/SUMIFS(Data!Y$5:Y$448,Data!$A$5:$A$448,'Tóm tắt'!$A9),0)</f>
        <v>0</v>
      </c>
      <c r="DD9" s="50" cm="1">
        <f t="array" ref="DD9">IFERROR(SUMPRODUCT(Data!CZ$5:CZ$448*Data!Z$5:Z$448*(Data!$A$5:$A$448='Tóm tắt'!$A9))/SUMIFS(Data!Z$5:Z$448,Data!$A$5:$A$448,'Tóm tắt'!$A9),0)</f>
        <v>0</v>
      </c>
      <c r="DE9" s="50" cm="1">
        <f t="array" ref="DE9">IFERROR(SUMPRODUCT(Data!DA$5:DA$448*Data!AA$5:AA$448*(Data!$A$5:$A$448='Tóm tắt'!$A9))/SUMIFS(Data!AA$5:AA$448,Data!$A$5:$A$448,'Tóm tắt'!$A9),0)</f>
        <v>25386.201072727275</v>
      </c>
      <c r="DF9" s="50" cm="1">
        <f t="array" ref="DF9">IFERROR(SUMPRODUCT(Data!DB$5:DB$448*Data!AB$5:AB$448*(Data!$A$5:$A$448='Tóm tắt'!$A9))/SUMIFS(Data!AB$5:AB$448,Data!$A$5:$A$448,'Tóm tắt'!$A9),0)</f>
        <v>0</v>
      </c>
      <c r="DG9" s="105" cm="1">
        <f t="array" ref="DG9">IFERROR(SUMPRODUCT(Data!DC$5:DC$448*Data!AC$5:AC$448*(Data!$A$5:$A$448='Tóm tắt'!$A9))/SUMIFS(Data!AC$5:AC$448,Data!$A$5:$A$448,'Tóm tắt'!$A9),0)</f>
        <v>25324.245496464653</v>
      </c>
      <c r="DH9" s="50" cm="1">
        <f t="array" ref="DH9">IFERROR(SUMPRODUCT(Data!DD$5:DD$448*Data!AD$5:AD$448*(Data!$A$5:$A$448='Tóm tắt'!$A9))/SUMIFS(Data!AD$5:AD$448,Data!$A$5:$A$448,'Tóm tắt'!$A9),0)</f>
        <v>26954.321097461099</v>
      </c>
      <c r="DI9" s="50" cm="1">
        <f t="array" ref="DI9">IFERROR(SUMPRODUCT(Data!DE$5:DE$448*Data!AE$5:AE$448*(Data!$A$5:$A$448='Tóm tắt'!$A9))/SUMIFS(Data!AE$5:AE$448,Data!$A$5:$A$448,'Tóm tắt'!$A9),0)</f>
        <v>0</v>
      </c>
      <c r="DJ9" s="50" cm="1">
        <f t="array" ref="DJ9">IFERROR(SUMPRODUCT(Data!DF$5:DF$448*Data!AF$5:AF$448*(Data!$A$5:$A$448='Tóm tắt'!$A9))/SUMIFS(Data!AF$5:AF$448,Data!$A$5:$A$448,'Tóm tắt'!$A9),0)</f>
        <v>27211.708151177758</v>
      </c>
      <c r="DK9" s="50" cm="1">
        <f t="array" ref="DK9">IFERROR(SUMPRODUCT(Data!DG$5:DG$448*Data!AG$5:AG$448*(Data!$A$5:$A$448='Tóm tắt'!$A9))/SUMIFS(Data!AG$5:AG$448,Data!$A$5:$A$448,'Tóm tắt'!$A9),0)</f>
        <v>27211.708152742583</v>
      </c>
      <c r="DL9" s="50" cm="1">
        <f t="array" ref="DL9">IFERROR(SUMPRODUCT(Data!DH$5:DH$448*Data!AH$5:AH$448*(Data!$A$5:$A$448='Tóm tắt'!$A9))/SUMIFS(Data!AH$5:AH$448,Data!$A$5:$A$448,'Tóm tắt'!$A9),0)</f>
        <v>0</v>
      </c>
      <c r="DM9" s="50" cm="1">
        <f t="array" ref="DM9">IFERROR(SUMPRODUCT(Data!DI$5:DI$448*Data!AI$5:AI$448*(Data!$A$5:$A$448='Tóm tắt'!$A9))/SUMIFS(Data!AI$5:AI$448,Data!$A$5:$A$448,'Tóm tắt'!$A9),0)</f>
        <v>0</v>
      </c>
      <c r="DN9" s="50" cm="1">
        <f t="array" ref="DN9">IFERROR(SUMPRODUCT(Data!DJ$5:DJ$448*Data!AJ$5:AJ$448*(Data!$A$5:$A$448='Tóm tắt'!$A9))/SUMIFS(Data!AJ$5:AJ$448,Data!$A$5:$A$448,'Tóm tắt'!$A9),0)</f>
        <v>0</v>
      </c>
      <c r="DO9" s="50" cm="1">
        <f t="array" ref="DO9">IFERROR(SUMPRODUCT(Data!DK$5:DK$448*Data!AK$5:AK$448*(Data!$A$5:$A$448='Tóm tắt'!$A9))/SUMIFS(Data!AK$5:AK$448,Data!$A$5:$A$448,'Tóm tắt'!$A9),0)</f>
        <v>0</v>
      </c>
      <c r="DP9" s="50" cm="1">
        <f t="array" ref="DP9">IFERROR(SUMPRODUCT(Data!DL$5:DL$448*Data!AL$5:AL$448*(Data!$A$5:$A$448='Tóm tắt'!$A9))/SUMIFS(Data!AL$5:AL$448,Data!$A$5:$A$448,'Tóm tắt'!$A9),0)</f>
        <v>0</v>
      </c>
      <c r="DQ9" s="50" cm="1">
        <f t="array" ref="DQ9">IFERROR(SUMPRODUCT(Data!DM$5:DM$448*Data!AM$5:AM$448*(Data!$A$5:$A$448='Tóm tắt'!$A9))/SUMIFS(Data!AM$5:AM$448,Data!$A$5:$A$448,'Tóm tắt'!$A9),0)</f>
        <v>0</v>
      </c>
      <c r="DR9" s="50" cm="1">
        <f t="array" ref="DR9">IFERROR(SUMPRODUCT(Data!DN$5:DN$448*Data!AN$5:AN$448*(Data!$A$5:$A$448='Tóm tắt'!$A9))/SUMIFS(Data!AN$5:AN$448,Data!$A$5:$A$448,'Tóm tắt'!$A9),0)</f>
        <v>0</v>
      </c>
      <c r="DS9" s="50" cm="1">
        <f t="array" ref="DS9">IFERROR(SUMPRODUCT(Data!DO$5:DO$448*Data!AO$5:AO$448*(Data!$A$5:$A$448='Tóm tắt'!$A9))/SUMIFS(Data!AO$5:AO$448,Data!$A$5:$A$448,'Tóm tắt'!$A9),0)</f>
        <v>0</v>
      </c>
      <c r="DT9" s="105" cm="1">
        <f t="array" ref="DT9">IFERROR(SUMPRODUCT(Data!DP$5:DP$448*Data!AP$5:AP$448*(Data!$A$5:$A$448='Tóm tắt'!$A9))/SUMIFS(Data!AP$5:AP$448,Data!$A$5:$A$448,'Tóm tắt'!$A9),0)</f>
        <v>27142.653088748815</v>
      </c>
      <c r="DV9" s="105">
        <f t="shared" si="0"/>
        <v>-4540.5050566040591</v>
      </c>
      <c r="DW9" s="104">
        <f t="shared" si="4"/>
        <v>-181.90601179794248</v>
      </c>
      <c r="DX9" s="104">
        <f t="shared" si="5"/>
        <v>-63.410748763297306</v>
      </c>
      <c r="DZ9" s="124">
        <f t="shared" si="6"/>
        <v>6.8181174518315998E-2</v>
      </c>
      <c r="EA9" s="120">
        <f t="shared" si="7"/>
        <v>1.5735836429337294E-2</v>
      </c>
      <c r="EB9" s="125">
        <f t="shared" si="8"/>
        <v>5.4569598925547587E-2</v>
      </c>
      <c r="ED9" s="66">
        <f t="shared" si="9"/>
        <v>-0.17446070291654459</v>
      </c>
      <c r="EE9" s="66">
        <f t="shared" si="10"/>
        <v>-7.2350471565654217E-3</v>
      </c>
      <c r="EF9" s="66">
        <f t="shared" si="11"/>
        <v>-2.3416736689736428E-3</v>
      </c>
    </row>
    <row r="10" spans="1:138" x14ac:dyDescent="0.35">
      <c r="A10" s="48" t="s">
        <v>374</v>
      </c>
      <c r="B10" s="43">
        <v>6</v>
      </c>
      <c r="C10" s="40" t="s">
        <v>367</v>
      </c>
      <c r="D10" s="40"/>
      <c r="F10" s="111">
        <f>SUMIFS(Data!D$5:D$448,Data!$A$5:$A$448,'Tóm tắt'!$A10)</f>
        <v>0</v>
      </c>
      <c r="G10" s="111">
        <f>SUMIFS(Data!E$5:E$448,Data!$A$5:$A$448,'Tóm tắt'!$A10)</f>
        <v>0</v>
      </c>
      <c r="H10" s="111">
        <f>SUMIFS(Data!F$5:F$448,Data!$A$5:$A$448,'Tóm tắt'!$A10)</f>
        <v>0</v>
      </c>
      <c r="I10" s="111">
        <f>SUMIFS(Data!G$5:G$448,Data!$A$5:$A$448,'Tóm tắt'!$A10)</f>
        <v>225500</v>
      </c>
      <c r="J10" s="111">
        <f>SUMIFS(Data!H$5:H$448,Data!$A$5:$A$448,'Tóm tắt'!$A10)</f>
        <v>82500</v>
      </c>
      <c r="K10" s="111">
        <f>SUMIFS(Data!I$5:I$448,Data!$A$5:$A$448,'Tóm tắt'!$A10)</f>
        <v>185900</v>
      </c>
      <c r="L10" s="111">
        <f>SUMIFS(Data!J$5:J$448,Data!$A$5:$A$448,'Tóm tắt'!$A10)</f>
        <v>165000</v>
      </c>
      <c r="M10" s="111">
        <f>SUMIFS(Data!K$5:K$448,Data!$A$5:$A$448,'Tóm tắt'!$A10)</f>
        <v>0</v>
      </c>
      <c r="N10" s="111">
        <f>SUMIFS(Data!L$5:L$448,Data!$A$5:$A$448,'Tóm tắt'!$A10)</f>
        <v>220000</v>
      </c>
      <c r="O10" s="111">
        <f>SUMIFS(Data!M$5:M$448,Data!$A$5:$A$448,'Tóm tắt'!$A10)</f>
        <v>231000</v>
      </c>
      <c r="P10" s="111">
        <f>SUMIFS(Data!N$5:N$448,Data!$A$5:$A$448,'Tóm tắt'!$A10)</f>
        <v>11000</v>
      </c>
      <c r="Q10" s="111">
        <f>SUMIFS(Data!O$5:O$448,Data!$A$5:$A$448,'Tóm tắt'!$A10)</f>
        <v>242000</v>
      </c>
      <c r="R10" s="112">
        <f t="shared" si="1"/>
        <v>1362900</v>
      </c>
      <c r="S10" s="111">
        <f>SUMIFS(Data!Q$5:Q$448,Data!$A$5:$A$448,'Tóm tắt'!$A10)</f>
        <v>11000</v>
      </c>
      <c r="T10" s="111">
        <f>SUMIFS(Data!R$5:R$448,Data!$A$5:$A$448,'Tóm tắt'!$A10)</f>
        <v>16500</v>
      </c>
      <c r="U10" s="111">
        <f>SUMIFS(Data!S$5:S$448,Data!$A$5:$A$448,'Tóm tắt'!$A10)</f>
        <v>33000</v>
      </c>
      <c r="V10" s="111">
        <f>SUMIFS(Data!T$5:T$448,Data!$A$5:$A$448,'Tóm tắt'!$A10)</f>
        <v>0</v>
      </c>
      <c r="W10" s="111">
        <f>SUMIFS(Data!U$5:U$448,Data!$A$5:$A$448,'Tóm tắt'!$A10)</f>
        <v>0</v>
      </c>
      <c r="X10" s="111">
        <f>SUMIFS(Data!V$5:V$448,Data!$A$5:$A$448,'Tóm tắt'!$A10)</f>
        <v>146900</v>
      </c>
      <c r="Y10" s="111">
        <f>SUMIFS(Data!W$5:W$448,Data!$A$5:$A$448,'Tóm tắt'!$A10)</f>
        <v>567800</v>
      </c>
      <c r="Z10" s="111">
        <f>SUMIFS(Data!X$5:X$448,Data!$A$5:$A$448,'Tóm tắt'!$A10)</f>
        <v>321350</v>
      </c>
      <c r="AA10" s="111">
        <f>SUMIFS(Data!Y$5:Y$448,Data!$A$5:$A$448,'Tóm tắt'!$A10)</f>
        <v>202650</v>
      </c>
      <c r="AB10" s="111">
        <f>SUMIFS(Data!Z$5:Z$448,Data!$A$5:$A$448,'Tóm tắt'!$A10)</f>
        <v>194625</v>
      </c>
      <c r="AC10" s="111">
        <f>SUMIFS(Data!AA$5:AA$448,Data!$A$5:$A$448,'Tóm tắt'!$A10)</f>
        <v>27300</v>
      </c>
      <c r="AD10" s="111">
        <f>SUMIFS(Data!AB$5:AB$448,Data!$A$5:$A$448,'Tóm tắt'!$A10)</f>
        <v>22050</v>
      </c>
      <c r="AE10" s="112">
        <f t="shared" si="2"/>
        <v>1543175</v>
      </c>
      <c r="AF10" s="111">
        <f>SUMIFS(Data!AD$5:AD$448,Data!$A$5:$A$448,'Tóm tắt'!$A10)</f>
        <v>23100</v>
      </c>
      <c r="AG10" s="111">
        <f>SUMIFS(Data!AE$5:AE$448,Data!$A$5:$A$448,'Tóm tắt'!$A10)</f>
        <v>67200</v>
      </c>
      <c r="AH10" s="111">
        <f>SUMIFS(Data!AF$5:AF$448,Data!$A$5:$A$448,'Tóm tắt'!$A10)</f>
        <v>342500</v>
      </c>
      <c r="AI10" s="111">
        <f>SUMIFS(Data!AG$5:AG$448,Data!$A$5:$A$448,'Tóm tắt'!$A10)</f>
        <v>249000</v>
      </c>
      <c r="AJ10" s="111"/>
      <c r="AK10" s="111"/>
      <c r="AL10" s="111"/>
      <c r="AM10" s="111"/>
      <c r="AN10" s="111"/>
      <c r="AO10" s="111"/>
      <c r="AP10" s="111"/>
      <c r="AQ10" s="111"/>
      <c r="AR10" s="112">
        <f t="shared" si="3"/>
        <v>681800</v>
      </c>
      <c r="AT10" s="50" cm="1">
        <f t="array" ref="AT10">IFERROR(SUMPRODUCT(Data!D$5:D$448*Data!AQ$5:AQ$448*(Data!$A$5:$A$448='Tóm tắt'!$A10))/SUMIFS(Data!D$5:D$448,Data!$A$5:$A$448,'Tóm tắt'!$A10),0)</f>
        <v>0</v>
      </c>
      <c r="AU10" s="50" cm="1">
        <f t="array" ref="AU10">IFERROR(SUMPRODUCT(Data!E$5:E$448*Data!AR$5:AR$448*(Data!$A$5:$A$448='Tóm tắt'!$A10))/SUMIFS(Data!E$5:E$448,Data!$A$5:$A$448,'Tóm tắt'!$A10),0)</f>
        <v>0</v>
      </c>
      <c r="AV10" s="50" cm="1">
        <f t="array" ref="AV10">IFERROR(SUMPRODUCT(Data!F$5:F$448*Data!AS$5:AS$448*(Data!$A$5:$A$448='Tóm tắt'!$A10))/SUMIFS(Data!F$5:F$448,Data!$A$5:$A$448,'Tóm tắt'!$A10),0)</f>
        <v>0</v>
      </c>
      <c r="AW10" s="50" cm="1">
        <f t="array" ref="AW10">IFERROR(SUMPRODUCT(Data!G$5:G$448*Data!AT$5:AT$448*(Data!$A$5:$A$448='Tóm tắt'!$A10))/SUMIFS(Data!G$5:G$448,Data!$A$5:$A$448,'Tóm tắt'!$A10),0)</f>
        <v>660.75675870656949</v>
      </c>
      <c r="AX10" s="50" cm="1">
        <f t="array" ref="AX10">IFERROR(SUMPRODUCT(Data!H$5:H$448*Data!AU$5:AU$448*(Data!$A$5:$A$448='Tóm tắt'!$A10))/SUMIFS(Data!H$5:H$448,Data!$A$5:$A$448,'Tóm tắt'!$A10),0)</f>
        <v>776.62806286760235</v>
      </c>
      <c r="AY10" s="50" cm="1">
        <f t="array" ref="AY10">IFERROR(SUMPRODUCT(Data!I$5:I$448*Data!AV$5:AV$448*(Data!$A$5:$A$448='Tóm tắt'!$A10))/SUMIFS(Data!I$5:I$448,Data!$A$5:$A$448,'Tóm tắt'!$A10),0)</f>
        <v>657.24160809597163</v>
      </c>
      <c r="AZ10" s="50" cm="1">
        <f t="array" ref="AZ10">IFERROR(SUMPRODUCT(Data!J$5:J$448*Data!AW$5:AW$448*(Data!$A$5:$A$448='Tóm tắt'!$A10))/SUMIFS(Data!J$5:J$448,Data!$A$5:$A$448,'Tóm tắt'!$A10),0)</f>
        <v>647.38244805320971</v>
      </c>
      <c r="BA10" s="50" cm="1">
        <f t="array" ref="BA10">IFERROR(SUMPRODUCT(Data!K$5:K$448*Data!AX$5:AX$448*(Data!$A$5:$A$448='Tóm tắt'!$A10))/SUMIFS(Data!K$5:K$448,Data!$A$5:$A$448,'Tóm tắt'!$A10),0)</f>
        <v>0</v>
      </c>
      <c r="BB10" s="50" cm="1">
        <f t="array" ref="BB10">IFERROR(SUMPRODUCT(Data!L$5:L$448*Data!AY$5:AY$448*(Data!$A$5:$A$448='Tóm tắt'!$A10))/SUMIFS(Data!L$5:L$448,Data!$A$5:$A$448,'Tóm tắt'!$A10),0)</f>
        <v>705.72818777537668</v>
      </c>
      <c r="BC10" s="50" cm="1">
        <f t="array" ref="BC10">IFERROR(SUMPRODUCT(Data!M$5:M$448*Data!AZ$5:AZ$448*(Data!$A$5:$A$448='Tóm tắt'!$A10))/SUMIFS(Data!M$5:M$448,Data!$A$5:$A$448,'Tóm tắt'!$A10),0)</f>
        <v>717.2389320183961</v>
      </c>
      <c r="BD10" s="50" cm="1">
        <f t="array" ref="BD10">IFERROR(SUMPRODUCT(Data!N$5:N$448*Data!BA$5:BA$448*(Data!$A$5:$A$448='Tóm tắt'!$A10))/SUMIFS(Data!N$5:N$448,Data!$A$5:$A$448,'Tóm tắt'!$A10),0)</f>
        <v>747.79317268230659</v>
      </c>
      <c r="BE10" s="50" cm="1">
        <f t="array" ref="BE10">IFERROR(SUMPRODUCT(Data!O$5:O$448*Data!BB$5:BB$448*(Data!$A$5:$A$448='Tóm tắt'!$A10))/SUMIFS(Data!O$5:O$448,Data!$A$5:$A$448,'Tóm tắt'!$A10),0)</f>
        <v>741.23497694467574</v>
      </c>
      <c r="BF10" s="53" cm="1">
        <f t="array" ref="BF10">IFERROR(SUMPRODUCT(Data!P$5:P$448*Data!BC$5:BC$448*(Data!$A$5:$A$448='Tóm tắt'!$A10))/SUMIFS(Data!P$5:P$448,Data!$A$5:$A$448,'Tóm tắt'!$A10),0)</f>
        <v>697.49707761074035</v>
      </c>
      <c r="BG10" s="50" cm="1">
        <f t="array" ref="BG10">IFERROR(SUMPRODUCT(Data!Q$5:Q$448*Data!BD$5:BD$448*(Data!$A$5:$A$448='Tóm tắt'!$A10))/SUMIFS(Data!Q$5:Q$448,Data!$A$5:$A$448,'Tóm tắt'!$A10),0)</f>
        <v>747.32182490803473</v>
      </c>
      <c r="BH10" s="50" cm="1">
        <f t="array" ref="BH10">IFERROR(SUMPRODUCT(Data!R$5:R$448*Data!BE$5:BE$448*(Data!$A$5:$A$448='Tóm tắt'!$A10))/SUMIFS(Data!R$5:R$448,Data!$A$5:$A$448,'Tóm tắt'!$A10),0)</f>
        <v>744.75421089628242</v>
      </c>
      <c r="BI10" s="50" cm="1">
        <f t="array" ref="BI10">IFERROR(SUMPRODUCT(Data!S$5:S$448*Data!BF$5:BF$448*(Data!$A$5:$A$448='Tóm tắt'!$A10))/SUMIFS(Data!S$5:S$448,Data!$A$5:$A$448,'Tóm tắt'!$A10),0)</f>
        <v>742.66455170305744</v>
      </c>
      <c r="BJ10" s="50" cm="1">
        <f t="array" ref="BJ10">IFERROR(SUMPRODUCT(Data!T$5:T$448*Data!BG$5:BG$448*(Data!$A$5:$A$448='Tóm tắt'!$A10))/SUMIFS(Data!T$5:T$448,Data!$A$5:$A$448,'Tóm tắt'!$A10),0)</f>
        <v>0</v>
      </c>
      <c r="BK10" s="50" cm="1">
        <f t="array" ref="BK10">IFERROR(SUMPRODUCT(Data!U$5:U$448*Data!BH$5:BH$448*(Data!$A$5:$A$448='Tóm tắt'!$A10))/SUMIFS(Data!U$5:U$448,Data!$A$5:$A$448,'Tóm tắt'!$A10),0)</f>
        <v>0</v>
      </c>
      <c r="BL10" s="50" cm="1">
        <f t="array" ref="BL10">IFERROR(SUMPRODUCT(Data!V$5:V$448*Data!BI$5:BI$448*(Data!$A$5:$A$448='Tóm tắt'!$A10))/SUMIFS(Data!V$5:V$448,Data!$A$5:$A$448,'Tóm tắt'!$A10),0)</f>
        <v>635.29009470388814</v>
      </c>
      <c r="BM10" s="50" cm="1">
        <f t="array" ref="BM10">IFERROR(SUMPRODUCT(Data!W$5:W$448*Data!BJ$5:BJ$448*(Data!$A$5:$A$448='Tóm tắt'!$A10))/SUMIFS(Data!W$5:W$448,Data!$A$5:$A$448,'Tóm tắt'!$A10),0)</f>
        <v>663.583546844804</v>
      </c>
      <c r="BN10" s="50" cm="1">
        <f t="array" ref="BN10">IFERROR(SUMPRODUCT(Data!X$5:X$448*Data!BK$5:BK$448*(Data!$A$5:$A$448='Tóm tắt'!$A10))/SUMIFS(Data!X$5:X$448,Data!$A$5:$A$448,'Tóm tắt'!$A10),0)</f>
        <v>670.16644007319508</v>
      </c>
      <c r="BO10" s="50" cm="1">
        <f t="array" ref="BO10">IFERROR(SUMPRODUCT(Data!Y$5:Y$448*Data!BL$5:BL$448*(Data!$A$5:$A$448='Tóm tắt'!$A10))/SUMIFS(Data!Y$5:Y$448,Data!$A$5:$A$448,'Tóm tắt'!$A10),0)</f>
        <v>673.1041630288147</v>
      </c>
      <c r="BP10" s="50" cm="1">
        <f t="array" ref="BP10">IFERROR(SUMPRODUCT(Data!Z$5:Z$448*Data!BM$5:BM$448*(Data!$A$5:$A$448='Tóm tắt'!$A10))/SUMIFS(Data!Z$5:Z$448,Data!$A$5:$A$448,'Tóm tắt'!$A10),0)</f>
        <v>661.04474528840672</v>
      </c>
      <c r="BQ10" s="50" cm="1">
        <f t="array" ref="BQ10">IFERROR(SUMPRODUCT(Data!AA$5:AA$448*Data!BN$5:BN$448*(Data!$A$5:$A$448='Tóm tắt'!$A10))/SUMIFS(Data!AA$5:AA$448,Data!$A$5:$A$448,'Tóm tắt'!$A10),0)</f>
        <v>630.11155863498288</v>
      </c>
      <c r="BR10" s="50" cm="1">
        <f t="array" ref="BR10">IFERROR(SUMPRODUCT(Data!AB$5:AB$448*Data!BO$5:BO$448*(Data!$A$5:$A$448='Tóm tắt'!$A10))/SUMIFS(Data!AB$5:AB$448,Data!$A$5:$A$448,'Tóm tắt'!$A10),0)</f>
        <v>642.27257579583829</v>
      </c>
      <c r="BS10" s="53" cm="1">
        <f t="array" ref="BS10">IFERROR(SUMPRODUCT(Data!AC$5:AC$448*Data!BP$5:BP$448*(Data!$A$5:$A$448='Tóm tắt'!$A10))/SUMIFS(Data!AC$5:AC$448,Data!$A$5:$A$448,'Tóm tắt'!$A10),0)</f>
        <v>665.45032230599827</v>
      </c>
      <c r="BT10" s="50" cm="1">
        <f t="array" ref="BT10">IFERROR(SUMPRODUCT(Data!AD$5:AD$448*Data!BQ$5:BQ$448*(Data!$A$5:$A$448='Tóm tắt'!$A10))/SUMIFS(Data!AD$5:AD$448,Data!$A$5:$A$448,'Tóm tắt'!$A10),0)</f>
        <v>674.43843602512118</v>
      </c>
      <c r="BU10" s="50" cm="1">
        <f t="array" ref="BU10">IFERROR(SUMPRODUCT(Data!AE$5:AE$448*Data!BR$5:BR$448*(Data!$A$5:$A$448='Tóm tắt'!$A10))/SUMIFS(Data!AE$5:AE$448,Data!$A$5:$A$448,'Tóm tắt'!$A10),0)</f>
        <v>663.74774535422921</v>
      </c>
      <c r="BV10" s="50" cm="1">
        <f t="array" ref="BV10">IFERROR(SUMPRODUCT(Data!AF$5:AF$448*Data!BS$5:BS$448*(Data!$A$5:$A$448='Tóm tắt'!$A10))/SUMIFS(Data!AF$5:AF$448,Data!$A$5:$A$448,'Tóm tắt'!$A10),0)</f>
        <v>629.46960018157199</v>
      </c>
      <c r="BW10" s="50" cm="1">
        <f t="array" ref="BW10">IFERROR(SUMPRODUCT(Data!AG$5:AG$448*Data!BT$5:BT$448*(Data!$A$5:$A$448='Tóm tắt'!$A10))/SUMIFS(Data!AG$5:AG$448,Data!$A$5:$A$448,'Tóm tắt'!$A10),0)</f>
        <v>747.09540138055888</v>
      </c>
      <c r="BX10" s="50" cm="1">
        <f t="array" ref="BX10">IFERROR(SUMPRODUCT(Data!AH$5:AH$448*Data!BU$5:BU$448*(Data!$A$5:$A$448='Tóm tắt'!$A10))/SUMIFS(Data!AH$5:AH$448,Data!$A$5:$A$448,'Tóm tắt'!$A10),0)</f>
        <v>0</v>
      </c>
      <c r="BY10" s="50" cm="1">
        <f t="array" ref="BY10">IFERROR(SUMPRODUCT(Data!AI$5:AI$448*Data!BV$5:BV$448*(Data!$A$5:$A$448='Tóm tắt'!$A10))/SUMIFS(Data!AI$5:AI$448,Data!$A$5:$A$448,'Tóm tắt'!$A10),0)</f>
        <v>0</v>
      </c>
      <c r="BZ10" s="50" cm="1">
        <f t="array" ref="BZ10">IFERROR(SUMPRODUCT(Data!AJ$5:AJ$448*Data!BW$5:BW$448*(Data!$A$5:$A$448='Tóm tắt'!$A10))/SUMIFS(Data!AJ$5:AJ$448,Data!$A$5:$A$448,'Tóm tắt'!$A10),0)</f>
        <v>0</v>
      </c>
      <c r="CA10" s="50" cm="1">
        <f t="array" ref="CA10">IFERROR(SUMPRODUCT(Data!AK$5:AK$448*Data!BX$5:BX$448*(Data!$A$5:$A$448='Tóm tắt'!$A10))/SUMIFS(Data!AK$5:AK$448,Data!$A$5:$A$448,'Tóm tắt'!$A10),0)</f>
        <v>0</v>
      </c>
      <c r="CB10" s="50" cm="1">
        <f t="array" ref="CB10">IFERROR(SUMPRODUCT(Data!AL$5:AL$448*Data!BY$5:BY$448*(Data!$A$5:$A$448='Tóm tắt'!$A10))/SUMIFS(Data!AL$5:AL$448,Data!$A$5:$A$448,'Tóm tắt'!$A10),0)</f>
        <v>0</v>
      </c>
      <c r="CC10" s="50" cm="1">
        <f t="array" ref="CC10">IFERROR(SUMPRODUCT(Data!AM$5:AM$448*Data!BZ$5:BZ$448*(Data!$A$5:$A$448='Tóm tắt'!$A10))/SUMIFS(Data!AM$5:AM$448,Data!$A$5:$A$448,'Tóm tắt'!$A10),0)</f>
        <v>0</v>
      </c>
      <c r="CD10" s="50" cm="1">
        <f t="array" ref="CD10">IFERROR(SUMPRODUCT(Data!AN$5:AN$448*Data!CA$5:CA$448*(Data!$A$5:$A$448='Tóm tắt'!$A10))/SUMIFS(Data!AN$5:AN$448,Data!$A$5:$A$448,'Tóm tắt'!$A10),0)</f>
        <v>0</v>
      </c>
      <c r="CE10" s="50" cm="1">
        <f t="array" ref="CE10">IFERROR(SUMPRODUCT(Data!AO$5:AO$448*Data!CB$5:CB$448*(Data!$A$5:$A$448='Tóm tắt'!$A10))/SUMIFS(Data!AO$5:AO$448,Data!$A$5:$A$448,'Tóm tắt'!$A10),0)</f>
        <v>0</v>
      </c>
      <c r="CF10" s="53" cm="1">
        <f t="array" ref="CF10">IFERROR(SUMPRODUCT(Data!AP$5:AP$448*Data!CC$5:CC$448*(Data!$A$5:$A$448='Tóm tắt'!$A10))/SUMIFS(Data!AP$5:AP$448,Data!$A$5:$A$448,'Tóm tắt'!$A10),0)</f>
        <v>677.32981719849192</v>
      </c>
      <c r="CH10" s="50" cm="1">
        <f t="array" ref="CH10">IFERROR(SUMPRODUCT(Data!CD$5:CD$448*Data!D$5:D$448*(Data!$A$5:$A$448='Tóm tắt'!$A10))/SUMIFS(Data!D$5:D$448,Data!$A$5:$A$448,'Tóm tắt'!$A10),0)</f>
        <v>0</v>
      </c>
      <c r="CI10" s="50" cm="1">
        <f t="array" ref="CI10">IFERROR(SUMPRODUCT(Data!CE$5:CE$448*Data!E$5:E$448*(Data!$A$5:$A$448='Tóm tắt'!$A10))/SUMIFS(Data!E$5:E$448,Data!$A$5:$A$448,'Tóm tắt'!$A10),0)</f>
        <v>0</v>
      </c>
      <c r="CJ10" s="50" cm="1">
        <f t="array" ref="CJ10">IFERROR(SUMPRODUCT(Data!CF$5:CF$448*Data!F$5:F$448*(Data!$A$5:$A$448='Tóm tắt'!$A10))/SUMIFS(Data!F$5:F$448,Data!$A$5:$A$448,'Tóm tắt'!$A10),0)</f>
        <v>0</v>
      </c>
      <c r="CK10" s="50" cm="1">
        <f t="array" ref="CK10">IFERROR(SUMPRODUCT(Data!CG$5:CG$448*Data!G$5:G$448*(Data!$A$5:$A$448='Tóm tắt'!$A10))/SUMIFS(Data!G$5:G$448,Data!$A$5:$A$448,'Tóm tắt'!$A10),0)</f>
        <v>22576.961609756105</v>
      </c>
      <c r="CL10" s="50" cm="1">
        <f t="array" ref="CL10">IFERROR(SUMPRODUCT(Data!CH$5:CH$448*Data!H$5:H$448*(Data!$A$5:$A$448='Tóm tắt'!$A10))/SUMIFS(Data!H$5:H$448,Data!$A$5:$A$448,'Tóm tắt'!$A10),0)</f>
        <v>17180.140981818182</v>
      </c>
      <c r="CM10" s="50" cm="1">
        <f t="array" ref="CM10">IFERROR(SUMPRODUCT(Data!CI$5:CI$448*Data!I$5:I$448*(Data!$A$5:$A$448='Tóm tắt'!$A10))/SUMIFS(Data!I$5:I$448,Data!$A$5:$A$448,'Tóm tắt'!$A10),0)</f>
        <v>20929.099295320069</v>
      </c>
      <c r="CN10" s="50" cm="1">
        <f t="array" ref="CN10">IFERROR(SUMPRODUCT(Data!CJ$5:CJ$448*Data!J$5:J$448*(Data!$A$5:$A$448='Tóm tắt'!$A10))/SUMIFS(Data!J$5:J$448,Data!$A$5:$A$448,'Tóm tắt'!$A10),0)</f>
        <v>23715.010248484847</v>
      </c>
      <c r="CO10" s="50" cm="1">
        <f t="array" ref="CO10">IFERROR(SUMPRODUCT(Data!CK$5:CK$448*Data!K$5:K$448*(Data!$A$5:$A$448='Tóm tắt'!$A10))/SUMIFS(Data!K$5:K$448,Data!$A$5:$A$448,'Tóm tắt'!$A10),0)</f>
        <v>0</v>
      </c>
      <c r="CP10" s="50" cm="1">
        <f t="array" ref="CP10">IFERROR(SUMPRODUCT(Data!CL$5:CL$448*Data!L$5:L$448*(Data!$A$5:$A$448='Tóm tắt'!$A10))/SUMIFS(Data!L$5:L$448,Data!$A$5:$A$448,'Tóm tắt'!$A10),0)</f>
        <v>23484.809703636362</v>
      </c>
      <c r="CQ10" s="50" cm="1">
        <f t="array" ref="CQ10">IFERROR(SUMPRODUCT(Data!CM$5:CM$448*Data!M$5:M$448*(Data!$A$5:$A$448='Tóm tắt'!$A10))/SUMIFS(Data!M$5:M$448,Data!$A$5:$A$448,'Tóm tắt'!$A10),0)</f>
        <v>23696.874238095235</v>
      </c>
      <c r="CR10" s="50" cm="1">
        <f t="array" ref="CR10">IFERROR(SUMPRODUCT(Data!CN$5:CN$448*Data!N$5:N$448*(Data!$A$5:$A$448='Tóm tắt'!$A10))/SUMIFS(Data!N$5:N$448,Data!$A$5:$A$448,'Tóm tắt'!$A10),0)</f>
        <v>26274.013454545453</v>
      </c>
      <c r="CS10" s="50" cm="1">
        <f t="array" ref="CS10">IFERROR(SUMPRODUCT(Data!CO$5:CO$448*Data!O$5:O$448*(Data!$A$5:$A$448='Tóm tắt'!$A10))/SUMIFS(Data!O$5:O$448,Data!$A$5:$A$448,'Tóm tắt'!$A10),0)</f>
        <v>23216.977801652891</v>
      </c>
      <c r="CT10" s="105" cm="1">
        <f t="array" ref="CT10">IFERROR(SUMPRODUCT(Data!CP$5:CP$448*Data!P$5:P$448*(Data!$A$5:$A$448='Tóm tắt'!$A10))/SUMIFS(Data!P$5:P$448,Data!$A$5:$A$448,'Tóm tắt'!$A10),0)</f>
        <v>22643.129784870489</v>
      </c>
      <c r="CU10" s="50" cm="1">
        <f t="array" ref="CU10">IFERROR(SUMPRODUCT(Data!CQ$5:CQ$448*Data!Q$5:Q$448*(Data!$A$5:$A$448='Tóm tắt'!$A10))/SUMIFS(Data!Q$5:Q$448,Data!$A$5:$A$448,'Tóm tắt'!$A10),0)</f>
        <v>24557.580818181817</v>
      </c>
      <c r="CV10" s="50" cm="1">
        <f t="array" ref="CV10">IFERROR(SUMPRODUCT(Data!CR$5:CR$448*Data!R$5:R$448*(Data!$A$5:$A$448='Tóm tắt'!$A10))/SUMIFS(Data!R$5:R$448,Data!$A$5:$A$448,'Tóm tắt'!$A10),0)</f>
        <v>21147.536363636365</v>
      </c>
      <c r="CW10" s="50" cm="1">
        <f t="array" ref="CW10">IFERROR(SUMPRODUCT(Data!CS$5:CS$448*Data!S$5:S$448*(Data!$A$5:$A$448='Tóm tắt'!$A10))/SUMIFS(Data!S$5:S$448,Data!$A$5:$A$448,'Tóm tắt'!$A10),0)</f>
        <v>20301.988575757576</v>
      </c>
      <c r="CX10" s="50" cm="1">
        <f t="array" ref="CX10">IFERROR(SUMPRODUCT(Data!CT$5:CT$448*Data!T$5:T$448*(Data!$A$5:$A$448='Tóm tắt'!$A10))/SUMIFS(Data!T$5:T$448,Data!$A$5:$A$448,'Tóm tắt'!$A10),0)</f>
        <v>0</v>
      </c>
      <c r="CY10" s="50" cm="1">
        <f t="array" ref="CY10">IFERROR(SUMPRODUCT(Data!CU$5:CU$448*Data!U$5:U$448*(Data!$A$5:$A$448='Tóm tắt'!$A10))/SUMIFS(Data!U$5:U$448,Data!$A$5:$A$448,'Tóm tắt'!$A10),0)</f>
        <v>0</v>
      </c>
      <c r="CZ10" s="50" cm="1">
        <f t="array" ref="CZ10">IFERROR(SUMPRODUCT(Data!CV$5:CV$448*Data!V$5:V$448*(Data!$A$5:$A$448='Tóm tắt'!$A10))/SUMIFS(Data!V$5:V$448,Data!$A$5:$A$448,'Tóm tắt'!$A10),0)</f>
        <v>24774.566153846154</v>
      </c>
      <c r="DA10" s="50" cm="1">
        <f t="array" ref="DA10">IFERROR(SUMPRODUCT(Data!CW$5:CW$448*Data!W$5:W$448*(Data!$A$5:$A$448='Tóm tắt'!$A10))/SUMIFS(Data!W$5:W$448,Data!$A$5:$A$448,'Tóm tắt'!$A10),0)</f>
        <v>25946.73827227897</v>
      </c>
      <c r="DB10" s="50" cm="1">
        <f t="array" ref="DB10">IFERROR(SUMPRODUCT(Data!CX$5:CX$448*Data!X$5:X$448*(Data!$A$5:$A$448='Tóm tắt'!$A10))/SUMIFS(Data!X$5:X$448,Data!$A$5:$A$448,'Tóm tắt'!$A10),0)</f>
        <v>28139.385218608986</v>
      </c>
      <c r="DC10" s="50" cm="1">
        <f t="array" ref="DC10">IFERROR(SUMPRODUCT(Data!CY$5:CY$448*Data!Y$5:Y$448*(Data!$A$5:$A$448='Tóm tắt'!$A10))/SUMIFS(Data!Y$5:Y$448,Data!$A$5:$A$448,'Tóm tắt'!$A10),0)</f>
        <v>26917.765003700948</v>
      </c>
      <c r="DD10" s="50" cm="1">
        <f t="array" ref="DD10">IFERROR(SUMPRODUCT(Data!CZ$5:CZ$448*Data!Z$5:Z$448*(Data!$A$5:$A$448='Tóm tắt'!$A10))/SUMIFS(Data!Z$5:Z$448,Data!$A$5:$A$448,'Tóm tắt'!$A10),0)</f>
        <v>28552.292403339765</v>
      </c>
      <c r="DE10" s="50" cm="1">
        <f t="array" ref="DE10">IFERROR(SUMPRODUCT(Data!DA$5:DA$448*Data!AA$5:AA$448*(Data!$A$5:$A$448='Tóm tắt'!$A10))/SUMIFS(Data!AA$5:AA$448,Data!$A$5:$A$448,'Tóm tắt'!$A10),0)</f>
        <v>29006.96391941392</v>
      </c>
      <c r="DF10" s="50" cm="1">
        <f t="array" ref="DF10">IFERROR(SUMPRODUCT(Data!DB$5:DB$448*Data!AB$5:AB$448*(Data!$A$5:$A$448='Tóm tắt'!$A10))/SUMIFS(Data!AB$5:AB$448,Data!$A$5:$A$448,'Tóm tắt'!$A10),0)</f>
        <v>29049.589523809525</v>
      </c>
      <c r="DG10" s="105" cm="1">
        <f t="array" ref="DG10">IFERROR(SUMPRODUCT(Data!DC$5:DC$448*Data!AC$5:AC$448*(Data!$A$5:$A$448='Tóm tắt'!$A10))/SUMIFS(Data!AC$5:AC$448,Data!$A$5:$A$448,'Tóm tắt'!$A10),0)</f>
        <v>26664.425688596559</v>
      </c>
      <c r="DH10" s="50" cm="1">
        <f t="array" ref="DH10">IFERROR(SUMPRODUCT(Data!DD$5:DD$448*Data!AD$5:AD$448*(Data!$A$5:$A$448='Tóm tắt'!$A10))/SUMIFS(Data!AD$5:AD$448,Data!$A$5:$A$448,'Tóm tắt'!$A10),0)</f>
        <v>28728.438138528138</v>
      </c>
      <c r="DI10" s="50" cm="1">
        <f t="array" ref="DI10">IFERROR(SUMPRODUCT(Data!DE$5:DE$448*Data!AE$5:AE$448*(Data!$A$5:$A$448='Tóm tắt'!$A10))/SUMIFS(Data!AE$5:AE$448,Data!$A$5:$A$448,'Tóm tắt'!$A10),0)</f>
        <v>28691.706502976191</v>
      </c>
      <c r="DJ10" s="50" cm="1">
        <f t="array" ref="DJ10">IFERROR(SUMPRODUCT(Data!DF$5:DF$448*Data!AF$5:AF$448*(Data!$A$5:$A$448='Tóm tắt'!$A10))/SUMIFS(Data!AF$5:AF$448,Data!$A$5:$A$448,'Tóm tắt'!$A10),0)</f>
        <v>28354.809731386867</v>
      </c>
      <c r="DK10" s="50" cm="1">
        <f t="array" ref="DK10">IFERROR(SUMPRODUCT(Data!DG$5:DG$448*Data!AG$5:AG$448*(Data!$A$5:$A$448='Tóm tắt'!$A10))/SUMIFS(Data!AG$5:AG$448,Data!$A$5:$A$448,'Tóm tắt'!$A10),0)</f>
        <v>28354.809729099845</v>
      </c>
      <c r="DL10" s="50" cm="1">
        <f t="array" ref="DL10">IFERROR(SUMPRODUCT(Data!DH$5:DH$448*Data!AH$5:AH$448*(Data!$A$5:$A$448='Tóm tắt'!$A10))/SUMIFS(Data!AH$5:AH$448,Data!$A$5:$A$448,'Tóm tắt'!$A10),0)</f>
        <v>0</v>
      </c>
      <c r="DM10" s="50" cm="1">
        <f t="array" ref="DM10">IFERROR(SUMPRODUCT(Data!DI$5:DI$448*Data!AI$5:AI$448*(Data!$A$5:$A$448='Tóm tắt'!$A10))/SUMIFS(Data!AI$5:AI$448,Data!$A$5:$A$448,'Tóm tắt'!$A10),0)</f>
        <v>0</v>
      </c>
      <c r="DN10" s="50" cm="1">
        <f t="array" ref="DN10">IFERROR(SUMPRODUCT(Data!DJ$5:DJ$448*Data!AJ$5:AJ$448*(Data!$A$5:$A$448='Tóm tắt'!$A10))/SUMIFS(Data!AJ$5:AJ$448,Data!$A$5:$A$448,'Tóm tắt'!$A10),0)</f>
        <v>0</v>
      </c>
      <c r="DO10" s="50" cm="1">
        <f t="array" ref="DO10">IFERROR(SUMPRODUCT(Data!DK$5:DK$448*Data!AK$5:AK$448*(Data!$A$5:$A$448='Tóm tắt'!$A10))/SUMIFS(Data!AK$5:AK$448,Data!$A$5:$A$448,'Tóm tắt'!$A10),0)</f>
        <v>0</v>
      </c>
      <c r="DP10" s="50" cm="1">
        <f t="array" ref="DP10">IFERROR(SUMPRODUCT(Data!DL$5:DL$448*Data!AL$5:AL$448*(Data!$A$5:$A$448='Tóm tắt'!$A10))/SUMIFS(Data!AL$5:AL$448,Data!$A$5:$A$448,'Tóm tắt'!$A10),0)</f>
        <v>0</v>
      </c>
      <c r="DQ10" s="50" cm="1">
        <f t="array" ref="DQ10">IFERROR(SUMPRODUCT(Data!DM$5:DM$448*Data!AM$5:AM$448*(Data!$A$5:$A$448='Tóm tắt'!$A10))/SUMIFS(Data!AM$5:AM$448,Data!$A$5:$A$448,'Tóm tắt'!$A10),0)</f>
        <v>0</v>
      </c>
      <c r="DR10" s="50" cm="1">
        <f t="array" ref="DR10">IFERROR(SUMPRODUCT(Data!DN$5:DN$448*Data!AN$5:AN$448*(Data!$A$5:$A$448='Tóm tắt'!$A10))/SUMIFS(Data!AN$5:AN$448,Data!$A$5:$A$448,'Tóm tắt'!$A10),0)</f>
        <v>0</v>
      </c>
      <c r="DS10" s="50" cm="1">
        <f t="array" ref="DS10">IFERROR(SUMPRODUCT(Data!DO$5:DO$448*Data!AO$5:AO$448*(Data!$A$5:$A$448='Tóm tắt'!$A10))/SUMIFS(Data!AO$5:AO$448,Data!$A$5:$A$448,'Tóm tắt'!$A10),0)</f>
        <v>0</v>
      </c>
      <c r="DT10" s="105" cm="1">
        <f t="array" ref="DT10">IFERROR(SUMPRODUCT(Data!DP$5:DP$448*Data!AP$5:AP$448*(Data!$A$5:$A$448='Tóm tắt'!$A10))/SUMIFS(Data!AP$5:AP$448,Data!$A$5:$A$448,'Tóm tắt'!$A10),0)</f>
        <v>28400.67402984139</v>
      </c>
      <c r="DV10" s="105">
        <f t="shared" si="0"/>
        <v>-5304.2024534917582</v>
      </c>
      <c r="DW10" s="104">
        <f t="shared" si="4"/>
        <v>-9503.7105362230832</v>
      </c>
      <c r="DX10" s="104">
        <f t="shared" si="5"/>
        <v>-10665.474256749225</v>
      </c>
      <c r="DZ10" s="124">
        <f t="shared" si="6"/>
        <v>3.8422213252434514E-2</v>
      </c>
      <c r="EA10" s="120">
        <f t="shared" si="7"/>
        <v>3.6792650578549364E-2</v>
      </c>
      <c r="EB10" s="125">
        <f t="shared" si="8"/>
        <v>4.124784096168331E-2</v>
      </c>
      <c r="ED10" s="66">
        <f t="shared" si="9"/>
        <v>-0.30591295252115147</v>
      </c>
      <c r="EE10" s="66">
        <f t="shared" si="10"/>
        <v>-0.55380620515157486</v>
      </c>
      <c r="EF10" s="66">
        <f t="shared" si="11"/>
        <v>-0.60137322348806443</v>
      </c>
    </row>
    <row r="11" spans="1:138" x14ac:dyDescent="0.35">
      <c r="A11" s="48" t="s">
        <v>368</v>
      </c>
      <c r="B11" s="42">
        <v>7</v>
      </c>
      <c r="C11" s="40" t="s">
        <v>368</v>
      </c>
      <c r="D11" s="40"/>
      <c r="F11" s="111">
        <f>SUMIFS(Data!D$5:D$448,Data!$A$5:$A$448,'Tóm tắt'!$A11)</f>
        <v>0</v>
      </c>
      <c r="G11" s="111">
        <f>SUMIFS(Data!E$5:E$448,Data!$A$5:$A$448,'Tóm tắt'!$A11)</f>
        <v>0</v>
      </c>
      <c r="H11" s="111">
        <f>SUMIFS(Data!F$5:F$448,Data!$A$5:$A$448,'Tóm tắt'!$A11)</f>
        <v>0</v>
      </c>
      <c r="I11" s="111">
        <f>SUMIFS(Data!G$5:G$448,Data!$A$5:$A$448,'Tóm tắt'!$A11)</f>
        <v>0</v>
      </c>
      <c r="J11" s="111">
        <f>SUMIFS(Data!H$5:H$448,Data!$A$5:$A$448,'Tóm tắt'!$A11)</f>
        <v>0</v>
      </c>
      <c r="K11" s="111">
        <f>SUMIFS(Data!I$5:I$448,Data!$A$5:$A$448,'Tóm tắt'!$A11)</f>
        <v>0</v>
      </c>
      <c r="L11" s="111">
        <f>SUMIFS(Data!J$5:J$448,Data!$A$5:$A$448,'Tóm tắt'!$A11)</f>
        <v>0</v>
      </c>
      <c r="M11" s="111">
        <f>SUMIFS(Data!K$5:K$448,Data!$A$5:$A$448,'Tóm tắt'!$A11)</f>
        <v>0</v>
      </c>
      <c r="N11" s="111">
        <f>SUMIFS(Data!L$5:L$448,Data!$A$5:$A$448,'Tóm tắt'!$A11)</f>
        <v>0</v>
      </c>
      <c r="O11" s="111">
        <f>SUMIFS(Data!M$5:M$448,Data!$A$5:$A$448,'Tóm tắt'!$A11)</f>
        <v>0</v>
      </c>
      <c r="P11" s="111">
        <f>SUMIFS(Data!N$5:N$448,Data!$A$5:$A$448,'Tóm tắt'!$A11)</f>
        <v>0</v>
      </c>
      <c r="Q11" s="111">
        <f>SUMIFS(Data!O$5:O$448,Data!$A$5:$A$448,'Tóm tắt'!$A11)</f>
        <v>0</v>
      </c>
      <c r="R11" s="112">
        <f t="shared" si="1"/>
        <v>0</v>
      </c>
      <c r="S11" s="111">
        <f>SUMIFS(Data!Q$5:Q$448,Data!$A$5:$A$448,'Tóm tắt'!$A11)</f>
        <v>0</v>
      </c>
      <c r="T11" s="111">
        <f>SUMIFS(Data!R$5:R$448,Data!$A$5:$A$448,'Tóm tắt'!$A11)</f>
        <v>0</v>
      </c>
      <c r="U11" s="111">
        <f>SUMIFS(Data!S$5:S$448,Data!$A$5:$A$448,'Tóm tắt'!$A11)</f>
        <v>0</v>
      </c>
      <c r="V11" s="111">
        <f>SUMIFS(Data!T$5:T$448,Data!$A$5:$A$448,'Tóm tắt'!$A11)</f>
        <v>0</v>
      </c>
      <c r="W11" s="111">
        <f>SUMIFS(Data!U$5:U$448,Data!$A$5:$A$448,'Tóm tắt'!$A11)</f>
        <v>0</v>
      </c>
      <c r="X11" s="111">
        <f>SUMIFS(Data!V$5:V$448,Data!$A$5:$A$448,'Tóm tắt'!$A11)</f>
        <v>0</v>
      </c>
      <c r="Y11" s="111">
        <f>SUMIFS(Data!W$5:W$448,Data!$A$5:$A$448,'Tóm tắt'!$A11)</f>
        <v>0</v>
      </c>
      <c r="Z11" s="111">
        <f>SUMIFS(Data!X$5:X$448,Data!$A$5:$A$448,'Tóm tắt'!$A11)</f>
        <v>0</v>
      </c>
      <c r="AA11" s="111">
        <f>SUMIFS(Data!Y$5:Y$448,Data!$A$5:$A$448,'Tóm tắt'!$A11)</f>
        <v>0</v>
      </c>
      <c r="AB11" s="111">
        <f>SUMIFS(Data!Z$5:Z$448,Data!$A$5:$A$448,'Tóm tắt'!$A11)</f>
        <v>0</v>
      </c>
      <c r="AC11" s="111">
        <f>SUMIFS(Data!AA$5:AA$448,Data!$A$5:$A$448,'Tóm tắt'!$A11)</f>
        <v>0</v>
      </c>
      <c r="AD11" s="111">
        <f>SUMIFS(Data!AB$5:AB$448,Data!$A$5:$A$448,'Tóm tắt'!$A11)</f>
        <v>20000</v>
      </c>
      <c r="AE11" s="112">
        <f t="shared" si="2"/>
        <v>20000</v>
      </c>
      <c r="AF11" s="111">
        <f>SUMIFS(Data!AD$5:AD$448,Data!$A$5:$A$448,'Tóm tắt'!$A11)</f>
        <v>0</v>
      </c>
      <c r="AG11" s="111">
        <f>SUMIFS(Data!AE$5:AE$448,Data!$A$5:$A$448,'Tóm tắt'!$A11)</f>
        <v>0</v>
      </c>
      <c r="AH11" s="111">
        <f>SUMIFS(Data!AF$5:AF$448,Data!$A$5:$A$448,'Tóm tắt'!$A11)</f>
        <v>0</v>
      </c>
      <c r="AI11" s="111">
        <f>SUMIFS(Data!AG$5:AG$448,Data!$A$5:$A$448,'Tóm tắt'!$A11)</f>
        <v>660000</v>
      </c>
      <c r="AJ11" s="111"/>
      <c r="AK11" s="111"/>
      <c r="AL11" s="111"/>
      <c r="AM11" s="111"/>
      <c r="AN11" s="111"/>
      <c r="AO11" s="111"/>
      <c r="AP11" s="111"/>
      <c r="AQ11" s="111"/>
      <c r="AR11" s="112">
        <f t="shared" si="3"/>
        <v>660000</v>
      </c>
      <c r="AT11" s="50" cm="1">
        <f t="array" ref="AT11">IFERROR(SUMPRODUCT(Data!D$5:D$448*Data!AQ$5:AQ$448*(Data!$A$5:$A$448='Tóm tắt'!$A11))/SUMIFS(Data!D$5:D$448,Data!$A$5:$A$448,'Tóm tắt'!$A11),0)</f>
        <v>0</v>
      </c>
      <c r="AU11" s="50" cm="1">
        <f t="array" ref="AU11">IFERROR(SUMPRODUCT(Data!E$5:E$448*Data!AR$5:AR$448*(Data!$A$5:$A$448='Tóm tắt'!$A11))/SUMIFS(Data!E$5:E$448,Data!$A$5:$A$448,'Tóm tắt'!$A11),0)</f>
        <v>0</v>
      </c>
      <c r="AV11" s="50" cm="1">
        <f t="array" ref="AV11">IFERROR(SUMPRODUCT(Data!F$5:F$448*Data!AS$5:AS$448*(Data!$A$5:$A$448='Tóm tắt'!$A11))/SUMIFS(Data!F$5:F$448,Data!$A$5:$A$448,'Tóm tắt'!$A11),0)</f>
        <v>0</v>
      </c>
      <c r="AW11" s="50" cm="1">
        <f t="array" ref="AW11">IFERROR(SUMPRODUCT(Data!G$5:G$448*Data!AT$5:AT$448*(Data!$A$5:$A$448='Tóm tắt'!$A11))/SUMIFS(Data!G$5:G$448,Data!$A$5:$A$448,'Tóm tắt'!$A11),0)</f>
        <v>0</v>
      </c>
      <c r="AX11" s="50" cm="1">
        <f t="array" ref="AX11">IFERROR(SUMPRODUCT(Data!H$5:H$448*Data!AU$5:AU$448*(Data!$A$5:$A$448='Tóm tắt'!$A11))/SUMIFS(Data!H$5:H$448,Data!$A$5:$A$448,'Tóm tắt'!$A11),0)</f>
        <v>0</v>
      </c>
      <c r="AY11" s="50" cm="1">
        <f t="array" ref="AY11">IFERROR(SUMPRODUCT(Data!I$5:I$448*Data!AV$5:AV$448*(Data!$A$5:$A$448='Tóm tắt'!$A11))/SUMIFS(Data!I$5:I$448,Data!$A$5:$A$448,'Tóm tắt'!$A11),0)</f>
        <v>0</v>
      </c>
      <c r="AZ11" s="50" cm="1">
        <f t="array" ref="AZ11">IFERROR(SUMPRODUCT(Data!J$5:J$448*Data!AW$5:AW$448*(Data!$A$5:$A$448='Tóm tắt'!$A11))/SUMIFS(Data!J$5:J$448,Data!$A$5:$A$448,'Tóm tắt'!$A11),0)</f>
        <v>0</v>
      </c>
      <c r="BA11" s="50" cm="1">
        <f t="array" ref="BA11">IFERROR(SUMPRODUCT(Data!K$5:K$448*Data!AX$5:AX$448*(Data!$A$5:$A$448='Tóm tắt'!$A11))/SUMIFS(Data!K$5:K$448,Data!$A$5:$A$448,'Tóm tắt'!$A11),0)</f>
        <v>0</v>
      </c>
      <c r="BB11" s="50" cm="1">
        <f t="array" ref="BB11">IFERROR(SUMPRODUCT(Data!L$5:L$448*Data!AY$5:AY$448*(Data!$A$5:$A$448='Tóm tắt'!$A11))/SUMIFS(Data!L$5:L$448,Data!$A$5:$A$448,'Tóm tắt'!$A11),0)</f>
        <v>0</v>
      </c>
      <c r="BC11" s="50" cm="1">
        <f t="array" ref="BC11">IFERROR(SUMPRODUCT(Data!M$5:M$448*Data!AZ$5:AZ$448*(Data!$A$5:$A$448='Tóm tắt'!$A11))/SUMIFS(Data!M$5:M$448,Data!$A$5:$A$448,'Tóm tắt'!$A11),0)</f>
        <v>0</v>
      </c>
      <c r="BD11" s="50" cm="1">
        <f t="array" ref="BD11">IFERROR(SUMPRODUCT(Data!N$5:N$448*Data!BA$5:BA$448*(Data!$A$5:$A$448='Tóm tắt'!$A11))/SUMIFS(Data!N$5:N$448,Data!$A$5:$A$448,'Tóm tắt'!$A11),0)</f>
        <v>0</v>
      </c>
      <c r="BE11" s="50" cm="1">
        <f t="array" ref="BE11">IFERROR(SUMPRODUCT(Data!O$5:O$448*Data!BB$5:BB$448*(Data!$A$5:$A$448='Tóm tắt'!$A11))/SUMIFS(Data!O$5:O$448,Data!$A$5:$A$448,'Tóm tắt'!$A11),0)</f>
        <v>0</v>
      </c>
      <c r="BF11" s="53" cm="1">
        <f t="array" ref="BF11">IFERROR(SUMPRODUCT(Data!P$5:P$448*Data!BC$5:BC$448*(Data!$A$5:$A$448='Tóm tắt'!$A11))/SUMIFS(Data!P$5:P$448,Data!$A$5:$A$448,'Tóm tắt'!$A11),0)</f>
        <v>0</v>
      </c>
      <c r="BG11" s="50" cm="1">
        <f t="array" ref="BG11">IFERROR(SUMPRODUCT(Data!Q$5:Q$448*Data!BD$5:BD$448*(Data!$A$5:$A$448='Tóm tắt'!$A11))/SUMIFS(Data!Q$5:Q$448,Data!$A$5:$A$448,'Tóm tắt'!$A11),0)</f>
        <v>0</v>
      </c>
      <c r="BH11" s="50" cm="1">
        <f t="array" ref="BH11">IFERROR(SUMPRODUCT(Data!R$5:R$448*Data!BE$5:BE$448*(Data!$A$5:$A$448='Tóm tắt'!$A11))/SUMIFS(Data!R$5:R$448,Data!$A$5:$A$448,'Tóm tắt'!$A11),0)</f>
        <v>0</v>
      </c>
      <c r="BI11" s="50" cm="1">
        <f t="array" ref="BI11">IFERROR(SUMPRODUCT(Data!S$5:S$448*Data!BF$5:BF$448*(Data!$A$5:$A$448='Tóm tắt'!$A11))/SUMIFS(Data!S$5:S$448,Data!$A$5:$A$448,'Tóm tắt'!$A11),0)</f>
        <v>0</v>
      </c>
      <c r="BJ11" s="50" cm="1">
        <f t="array" ref="BJ11">IFERROR(SUMPRODUCT(Data!T$5:T$448*Data!BG$5:BG$448*(Data!$A$5:$A$448='Tóm tắt'!$A11))/SUMIFS(Data!T$5:T$448,Data!$A$5:$A$448,'Tóm tắt'!$A11),0)</f>
        <v>0</v>
      </c>
      <c r="BK11" s="50" cm="1">
        <f t="array" ref="BK11">IFERROR(SUMPRODUCT(Data!U$5:U$448*Data!BH$5:BH$448*(Data!$A$5:$A$448='Tóm tắt'!$A11))/SUMIFS(Data!U$5:U$448,Data!$A$5:$A$448,'Tóm tắt'!$A11),0)</f>
        <v>0</v>
      </c>
      <c r="BL11" s="50" cm="1">
        <f t="array" ref="BL11">IFERROR(SUMPRODUCT(Data!V$5:V$448*Data!BI$5:BI$448*(Data!$A$5:$A$448='Tóm tắt'!$A11))/SUMIFS(Data!V$5:V$448,Data!$A$5:$A$448,'Tóm tắt'!$A11),0)</f>
        <v>0</v>
      </c>
      <c r="BM11" s="50" cm="1">
        <f t="array" ref="BM11">IFERROR(SUMPRODUCT(Data!W$5:W$448*Data!BJ$5:BJ$448*(Data!$A$5:$A$448='Tóm tắt'!$A11))/SUMIFS(Data!W$5:W$448,Data!$A$5:$A$448,'Tóm tắt'!$A11),0)</f>
        <v>0</v>
      </c>
      <c r="BN11" s="50" cm="1">
        <f t="array" ref="BN11">IFERROR(SUMPRODUCT(Data!X$5:X$448*Data!BK$5:BK$448*(Data!$A$5:$A$448='Tóm tắt'!$A11))/SUMIFS(Data!X$5:X$448,Data!$A$5:$A$448,'Tóm tắt'!$A11),0)</f>
        <v>0</v>
      </c>
      <c r="BO11" s="50" cm="1">
        <f t="array" ref="BO11">IFERROR(SUMPRODUCT(Data!Y$5:Y$448*Data!BL$5:BL$448*(Data!$A$5:$A$448='Tóm tắt'!$A11))/SUMIFS(Data!Y$5:Y$448,Data!$A$5:$A$448,'Tóm tắt'!$A11),0)</f>
        <v>0</v>
      </c>
      <c r="BP11" s="50" cm="1">
        <f t="array" ref="BP11">IFERROR(SUMPRODUCT(Data!Z$5:Z$448*Data!BM$5:BM$448*(Data!$A$5:$A$448='Tóm tắt'!$A11))/SUMIFS(Data!Z$5:Z$448,Data!$A$5:$A$448,'Tóm tắt'!$A11),0)</f>
        <v>0</v>
      </c>
      <c r="BQ11" s="50" cm="1">
        <f t="array" ref="BQ11">IFERROR(SUMPRODUCT(Data!AA$5:AA$448*Data!BN$5:BN$448*(Data!$A$5:$A$448='Tóm tắt'!$A11))/SUMIFS(Data!AA$5:AA$448,Data!$A$5:$A$448,'Tóm tắt'!$A11),0)</f>
        <v>0</v>
      </c>
      <c r="BR11" s="50" cm="1">
        <f t="array" ref="BR11">IFERROR(SUMPRODUCT(Data!AB$5:AB$448*Data!BO$5:BO$448*(Data!$A$5:$A$448='Tóm tắt'!$A11))/SUMIFS(Data!AB$5:AB$448,Data!$A$5:$A$448,'Tóm tắt'!$A11),0)</f>
        <v>913.20265886074719</v>
      </c>
      <c r="BS11" s="53" cm="1">
        <f t="array" ref="BS11">IFERROR(SUMPRODUCT(Data!AC$5:AC$448*Data!BP$5:BP$448*(Data!$A$5:$A$448='Tóm tắt'!$A11))/SUMIFS(Data!AC$5:AC$448,Data!$A$5:$A$448,'Tóm tắt'!$A11),0)</f>
        <v>913.20265886074719</v>
      </c>
      <c r="BT11" s="50" cm="1">
        <f t="array" ref="BT11">IFERROR(SUMPRODUCT(Data!AD$5:AD$448*Data!BQ$5:BQ$448*(Data!$A$5:$A$448='Tóm tắt'!$A11))/SUMIFS(Data!AD$5:AD$448,Data!$A$5:$A$448,'Tóm tắt'!$A11),0)</f>
        <v>0</v>
      </c>
      <c r="BU11" s="50" cm="1">
        <f t="array" ref="BU11">IFERROR(SUMPRODUCT(Data!AE$5:AE$448*Data!BR$5:BR$448*(Data!$A$5:$A$448='Tóm tắt'!$A11))/SUMIFS(Data!AE$5:AE$448,Data!$A$5:$A$448,'Tóm tắt'!$A11),0)</f>
        <v>0</v>
      </c>
      <c r="BV11" s="50" cm="1">
        <f t="array" ref="BV11">IFERROR(SUMPRODUCT(Data!AF$5:AF$448*Data!BS$5:BS$448*(Data!$A$5:$A$448='Tóm tắt'!$A11))/SUMIFS(Data!AF$5:AF$448,Data!$A$5:$A$448,'Tóm tắt'!$A11),0)</f>
        <v>0</v>
      </c>
      <c r="BW11" s="50" cm="1">
        <f t="array" ref="BW11">IFERROR(SUMPRODUCT(Data!AG$5:AG$448*Data!BT$5:BT$448*(Data!$A$5:$A$448='Tóm tắt'!$A11))/SUMIFS(Data!AG$5:AG$448,Data!$A$5:$A$448,'Tóm tắt'!$A11),0)</f>
        <v>766.66666666666674</v>
      </c>
      <c r="BX11" s="50" cm="1">
        <f t="array" ref="BX11">IFERROR(SUMPRODUCT(Data!AH$5:AH$448*Data!BU$5:BU$448*(Data!$A$5:$A$448='Tóm tắt'!$A11))/SUMIFS(Data!AH$5:AH$448,Data!$A$5:$A$448,'Tóm tắt'!$A11),0)</f>
        <v>0</v>
      </c>
      <c r="BY11" s="50" cm="1">
        <f t="array" ref="BY11">IFERROR(SUMPRODUCT(Data!AI$5:AI$448*Data!BV$5:BV$448*(Data!$A$5:$A$448='Tóm tắt'!$A11))/SUMIFS(Data!AI$5:AI$448,Data!$A$5:$A$448,'Tóm tắt'!$A11),0)</f>
        <v>0</v>
      </c>
      <c r="BZ11" s="50" cm="1">
        <f t="array" ref="BZ11">IFERROR(SUMPRODUCT(Data!AJ$5:AJ$448*Data!BW$5:BW$448*(Data!$A$5:$A$448='Tóm tắt'!$A11))/SUMIFS(Data!AJ$5:AJ$448,Data!$A$5:$A$448,'Tóm tắt'!$A11),0)</f>
        <v>0</v>
      </c>
      <c r="CA11" s="50" cm="1">
        <f t="array" ref="CA11">IFERROR(SUMPRODUCT(Data!AK$5:AK$448*Data!BX$5:BX$448*(Data!$A$5:$A$448='Tóm tắt'!$A11))/SUMIFS(Data!AK$5:AK$448,Data!$A$5:$A$448,'Tóm tắt'!$A11),0)</f>
        <v>0</v>
      </c>
      <c r="CB11" s="50" cm="1">
        <f t="array" ref="CB11">IFERROR(SUMPRODUCT(Data!AL$5:AL$448*Data!BY$5:BY$448*(Data!$A$5:$A$448='Tóm tắt'!$A11))/SUMIFS(Data!AL$5:AL$448,Data!$A$5:$A$448,'Tóm tắt'!$A11),0)</f>
        <v>0</v>
      </c>
      <c r="CC11" s="50" cm="1">
        <f t="array" ref="CC11">IFERROR(SUMPRODUCT(Data!AM$5:AM$448*Data!BZ$5:BZ$448*(Data!$A$5:$A$448='Tóm tắt'!$A11))/SUMIFS(Data!AM$5:AM$448,Data!$A$5:$A$448,'Tóm tắt'!$A11),0)</f>
        <v>0</v>
      </c>
      <c r="CD11" s="50" cm="1">
        <f t="array" ref="CD11">IFERROR(SUMPRODUCT(Data!AN$5:AN$448*Data!CA$5:CA$448*(Data!$A$5:$A$448='Tóm tắt'!$A11))/SUMIFS(Data!AN$5:AN$448,Data!$A$5:$A$448,'Tóm tắt'!$A11),0)</f>
        <v>0</v>
      </c>
      <c r="CE11" s="50" cm="1">
        <f t="array" ref="CE11">IFERROR(SUMPRODUCT(Data!AO$5:AO$448*Data!CB$5:CB$448*(Data!$A$5:$A$448='Tóm tắt'!$A11))/SUMIFS(Data!AO$5:AO$448,Data!$A$5:$A$448,'Tóm tắt'!$A11),0)</f>
        <v>0</v>
      </c>
      <c r="CF11" s="53" cm="1">
        <f t="array" ref="CF11">IFERROR(SUMPRODUCT(Data!AP$5:AP$448*Data!CC$5:CC$448*(Data!$A$5:$A$448='Tóm tắt'!$A11))/SUMIFS(Data!AP$5:AP$448,Data!$A$5:$A$448,'Tóm tắt'!$A11),0)</f>
        <v>766.66666666666674</v>
      </c>
      <c r="CH11" s="50" cm="1">
        <f t="array" ref="CH11">IFERROR(SUMPRODUCT(Data!CD$5:CD$448*Data!D$5:D$448*(Data!$A$5:$A$448='Tóm tắt'!$A11))/SUMIFS(Data!D$5:D$448,Data!$A$5:$A$448,'Tóm tắt'!$A11),0)</f>
        <v>0</v>
      </c>
      <c r="CI11" s="50" cm="1">
        <f t="array" ref="CI11">IFERROR(SUMPRODUCT(Data!CE$5:CE$448*Data!E$5:E$448*(Data!$A$5:$A$448='Tóm tắt'!$A11))/SUMIFS(Data!E$5:E$448,Data!$A$5:$A$448,'Tóm tắt'!$A11),0)</f>
        <v>0</v>
      </c>
      <c r="CJ11" s="50" cm="1">
        <f t="array" ref="CJ11">IFERROR(SUMPRODUCT(Data!CF$5:CF$448*Data!F$5:F$448*(Data!$A$5:$A$448='Tóm tắt'!$A11))/SUMIFS(Data!F$5:F$448,Data!$A$5:$A$448,'Tóm tắt'!$A11),0)</f>
        <v>0</v>
      </c>
      <c r="CK11" s="50" cm="1">
        <f t="array" ref="CK11">IFERROR(SUMPRODUCT(Data!CG$5:CG$448*Data!G$5:G$448*(Data!$A$5:$A$448='Tóm tắt'!$A11))/SUMIFS(Data!G$5:G$448,Data!$A$5:$A$448,'Tóm tắt'!$A11),0)</f>
        <v>0</v>
      </c>
      <c r="CL11" s="50" cm="1">
        <f t="array" ref="CL11">IFERROR(SUMPRODUCT(Data!CH$5:CH$448*Data!H$5:H$448*(Data!$A$5:$A$448='Tóm tắt'!$A11))/SUMIFS(Data!H$5:H$448,Data!$A$5:$A$448,'Tóm tắt'!$A11),0)</f>
        <v>0</v>
      </c>
      <c r="CM11" s="50" cm="1">
        <f t="array" ref="CM11">IFERROR(SUMPRODUCT(Data!CI$5:CI$448*Data!I$5:I$448*(Data!$A$5:$A$448='Tóm tắt'!$A11))/SUMIFS(Data!I$5:I$448,Data!$A$5:$A$448,'Tóm tắt'!$A11),0)</f>
        <v>0</v>
      </c>
      <c r="CN11" s="50" cm="1">
        <f t="array" ref="CN11">IFERROR(SUMPRODUCT(Data!CJ$5:CJ$448*Data!J$5:J$448*(Data!$A$5:$A$448='Tóm tắt'!$A11))/SUMIFS(Data!J$5:J$448,Data!$A$5:$A$448,'Tóm tắt'!$A11),0)</f>
        <v>0</v>
      </c>
      <c r="CO11" s="50" cm="1">
        <f t="array" ref="CO11">IFERROR(SUMPRODUCT(Data!CK$5:CK$448*Data!K$5:K$448*(Data!$A$5:$A$448='Tóm tắt'!$A11))/SUMIFS(Data!K$5:K$448,Data!$A$5:$A$448,'Tóm tắt'!$A11),0)</f>
        <v>0</v>
      </c>
      <c r="CP11" s="50" cm="1">
        <f t="array" ref="CP11">IFERROR(SUMPRODUCT(Data!CL$5:CL$448*Data!L$5:L$448*(Data!$A$5:$A$448='Tóm tắt'!$A11))/SUMIFS(Data!L$5:L$448,Data!$A$5:$A$448,'Tóm tắt'!$A11),0)</f>
        <v>0</v>
      </c>
      <c r="CQ11" s="50" cm="1">
        <f t="array" ref="CQ11">IFERROR(SUMPRODUCT(Data!CM$5:CM$448*Data!M$5:M$448*(Data!$A$5:$A$448='Tóm tắt'!$A11))/SUMIFS(Data!M$5:M$448,Data!$A$5:$A$448,'Tóm tắt'!$A11),0)</f>
        <v>0</v>
      </c>
      <c r="CR11" s="50" cm="1">
        <f t="array" ref="CR11">IFERROR(SUMPRODUCT(Data!CN$5:CN$448*Data!N$5:N$448*(Data!$A$5:$A$448='Tóm tắt'!$A11))/SUMIFS(Data!N$5:N$448,Data!$A$5:$A$448,'Tóm tắt'!$A11),0)</f>
        <v>0</v>
      </c>
      <c r="CS11" s="50" cm="1">
        <f t="array" ref="CS11">IFERROR(SUMPRODUCT(Data!CO$5:CO$448*Data!O$5:O$448*(Data!$A$5:$A$448='Tóm tắt'!$A11))/SUMIFS(Data!O$5:O$448,Data!$A$5:$A$448,'Tóm tắt'!$A11),0)</f>
        <v>0</v>
      </c>
      <c r="CT11" s="105" cm="1">
        <f t="array" ref="CT11">IFERROR(SUMPRODUCT(Data!CP$5:CP$448*Data!P$5:P$448*(Data!$A$5:$A$448='Tóm tắt'!$A11))/SUMIFS(Data!P$5:P$448,Data!$A$5:$A$448,'Tóm tắt'!$A11),0)</f>
        <v>0</v>
      </c>
      <c r="CU11" s="50" cm="1">
        <f t="array" ref="CU11">IFERROR(SUMPRODUCT(Data!CQ$5:CQ$448*Data!Q$5:Q$448*(Data!$A$5:$A$448='Tóm tắt'!$A11))/SUMIFS(Data!Q$5:Q$448,Data!$A$5:$A$448,'Tóm tắt'!$A11),0)</f>
        <v>0</v>
      </c>
      <c r="CV11" s="50" cm="1">
        <f t="array" ref="CV11">IFERROR(SUMPRODUCT(Data!CR$5:CR$448*Data!R$5:R$448*(Data!$A$5:$A$448='Tóm tắt'!$A11))/SUMIFS(Data!R$5:R$448,Data!$A$5:$A$448,'Tóm tắt'!$A11),0)</f>
        <v>0</v>
      </c>
      <c r="CW11" s="50" cm="1">
        <f t="array" ref="CW11">IFERROR(SUMPRODUCT(Data!CS$5:CS$448*Data!S$5:S$448*(Data!$A$5:$A$448='Tóm tắt'!$A11))/SUMIFS(Data!S$5:S$448,Data!$A$5:$A$448,'Tóm tắt'!$A11),0)</f>
        <v>0</v>
      </c>
      <c r="CX11" s="50" cm="1">
        <f t="array" ref="CX11">IFERROR(SUMPRODUCT(Data!CT$5:CT$448*Data!T$5:T$448*(Data!$A$5:$A$448='Tóm tắt'!$A11))/SUMIFS(Data!T$5:T$448,Data!$A$5:$A$448,'Tóm tắt'!$A11),0)</f>
        <v>0</v>
      </c>
      <c r="CY11" s="50" cm="1">
        <f t="array" ref="CY11">IFERROR(SUMPRODUCT(Data!CU$5:CU$448*Data!U$5:U$448*(Data!$A$5:$A$448='Tóm tắt'!$A11))/SUMIFS(Data!U$5:U$448,Data!$A$5:$A$448,'Tóm tắt'!$A11),0)</f>
        <v>0</v>
      </c>
      <c r="CZ11" s="50" cm="1">
        <f t="array" ref="CZ11">IFERROR(SUMPRODUCT(Data!CV$5:CV$448*Data!V$5:V$448*(Data!$A$5:$A$448='Tóm tắt'!$A11))/SUMIFS(Data!V$5:V$448,Data!$A$5:$A$448,'Tóm tắt'!$A11),0)</f>
        <v>0</v>
      </c>
      <c r="DA11" s="50" cm="1">
        <f t="array" ref="DA11">IFERROR(SUMPRODUCT(Data!CW$5:CW$448*Data!W$5:W$448*(Data!$A$5:$A$448='Tóm tắt'!$A11))/SUMIFS(Data!W$5:W$448,Data!$A$5:$A$448,'Tóm tắt'!$A11),0)</f>
        <v>0</v>
      </c>
      <c r="DB11" s="50" cm="1">
        <f t="array" ref="DB11">IFERROR(SUMPRODUCT(Data!CX$5:CX$448*Data!X$5:X$448*(Data!$A$5:$A$448='Tóm tắt'!$A11))/SUMIFS(Data!X$5:X$448,Data!$A$5:$A$448,'Tóm tắt'!$A11),0)</f>
        <v>0</v>
      </c>
      <c r="DC11" s="50" cm="1">
        <f t="array" ref="DC11">IFERROR(SUMPRODUCT(Data!CY$5:CY$448*Data!Y$5:Y$448*(Data!$A$5:$A$448='Tóm tắt'!$A11))/SUMIFS(Data!Y$5:Y$448,Data!$A$5:$A$448,'Tóm tắt'!$A11),0)</f>
        <v>0</v>
      </c>
      <c r="DD11" s="50" cm="1">
        <f t="array" ref="DD11">IFERROR(SUMPRODUCT(Data!CZ$5:CZ$448*Data!Z$5:Z$448*(Data!$A$5:$A$448='Tóm tắt'!$A11))/SUMIFS(Data!Z$5:Z$448,Data!$A$5:$A$448,'Tóm tắt'!$A11),0)</f>
        <v>0</v>
      </c>
      <c r="DE11" s="50" cm="1">
        <f t="array" ref="DE11">IFERROR(SUMPRODUCT(Data!DA$5:DA$448*Data!AA$5:AA$448*(Data!$A$5:$A$448='Tóm tắt'!$A11))/SUMIFS(Data!AA$5:AA$448,Data!$A$5:$A$448,'Tóm tắt'!$A11),0)</f>
        <v>0</v>
      </c>
      <c r="DF11" s="50" cm="1">
        <f t="array" ref="DF11">IFERROR(SUMPRODUCT(Data!DB$5:DB$448*Data!AB$5:AB$448*(Data!$A$5:$A$448='Tóm tắt'!$A11))/SUMIFS(Data!AB$5:AB$448,Data!$A$5:$A$448,'Tóm tắt'!$A11),0)</f>
        <v>25925.0059</v>
      </c>
      <c r="DG11" s="105" cm="1">
        <f t="array" ref="DG11">IFERROR(SUMPRODUCT(Data!DC$5:DC$448*Data!AC$5:AC$448*(Data!$A$5:$A$448='Tóm tắt'!$A11))/SUMIFS(Data!AC$5:AC$448,Data!$A$5:$A$448,'Tóm tắt'!$A11),0)</f>
        <v>25925.0059</v>
      </c>
      <c r="DH11" s="50" cm="1">
        <f t="array" ref="DH11">IFERROR(SUMPRODUCT(Data!DD$5:DD$448*Data!AD$5:AD$448*(Data!$A$5:$A$448='Tóm tắt'!$A11))/SUMIFS(Data!AD$5:AD$448,Data!$A$5:$A$448,'Tóm tắt'!$A11),0)</f>
        <v>0</v>
      </c>
      <c r="DI11" s="50" cm="1">
        <f t="array" ref="DI11">IFERROR(SUMPRODUCT(Data!DE$5:DE$448*Data!AE$5:AE$448*(Data!$A$5:$A$448='Tóm tắt'!$A11))/SUMIFS(Data!AE$5:AE$448,Data!$A$5:$A$448,'Tóm tắt'!$A11),0)</f>
        <v>0</v>
      </c>
      <c r="DJ11" s="50" cm="1">
        <f t="array" ref="DJ11">IFERROR(SUMPRODUCT(Data!DF$5:DF$448*Data!AF$5:AF$448*(Data!$A$5:$A$448='Tóm tắt'!$A11))/SUMIFS(Data!AF$5:AF$448,Data!$A$5:$A$448,'Tóm tắt'!$A11),0)</f>
        <v>0</v>
      </c>
      <c r="DK11" s="50" cm="1">
        <f t="array" ref="DK11">IFERROR(SUMPRODUCT(Data!DG$5:DG$448*Data!AG$5:AG$448*(Data!$A$5:$A$448='Tóm tắt'!$A11))/SUMIFS(Data!AG$5:AG$448,Data!$A$5:$A$448,'Tóm tắt'!$A11),0)</f>
        <v>20404.999999999993</v>
      </c>
      <c r="DL11" s="50" cm="1">
        <f t="array" ref="DL11">IFERROR(SUMPRODUCT(Data!DH$5:DH$448*Data!AH$5:AH$448*(Data!$A$5:$A$448='Tóm tắt'!$A11))/SUMIFS(Data!AH$5:AH$448,Data!$A$5:$A$448,'Tóm tắt'!$A11),0)</f>
        <v>0</v>
      </c>
      <c r="DM11" s="50" cm="1">
        <f t="array" ref="DM11">IFERROR(SUMPRODUCT(Data!DI$5:DI$448*Data!AI$5:AI$448*(Data!$A$5:$A$448='Tóm tắt'!$A11))/SUMIFS(Data!AI$5:AI$448,Data!$A$5:$A$448,'Tóm tắt'!$A11),0)</f>
        <v>0</v>
      </c>
      <c r="DN11" s="50" cm="1">
        <f t="array" ref="DN11">IFERROR(SUMPRODUCT(Data!DJ$5:DJ$448*Data!AJ$5:AJ$448*(Data!$A$5:$A$448='Tóm tắt'!$A11))/SUMIFS(Data!AJ$5:AJ$448,Data!$A$5:$A$448,'Tóm tắt'!$A11),0)</f>
        <v>0</v>
      </c>
      <c r="DO11" s="50" cm="1">
        <f t="array" ref="DO11">IFERROR(SUMPRODUCT(Data!DK$5:DK$448*Data!AK$5:AK$448*(Data!$A$5:$A$448='Tóm tắt'!$A11))/SUMIFS(Data!AK$5:AK$448,Data!$A$5:$A$448,'Tóm tắt'!$A11),0)</f>
        <v>0</v>
      </c>
      <c r="DP11" s="50" cm="1">
        <f t="array" ref="DP11">IFERROR(SUMPRODUCT(Data!DL$5:DL$448*Data!AL$5:AL$448*(Data!$A$5:$A$448='Tóm tắt'!$A11))/SUMIFS(Data!AL$5:AL$448,Data!$A$5:$A$448,'Tóm tắt'!$A11),0)</f>
        <v>0</v>
      </c>
      <c r="DQ11" s="50" cm="1">
        <f t="array" ref="DQ11">IFERROR(SUMPRODUCT(Data!DM$5:DM$448*Data!AM$5:AM$448*(Data!$A$5:$A$448='Tóm tắt'!$A11))/SUMIFS(Data!AM$5:AM$448,Data!$A$5:$A$448,'Tóm tắt'!$A11),0)</f>
        <v>0</v>
      </c>
      <c r="DR11" s="50" cm="1">
        <f t="array" ref="DR11">IFERROR(SUMPRODUCT(Data!DN$5:DN$448*Data!AN$5:AN$448*(Data!$A$5:$A$448='Tóm tắt'!$A11))/SUMIFS(Data!AN$5:AN$448,Data!$A$5:$A$448,'Tóm tắt'!$A11),0)</f>
        <v>0</v>
      </c>
      <c r="DS11" s="50" cm="1">
        <f t="array" ref="DS11">IFERROR(SUMPRODUCT(Data!DO$5:DO$448*Data!AO$5:AO$448*(Data!$A$5:$A$448='Tóm tắt'!$A11))/SUMIFS(Data!AO$5:AO$448,Data!$A$5:$A$448,'Tóm tắt'!$A11),0)</f>
        <v>0</v>
      </c>
      <c r="DT11" s="105" cm="1">
        <f t="array" ref="DT11">IFERROR(SUMPRODUCT(Data!DP$5:DP$448*Data!AP$5:AP$448*(Data!$A$5:$A$448='Tóm tắt'!$A11))/SUMIFS(Data!AP$5:AP$448,Data!$A$5:$A$448,'Tóm tắt'!$A11),0)</f>
        <v>20404.999999999993</v>
      </c>
      <c r="DV11" s="105">
        <f t="shared" si="0"/>
        <v>0</v>
      </c>
      <c r="DW11" s="104">
        <f t="shared" si="4"/>
        <v>-2375.2228736824072</v>
      </c>
      <c r="DX11" s="104">
        <f t="shared" si="5"/>
        <v>-330.60470917612838</v>
      </c>
      <c r="DZ11" s="124">
        <f t="shared" si="6"/>
        <v>0</v>
      </c>
      <c r="EA11" s="120">
        <f t="shared" si="7"/>
        <v>4.768435281617362E-4</v>
      </c>
      <c r="EB11" s="125">
        <f t="shared" si="8"/>
        <v>3.9928974823571405E-2</v>
      </c>
      <c r="ED11" s="66">
        <f t="shared" si="9"/>
        <v>0</v>
      </c>
      <c r="EE11" s="66">
        <f t="shared" si="10"/>
        <v>-0.10085965000306052</v>
      </c>
      <c r="EF11" s="66">
        <f t="shared" si="11"/>
        <v>-1.6468974750499799E-2</v>
      </c>
    </row>
    <row r="12" spans="1:138" x14ac:dyDescent="0.35">
      <c r="A12" s="48" t="s">
        <v>371</v>
      </c>
      <c r="B12" s="43">
        <v>8</v>
      </c>
      <c r="C12" s="40" t="s">
        <v>373</v>
      </c>
      <c r="D12" s="40"/>
      <c r="F12" s="111">
        <f>SUMIFS(Data!D$5:D$448,Data!$A$5:$A$448,'Tóm tắt'!$A12)</f>
        <v>0</v>
      </c>
      <c r="G12" s="111">
        <f>SUMIFS(Data!E$5:E$448,Data!$A$5:$A$448,'Tóm tắt'!$A12)</f>
        <v>165000</v>
      </c>
      <c r="H12" s="111">
        <f>SUMIFS(Data!F$5:F$448,Data!$A$5:$A$448,'Tóm tắt'!$A12)</f>
        <v>58000</v>
      </c>
      <c r="I12" s="111">
        <f>SUMIFS(Data!G$5:G$448,Data!$A$5:$A$448,'Tóm tắt'!$A12)</f>
        <v>0</v>
      </c>
      <c r="J12" s="111">
        <f>SUMIFS(Data!H$5:H$448,Data!$A$5:$A$448,'Tóm tắt'!$A12)</f>
        <v>222000</v>
      </c>
      <c r="K12" s="111">
        <f>SUMIFS(Data!I$5:I$448,Data!$A$5:$A$448,'Tóm tắt'!$A12)</f>
        <v>511260</v>
      </c>
      <c r="L12" s="111">
        <f>SUMIFS(Data!J$5:J$448,Data!$A$5:$A$448,'Tóm tắt'!$A12)</f>
        <v>180000</v>
      </c>
      <c r="M12" s="111">
        <f>SUMIFS(Data!K$5:K$448,Data!$A$5:$A$448,'Tóm tắt'!$A12)</f>
        <v>380000</v>
      </c>
      <c r="N12" s="111">
        <f>SUMIFS(Data!L$5:L$448,Data!$A$5:$A$448,'Tóm tắt'!$A12)</f>
        <v>0</v>
      </c>
      <c r="O12" s="111">
        <f>SUMIFS(Data!M$5:M$448,Data!$A$5:$A$448,'Tóm tắt'!$A12)</f>
        <v>264740</v>
      </c>
      <c r="P12" s="111">
        <f>SUMIFS(Data!N$5:N$448,Data!$A$5:$A$448,'Tóm tắt'!$A12)</f>
        <v>115000</v>
      </c>
      <c r="Q12" s="111">
        <f>SUMIFS(Data!O$5:O$448,Data!$A$5:$A$448,'Tóm tắt'!$A12)</f>
        <v>65000</v>
      </c>
      <c r="R12" s="112">
        <f t="shared" si="1"/>
        <v>1961000</v>
      </c>
      <c r="S12" s="111">
        <f>SUMIFS(Data!Q$5:Q$448,Data!$A$5:$A$448,'Tóm tắt'!$A12)</f>
        <v>0</v>
      </c>
      <c r="T12" s="111">
        <f>SUMIFS(Data!R$5:R$448,Data!$A$5:$A$448,'Tóm tắt'!$A12)</f>
        <v>386000</v>
      </c>
      <c r="U12" s="111">
        <f>SUMIFS(Data!S$5:S$448,Data!$A$5:$A$448,'Tóm tắt'!$A12)</f>
        <v>140000</v>
      </c>
      <c r="V12" s="111">
        <f>SUMIFS(Data!T$5:T$448,Data!$A$5:$A$448,'Tóm tắt'!$A12)</f>
        <v>120000</v>
      </c>
      <c r="W12" s="111">
        <f>SUMIFS(Data!U$5:U$448,Data!$A$5:$A$448,'Tóm tắt'!$A12)</f>
        <v>80000</v>
      </c>
      <c r="X12" s="111">
        <f>SUMIFS(Data!V$5:V$448,Data!$A$5:$A$448,'Tóm tắt'!$A12)</f>
        <v>100000</v>
      </c>
      <c r="Y12" s="111">
        <f>SUMIFS(Data!W$5:W$448,Data!$A$5:$A$448,'Tóm tắt'!$A12)</f>
        <v>20000</v>
      </c>
      <c r="Z12" s="111">
        <f>SUMIFS(Data!X$5:X$448,Data!$A$5:$A$448,'Tóm tắt'!$A12)</f>
        <v>80000</v>
      </c>
      <c r="AA12" s="111">
        <f>SUMIFS(Data!Y$5:Y$448,Data!$A$5:$A$448,'Tóm tắt'!$A12)</f>
        <v>220000</v>
      </c>
      <c r="AB12" s="111">
        <f>SUMIFS(Data!Z$5:Z$448,Data!$A$5:$A$448,'Tóm tắt'!$A12)</f>
        <v>138000</v>
      </c>
      <c r="AC12" s="111">
        <f>SUMIFS(Data!AA$5:AA$448,Data!$A$5:$A$448,'Tóm tắt'!$A12)</f>
        <v>160000</v>
      </c>
      <c r="AD12" s="111">
        <f>SUMIFS(Data!AB$5:AB$448,Data!$A$5:$A$448,'Tóm tắt'!$A12)</f>
        <v>100000</v>
      </c>
      <c r="AE12" s="112">
        <f t="shared" si="2"/>
        <v>1544000</v>
      </c>
      <c r="AF12" s="111">
        <f>SUMIFS(Data!AD$5:AD$448,Data!$A$5:$A$448,'Tóm tắt'!$A12)</f>
        <v>500</v>
      </c>
      <c r="AG12" s="111">
        <f>SUMIFS(Data!AE$5:AE$448,Data!$A$5:$A$448,'Tóm tắt'!$A12)</f>
        <v>0</v>
      </c>
      <c r="AH12" s="111">
        <f>SUMIFS(Data!AF$5:AF$448,Data!$A$5:$A$448,'Tóm tắt'!$A12)</f>
        <v>155100</v>
      </c>
      <c r="AI12" s="111">
        <f>SUMIFS(Data!AG$5:AG$448,Data!$A$5:$A$448,'Tóm tắt'!$A12)</f>
        <v>0</v>
      </c>
      <c r="AJ12" s="111"/>
      <c r="AK12" s="111"/>
      <c r="AL12" s="111"/>
      <c r="AM12" s="111"/>
      <c r="AN12" s="111"/>
      <c r="AO12" s="111"/>
      <c r="AP12" s="111"/>
      <c r="AQ12" s="111"/>
      <c r="AR12" s="112">
        <f t="shared" si="3"/>
        <v>155600</v>
      </c>
      <c r="AT12" s="50" cm="1">
        <f t="array" ref="AT12">IFERROR(SUMPRODUCT(Data!D$5:D$448*Data!AQ$5:AQ$448*(Data!$A$5:$A$448='Tóm tắt'!$A12))/SUMIFS(Data!D$5:D$448,Data!$A$5:$A$448,'Tóm tắt'!$A12),0)</f>
        <v>0</v>
      </c>
      <c r="AU12" s="50" cm="1">
        <f t="array" ref="AU12">IFERROR(SUMPRODUCT(Data!E$5:E$448*Data!AR$5:AR$448*(Data!$A$5:$A$448='Tóm tắt'!$A12))/SUMIFS(Data!E$5:E$448,Data!$A$5:$A$448,'Tóm tắt'!$A12),0)</f>
        <v>662.7002019620104</v>
      </c>
      <c r="AV12" s="50" cm="1">
        <f t="array" ref="AV12">IFERROR(SUMPRODUCT(Data!F$5:F$448*Data!AS$5:AS$448*(Data!$A$5:$A$448='Tóm tắt'!$A12))/SUMIFS(Data!F$5:F$448,Data!$A$5:$A$448,'Tóm tắt'!$A12),0)</f>
        <v>663.14258366037598</v>
      </c>
      <c r="AW12" s="50" cm="1">
        <f t="array" ref="AW12">IFERROR(SUMPRODUCT(Data!G$5:G$448*Data!AT$5:AT$448*(Data!$A$5:$A$448='Tóm tắt'!$A12))/SUMIFS(Data!G$5:G$448,Data!$A$5:$A$448,'Tóm tắt'!$A12),0)</f>
        <v>0</v>
      </c>
      <c r="AX12" s="50" cm="1">
        <f t="array" ref="AX12">IFERROR(SUMPRODUCT(Data!H$5:H$448*Data!AU$5:AU$448*(Data!$A$5:$A$448='Tóm tắt'!$A12))/SUMIFS(Data!H$5:H$448,Data!$A$5:$A$448,'Tóm tắt'!$A12),0)</f>
        <v>664.03268569960994</v>
      </c>
      <c r="AY12" s="50" cm="1">
        <f t="array" ref="AY12">IFERROR(SUMPRODUCT(Data!I$5:I$448*Data!AV$5:AV$448*(Data!$A$5:$A$448='Tóm tắt'!$A12))/SUMIFS(Data!I$5:I$448,Data!$A$5:$A$448,'Tóm tắt'!$A12),0)</f>
        <v>673.25967958158412</v>
      </c>
      <c r="AZ12" s="50" cm="1">
        <f t="array" ref="AZ12">IFERROR(SUMPRODUCT(Data!J$5:J$448*Data!AW$5:AW$448*(Data!$A$5:$A$448='Tóm tắt'!$A12))/SUMIFS(Data!J$5:J$448,Data!$A$5:$A$448,'Tóm tắt'!$A12),0)</f>
        <v>672.55743382714388</v>
      </c>
      <c r="BA12" s="50" cm="1">
        <f t="array" ref="BA12">IFERROR(SUMPRODUCT(Data!K$5:K$448*Data!AX$5:AX$448*(Data!$A$5:$A$448='Tóm tắt'!$A12))/SUMIFS(Data!K$5:K$448,Data!$A$5:$A$448,'Tóm tắt'!$A12),0)</f>
        <v>706.174396101752</v>
      </c>
      <c r="BB12" s="50" cm="1">
        <f t="array" ref="BB12">IFERROR(SUMPRODUCT(Data!L$5:L$448*Data!AY$5:AY$448*(Data!$A$5:$A$448='Tóm tắt'!$A12))/SUMIFS(Data!L$5:L$448,Data!$A$5:$A$448,'Tóm tắt'!$A12),0)</f>
        <v>0</v>
      </c>
      <c r="BC12" s="50" cm="1">
        <f t="array" ref="BC12">IFERROR(SUMPRODUCT(Data!M$5:M$448*Data!AZ$5:AZ$448*(Data!$A$5:$A$448='Tóm tắt'!$A12))/SUMIFS(Data!M$5:M$448,Data!$A$5:$A$448,'Tóm tắt'!$A12),0)</f>
        <v>722.57020682871484</v>
      </c>
      <c r="BD12" s="50" cm="1">
        <f t="array" ref="BD12">IFERROR(SUMPRODUCT(Data!N$5:N$448*Data!BA$5:BA$448*(Data!$A$5:$A$448='Tóm tắt'!$A12))/SUMIFS(Data!N$5:N$448,Data!$A$5:$A$448,'Tóm tắt'!$A12),0)</f>
        <v>693.45596220807715</v>
      </c>
      <c r="BE12" s="50" cm="1">
        <f t="array" ref="BE12">IFERROR(SUMPRODUCT(Data!O$5:O$448*Data!BB$5:BB$448*(Data!$A$5:$A$448='Tóm tắt'!$A12))/SUMIFS(Data!O$5:O$448,Data!$A$5:$A$448,'Tóm tắt'!$A12),0)</f>
        <v>723.78440084072213</v>
      </c>
      <c r="BF12" s="53" cm="1">
        <f t="array" ref="BF12">IFERROR(SUMPRODUCT(Data!P$5:P$448*Data!BC$5:BC$448*(Data!$A$5:$A$448='Tóm tắt'!$A12))/SUMIFS(Data!P$5:P$448,Data!$A$5:$A$448,'Tóm tắt'!$A12),0)</f>
        <v>686.8572514309991</v>
      </c>
      <c r="BG12" s="50" cm="1">
        <f t="array" ref="BG12">IFERROR(SUMPRODUCT(Data!Q$5:Q$448*Data!BD$5:BD$448*(Data!$A$5:$A$448='Tóm tắt'!$A12))/SUMIFS(Data!Q$5:Q$448,Data!$A$5:$A$448,'Tóm tắt'!$A12),0)</f>
        <v>0</v>
      </c>
      <c r="BH12" s="50" cm="1">
        <f t="array" ref="BH12">IFERROR(SUMPRODUCT(Data!R$5:R$448*Data!BE$5:BE$448*(Data!$A$5:$A$448='Tóm tắt'!$A12))/SUMIFS(Data!R$5:R$448,Data!$A$5:$A$448,'Tóm tắt'!$A12),0)</f>
        <v>708.55185880593206</v>
      </c>
      <c r="BI12" s="50" cm="1">
        <f t="array" ref="BI12">IFERROR(SUMPRODUCT(Data!S$5:S$448*Data!BF$5:BF$448*(Data!$A$5:$A$448='Tóm tắt'!$A12))/SUMIFS(Data!S$5:S$448,Data!$A$5:$A$448,'Tóm tắt'!$A12),0)</f>
        <v>717.68287872943324</v>
      </c>
      <c r="BJ12" s="50" cm="1">
        <f t="array" ref="BJ12">IFERROR(SUMPRODUCT(Data!T$5:T$448*Data!BG$5:BG$448*(Data!$A$5:$A$448='Tóm tắt'!$A12))/SUMIFS(Data!T$5:T$448,Data!$A$5:$A$448,'Tóm tắt'!$A12),0)</f>
        <v>674.63956095136996</v>
      </c>
      <c r="BK12" s="50" cm="1">
        <f t="array" ref="BK12">IFERROR(SUMPRODUCT(Data!U$5:U$448*Data!BH$5:BH$448*(Data!$A$5:$A$448='Tóm tắt'!$A12))/SUMIFS(Data!U$5:U$448,Data!$A$5:$A$448,'Tóm tắt'!$A12),0)</f>
        <v>612.90560584829859</v>
      </c>
      <c r="BL12" s="50" cm="1">
        <f t="array" ref="BL12">IFERROR(SUMPRODUCT(Data!V$5:V$448*Data!BI$5:BI$448*(Data!$A$5:$A$448='Tóm tắt'!$A12))/SUMIFS(Data!V$5:V$448,Data!$A$5:$A$448,'Tóm tắt'!$A12),0)</f>
        <v>637.47080779027522</v>
      </c>
      <c r="BM12" s="50" cm="1">
        <f t="array" ref="BM12">IFERROR(SUMPRODUCT(Data!W$5:W$448*Data!BJ$5:BJ$448*(Data!$A$5:$A$448='Tóm tắt'!$A12))/SUMIFS(Data!W$5:W$448,Data!$A$5:$A$448,'Tóm tắt'!$A12),0)</f>
        <v>607.9715647187287</v>
      </c>
      <c r="BN12" s="50" cm="1">
        <f t="array" ref="BN12">IFERROR(SUMPRODUCT(Data!X$5:X$448*Data!BK$5:BK$448*(Data!$A$5:$A$448='Tóm tắt'!$A12))/SUMIFS(Data!X$5:X$448,Data!$A$5:$A$448,'Tóm tắt'!$A12),0)</f>
        <v>645.92744929417483</v>
      </c>
      <c r="BO12" s="50" cm="1">
        <f t="array" ref="BO12">IFERROR(SUMPRODUCT(Data!Y$5:Y$448*Data!BL$5:BL$448*(Data!$A$5:$A$448='Tóm tắt'!$A12))/SUMIFS(Data!Y$5:Y$448,Data!$A$5:$A$448,'Tóm tắt'!$A12),0)</f>
        <v>652.21109358024796</v>
      </c>
      <c r="BP12" s="50" cm="1">
        <f t="array" ref="BP12">IFERROR(SUMPRODUCT(Data!Z$5:Z$448*Data!BM$5:BM$448*(Data!$A$5:$A$448='Tóm tắt'!$A12))/SUMIFS(Data!Z$5:Z$448,Data!$A$5:$A$448,'Tóm tắt'!$A12),0)</f>
        <v>631.1291633820789</v>
      </c>
      <c r="BQ12" s="50" cm="1">
        <f t="array" ref="BQ12">IFERROR(SUMPRODUCT(Data!AA$5:AA$448*Data!BN$5:BN$448*(Data!$A$5:$A$448='Tóm tắt'!$A12))/SUMIFS(Data!AA$5:AA$448,Data!$A$5:$A$448,'Tóm tắt'!$A12),0)</f>
        <v>635.32789353373357</v>
      </c>
      <c r="BR12" s="50" cm="1">
        <f t="array" ref="BR12">IFERROR(SUMPRODUCT(Data!AB$5:AB$448*Data!BO$5:BO$448*(Data!$A$5:$A$448='Tóm tắt'!$A12))/SUMIFS(Data!AB$5:AB$448,Data!$A$5:$A$448,'Tóm tắt'!$A12),0)</f>
        <v>633.7686120028925</v>
      </c>
      <c r="BS12" s="53" cm="1">
        <f t="array" ref="BS12">IFERROR(SUMPRODUCT(Data!AC$5:AC$448*Data!BP$5:BP$448*(Data!$A$5:$A$448='Tóm tắt'!$A12))/SUMIFS(Data!AC$5:AC$448,Data!$A$5:$A$448,'Tóm tắt'!$A12),0)</f>
        <v>665.25784560896557</v>
      </c>
      <c r="BT12" s="50" cm="1">
        <f t="array" ref="BT12">IFERROR(SUMPRODUCT(Data!AD$5:AD$448*Data!BQ$5:BQ$448*(Data!$A$5:$A$448='Tóm tắt'!$A12))/SUMIFS(Data!AD$5:AD$448,Data!$A$5:$A$448,'Tóm tắt'!$A12),0)</f>
        <v>838.63195375593625</v>
      </c>
      <c r="BU12" s="50" cm="1">
        <f t="array" ref="BU12">IFERROR(SUMPRODUCT(Data!AE$5:AE$448*Data!BR$5:BR$448*(Data!$A$5:$A$448='Tóm tắt'!$A12))/SUMIFS(Data!AE$5:AE$448,Data!$A$5:$A$448,'Tóm tắt'!$A12),0)</f>
        <v>0</v>
      </c>
      <c r="BV12" s="50" cm="1">
        <f t="array" ref="BV12">IFERROR(SUMPRODUCT(Data!AF$5:AF$448*Data!BS$5:BS$448*(Data!$A$5:$A$448='Tóm tắt'!$A12))/SUMIFS(Data!AF$5:AF$448,Data!$A$5:$A$448,'Tóm tắt'!$A12),0)</f>
        <v>616.8203815026103</v>
      </c>
      <c r="BW12" s="50" cm="1">
        <f t="array" ref="BW12">IFERROR(SUMPRODUCT(Data!AG$5:AG$448*Data!BT$5:BT$448*(Data!$A$5:$A$448='Tóm tắt'!$A12))/SUMIFS(Data!AG$5:AG$448,Data!$A$5:$A$448,'Tóm tắt'!$A12),0)</f>
        <v>0</v>
      </c>
      <c r="BX12" s="50" cm="1">
        <f t="array" ref="BX12">IFERROR(SUMPRODUCT(Data!AH$5:AH$448*Data!BU$5:BU$448*(Data!$A$5:$A$448='Tóm tắt'!$A12))/SUMIFS(Data!AH$5:AH$448,Data!$A$5:$A$448,'Tóm tắt'!$A12),0)</f>
        <v>0</v>
      </c>
      <c r="BY12" s="50" cm="1">
        <f t="array" ref="BY12">IFERROR(SUMPRODUCT(Data!AI$5:AI$448*Data!BV$5:BV$448*(Data!$A$5:$A$448='Tóm tắt'!$A12))/SUMIFS(Data!AI$5:AI$448,Data!$A$5:$A$448,'Tóm tắt'!$A12),0)</f>
        <v>0</v>
      </c>
      <c r="BZ12" s="50" cm="1">
        <f t="array" ref="BZ12">IFERROR(SUMPRODUCT(Data!AJ$5:AJ$448*Data!BW$5:BW$448*(Data!$A$5:$A$448='Tóm tắt'!$A12))/SUMIFS(Data!AJ$5:AJ$448,Data!$A$5:$A$448,'Tóm tắt'!$A12),0)</f>
        <v>0</v>
      </c>
      <c r="CA12" s="50" cm="1">
        <f t="array" ref="CA12">IFERROR(SUMPRODUCT(Data!AK$5:AK$448*Data!BX$5:BX$448*(Data!$A$5:$A$448='Tóm tắt'!$A12))/SUMIFS(Data!AK$5:AK$448,Data!$A$5:$A$448,'Tóm tắt'!$A12),0)</f>
        <v>0</v>
      </c>
      <c r="CB12" s="50" cm="1">
        <f t="array" ref="CB12">IFERROR(SUMPRODUCT(Data!AL$5:AL$448*Data!BY$5:BY$448*(Data!$A$5:$A$448='Tóm tắt'!$A12))/SUMIFS(Data!AL$5:AL$448,Data!$A$5:$A$448,'Tóm tắt'!$A12),0)</f>
        <v>0</v>
      </c>
      <c r="CC12" s="50" cm="1">
        <f t="array" ref="CC12">IFERROR(SUMPRODUCT(Data!AM$5:AM$448*Data!BZ$5:BZ$448*(Data!$A$5:$A$448='Tóm tắt'!$A12))/SUMIFS(Data!AM$5:AM$448,Data!$A$5:$A$448,'Tóm tắt'!$A12),0)</f>
        <v>0</v>
      </c>
      <c r="CD12" s="50" cm="1">
        <f t="array" ref="CD12">IFERROR(SUMPRODUCT(Data!AN$5:AN$448*Data!CA$5:CA$448*(Data!$A$5:$A$448='Tóm tắt'!$A12))/SUMIFS(Data!AN$5:AN$448,Data!$A$5:$A$448,'Tóm tắt'!$A12),0)</f>
        <v>0</v>
      </c>
      <c r="CE12" s="50" cm="1">
        <f t="array" ref="CE12">IFERROR(SUMPRODUCT(Data!AO$5:AO$448*Data!CB$5:CB$448*(Data!$A$5:$A$448='Tóm tắt'!$A12))/SUMIFS(Data!AO$5:AO$448,Data!$A$5:$A$448,'Tóm tắt'!$A12),0)</f>
        <v>0</v>
      </c>
      <c r="CF12" s="53" cm="1">
        <f t="array" ref="CF12">IFERROR(SUMPRODUCT(Data!AP$5:AP$448*Data!CC$5:CC$448*(Data!$A$5:$A$448='Tóm tắt'!$A12))/SUMIFS(Data!AP$5:AP$448,Data!$A$5:$A$448,'Tóm tắt'!$A12),0)</f>
        <v>617.5331436242468</v>
      </c>
      <c r="CH12" s="50" cm="1">
        <f t="array" ref="CH12">IFERROR(SUMPRODUCT(Data!CD$5:CD$448*Data!D$5:D$448*(Data!$A$5:$A$448='Tóm tắt'!$A12))/SUMIFS(Data!D$5:D$448,Data!$A$5:$A$448,'Tóm tắt'!$A12),0)</f>
        <v>0</v>
      </c>
      <c r="CI12" s="50" cm="1">
        <f t="array" ref="CI12">IFERROR(SUMPRODUCT(Data!CE$5:CE$448*Data!E$5:E$448*(Data!$A$5:$A$448='Tóm tắt'!$A12))/SUMIFS(Data!E$5:E$448,Data!$A$5:$A$448,'Tóm tắt'!$A12),0)</f>
        <v>24598.071175757577</v>
      </c>
      <c r="CJ12" s="50" cm="1">
        <f t="array" ref="CJ12">IFERROR(SUMPRODUCT(Data!CF$5:CF$448*Data!F$5:F$448*(Data!$A$5:$A$448='Tóm tắt'!$A12))/SUMIFS(Data!F$5:F$448,Data!$A$5:$A$448,'Tóm tắt'!$A12),0)</f>
        <v>24778.517844827587</v>
      </c>
      <c r="CK12" s="50" cm="1">
        <f t="array" ref="CK12">IFERROR(SUMPRODUCT(Data!CG$5:CG$448*Data!G$5:G$448*(Data!$A$5:$A$448='Tóm tắt'!$A12))/SUMIFS(Data!G$5:G$448,Data!$A$5:$A$448,'Tóm tắt'!$A12),0)</f>
        <v>0</v>
      </c>
      <c r="CL12" s="50" cm="1">
        <f t="array" ref="CL12">IFERROR(SUMPRODUCT(Data!CH$5:CH$448*Data!H$5:H$448*(Data!$A$5:$A$448='Tóm tắt'!$A12))/SUMIFS(Data!H$5:H$448,Data!$A$5:$A$448,'Tóm tắt'!$A12),0)</f>
        <v>23597.167545045046</v>
      </c>
      <c r="CM12" s="50" cm="1">
        <f t="array" ref="CM12">IFERROR(SUMPRODUCT(Data!CI$5:CI$448*Data!I$5:I$448*(Data!$A$5:$A$448='Tóm tắt'!$A12))/SUMIFS(Data!I$5:I$448,Data!$A$5:$A$448,'Tóm tắt'!$A12),0)</f>
        <v>23592.06293079842</v>
      </c>
      <c r="CN12" s="50" cm="1">
        <f t="array" ref="CN12">IFERROR(SUMPRODUCT(Data!CJ$5:CJ$448*Data!J$5:J$448*(Data!$A$5:$A$448='Tóm tắt'!$A12))/SUMIFS(Data!J$5:J$448,Data!$A$5:$A$448,'Tóm tắt'!$A12),0)</f>
        <v>24672.566849999999</v>
      </c>
      <c r="CO12" s="50" cm="1">
        <f t="array" ref="CO12">IFERROR(SUMPRODUCT(Data!CK$5:CK$448*Data!K$5:K$448*(Data!$A$5:$A$448='Tóm tắt'!$A12))/SUMIFS(Data!K$5:K$448,Data!$A$5:$A$448,'Tóm tắt'!$A12),0)</f>
        <v>23671.29420263158</v>
      </c>
      <c r="CP12" s="50" cm="1">
        <f t="array" ref="CP12">IFERROR(SUMPRODUCT(Data!CL$5:CL$448*Data!L$5:L$448*(Data!$A$5:$A$448='Tóm tắt'!$A12))/SUMIFS(Data!L$5:L$448,Data!$A$5:$A$448,'Tóm tắt'!$A12),0)</f>
        <v>0</v>
      </c>
      <c r="CQ12" s="50" cm="1">
        <f t="array" ref="CQ12">IFERROR(SUMPRODUCT(Data!CM$5:CM$448*Data!M$5:M$448*(Data!$A$5:$A$448='Tóm tắt'!$A12))/SUMIFS(Data!M$5:M$448,Data!$A$5:$A$448,'Tóm tắt'!$A12),0)</f>
        <v>22873.032197627861</v>
      </c>
      <c r="CR12" s="50" cm="1">
        <f t="array" ref="CR12">IFERROR(SUMPRODUCT(Data!CN$5:CN$448*Data!N$5:N$448*(Data!$A$5:$A$448='Tóm tắt'!$A12))/SUMIFS(Data!N$5:N$448,Data!$A$5:$A$448,'Tóm tắt'!$A12),0)</f>
        <v>24826.672713043477</v>
      </c>
      <c r="CS12" s="50" cm="1">
        <f t="array" ref="CS12">IFERROR(SUMPRODUCT(Data!CO$5:CO$448*Data!O$5:O$448*(Data!$A$5:$A$448='Tóm tắt'!$A12))/SUMIFS(Data!O$5:O$448,Data!$A$5:$A$448,'Tóm tắt'!$A12),0)</f>
        <v>21017.047769230769</v>
      </c>
      <c r="CT12" s="105" cm="1">
        <f t="array" ref="CT12">IFERROR(SUMPRODUCT(Data!CP$5:CP$448*Data!P$5:P$448*(Data!$A$5:$A$448='Tóm tắt'!$A12))/SUMIFS(Data!P$5:P$448,Data!$A$5:$A$448,'Tóm tắt'!$A12),0)</f>
        <v>23716.889805711373</v>
      </c>
      <c r="CU12" s="50" cm="1">
        <f t="array" ref="CU12">IFERROR(SUMPRODUCT(Data!CQ$5:CQ$448*Data!Q$5:Q$448*(Data!$A$5:$A$448='Tóm tắt'!$A12))/SUMIFS(Data!Q$5:Q$448,Data!$A$5:$A$448,'Tóm tắt'!$A12),0)</f>
        <v>0</v>
      </c>
      <c r="CV12" s="50" cm="1">
        <f t="array" ref="CV12">IFERROR(SUMPRODUCT(Data!CR$5:CR$448*Data!R$5:R$448*(Data!$A$5:$A$448='Tóm tắt'!$A12))/SUMIFS(Data!R$5:R$448,Data!$A$5:$A$448,'Tóm tắt'!$A12),0)</f>
        <v>19523.461492227983</v>
      </c>
      <c r="CW12" s="50" cm="1">
        <f t="array" ref="CW12">IFERROR(SUMPRODUCT(Data!CS$5:CS$448*Data!S$5:S$448*(Data!$A$5:$A$448='Tóm tắt'!$A12))/SUMIFS(Data!S$5:S$448,Data!$A$5:$A$448,'Tóm tắt'!$A12),0)</f>
        <v>18725.827835714284</v>
      </c>
      <c r="CX12" s="50" cm="1">
        <f t="array" ref="CX12">IFERROR(SUMPRODUCT(Data!CT$5:CT$448*Data!T$5:T$448*(Data!$A$5:$A$448='Tóm tắt'!$A12))/SUMIFS(Data!T$5:T$448,Data!$A$5:$A$448,'Tóm tắt'!$A12),0)</f>
        <v>20034.898675</v>
      </c>
      <c r="CY12" s="50" cm="1">
        <f t="array" ref="CY12">IFERROR(SUMPRODUCT(Data!CU$5:CU$448*Data!U$5:U$448*(Data!$A$5:$A$448='Tóm tắt'!$A12))/SUMIFS(Data!U$5:U$448,Data!$A$5:$A$448,'Tóm tắt'!$A12),0)</f>
        <v>23286.810199999996</v>
      </c>
      <c r="CZ12" s="50" cm="1">
        <f t="array" ref="CZ12">IFERROR(SUMPRODUCT(Data!CV$5:CV$448*Data!V$5:V$448*(Data!$A$5:$A$448='Tóm tắt'!$A12))/SUMIFS(Data!V$5:V$448,Data!$A$5:$A$448,'Tóm tắt'!$A12),0)</f>
        <v>23759.066240000004</v>
      </c>
      <c r="DA12" s="50" cm="1">
        <f t="array" ref="DA12">IFERROR(SUMPRODUCT(Data!CW$5:CW$448*Data!W$5:W$448*(Data!$A$5:$A$448='Tóm tắt'!$A12))/SUMIFS(Data!W$5:W$448,Data!$A$5:$A$448,'Tóm tắt'!$A12),0)</f>
        <v>23733.496449999999</v>
      </c>
      <c r="DB12" s="50" cm="1">
        <f t="array" ref="DB12">IFERROR(SUMPRODUCT(Data!CX$5:CX$448*Data!X$5:X$448*(Data!$A$5:$A$448='Tóm tắt'!$A12))/SUMIFS(Data!X$5:X$448,Data!$A$5:$A$448,'Tóm tắt'!$A12),0)</f>
        <v>22508.8446</v>
      </c>
      <c r="DC12" s="50" cm="1">
        <f t="array" ref="DC12">IFERROR(SUMPRODUCT(Data!CY$5:CY$448*Data!Y$5:Y$448*(Data!$A$5:$A$448='Tóm tắt'!$A12))/SUMIFS(Data!Y$5:Y$448,Data!$A$5:$A$448,'Tóm tắt'!$A12),0)</f>
        <v>22904.606418181818</v>
      </c>
      <c r="DD12" s="50" cm="1">
        <f t="array" ref="DD12">IFERROR(SUMPRODUCT(Data!CZ$5:CZ$448*Data!Z$5:Z$448*(Data!$A$5:$A$448='Tóm tắt'!$A12))/SUMIFS(Data!Z$5:Z$448,Data!$A$5:$A$448,'Tóm tắt'!$A12),0)</f>
        <v>22108.052231884059</v>
      </c>
      <c r="DE12" s="50" cm="1">
        <f t="array" ref="DE12">IFERROR(SUMPRODUCT(Data!DA$5:DA$448*Data!AA$5:AA$448*(Data!$A$5:$A$448='Tóm tắt'!$A12))/SUMIFS(Data!AA$5:AA$448,Data!$A$5:$A$448,'Tóm tắt'!$A12),0)</f>
        <v>20611.435393749998</v>
      </c>
      <c r="DF12" s="50" cm="1">
        <f t="array" ref="DF12">IFERROR(SUMPRODUCT(Data!DB$5:DB$448*Data!AB$5:AB$448*(Data!$A$5:$A$448='Tóm tắt'!$A12))/SUMIFS(Data!AB$5:AB$448,Data!$A$5:$A$448,'Tóm tắt'!$A12),0)</f>
        <v>21246.658749999999</v>
      </c>
      <c r="DG12" s="105" cm="1">
        <f t="array" ref="DG12">IFERROR(SUMPRODUCT(Data!DC$5:DC$448*Data!AC$5:AC$448*(Data!$A$5:$A$448='Tóm tắt'!$A12))/SUMIFS(Data!AC$5:AC$448,Data!$A$5:$A$448,'Tóm tắt'!$A12),0)</f>
        <v>21106.547259715026</v>
      </c>
      <c r="DH12" s="50" cm="1">
        <f t="array" ref="DH12">IFERROR(SUMPRODUCT(Data!DD$5:DD$448*Data!AD$5:AD$448*(Data!$A$5:$A$448='Tóm tắt'!$A12))/SUMIFS(Data!AD$5:AD$448,Data!$A$5:$A$448,'Tóm tắt'!$A12),0)</f>
        <v>21246.66</v>
      </c>
      <c r="DI12" s="50" cm="1">
        <f t="array" ref="DI12">IFERROR(SUMPRODUCT(Data!DE$5:DE$448*Data!AE$5:AE$448*(Data!$A$5:$A$448='Tóm tắt'!$A12))/SUMIFS(Data!AE$5:AE$448,Data!$A$5:$A$448,'Tóm tắt'!$A12),0)</f>
        <v>0</v>
      </c>
      <c r="DJ12" s="50" cm="1">
        <f t="array" ref="DJ12">IFERROR(SUMPRODUCT(Data!DF$5:DF$448*Data!AF$5:AF$448*(Data!$A$5:$A$448='Tóm tắt'!$A12))/SUMIFS(Data!AF$5:AF$448,Data!$A$5:$A$448,'Tóm tắt'!$A12),0)</f>
        <v>21246.656776273372</v>
      </c>
      <c r="DK12" s="50" cm="1">
        <f t="array" ref="DK12">IFERROR(SUMPRODUCT(Data!DG$5:DG$448*Data!AG$5:AG$448*(Data!$A$5:$A$448='Tóm tắt'!$A12))/SUMIFS(Data!AG$5:AG$448,Data!$A$5:$A$448,'Tóm tắt'!$A12),0)</f>
        <v>0</v>
      </c>
      <c r="DL12" s="50" cm="1">
        <f t="array" ref="DL12">IFERROR(SUMPRODUCT(Data!DH$5:DH$448*Data!AH$5:AH$448*(Data!$A$5:$A$448='Tóm tắt'!$A12))/SUMIFS(Data!AH$5:AH$448,Data!$A$5:$A$448,'Tóm tắt'!$A12),0)</f>
        <v>0</v>
      </c>
      <c r="DM12" s="50" cm="1">
        <f t="array" ref="DM12">IFERROR(SUMPRODUCT(Data!DI$5:DI$448*Data!AI$5:AI$448*(Data!$A$5:$A$448='Tóm tắt'!$A12))/SUMIFS(Data!AI$5:AI$448,Data!$A$5:$A$448,'Tóm tắt'!$A12),0)</f>
        <v>0</v>
      </c>
      <c r="DN12" s="50" cm="1">
        <f t="array" ref="DN12">IFERROR(SUMPRODUCT(Data!DJ$5:DJ$448*Data!AJ$5:AJ$448*(Data!$A$5:$A$448='Tóm tắt'!$A12))/SUMIFS(Data!AJ$5:AJ$448,Data!$A$5:$A$448,'Tóm tắt'!$A12),0)</f>
        <v>0</v>
      </c>
      <c r="DO12" s="50" cm="1">
        <f t="array" ref="DO12">IFERROR(SUMPRODUCT(Data!DK$5:DK$448*Data!AK$5:AK$448*(Data!$A$5:$A$448='Tóm tắt'!$A12))/SUMIFS(Data!AK$5:AK$448,Data!$A$5:$A$448,'Tóm tắt'!$A12),0)</f>
        <v>0</v>
      </c>
      <c r="DP12" s="50" cm="1">
        <f t="array" ref="DP12">IFERROR(SUMPRODUCT(Data!DL$5:DL$448*Data!AL$5:AL$448*(Data!$A$5:$A$448='Tóm tắt'!$A12))/SUMIFS(Data!AL$5:AL$448,Data!$A$5:$A$448,'Tóm tắt'!$A12),0)</f>
        <v>0</v>
      </c>
      <c r="DQ12" s="50" cm="1">
        <f t="array" ref="DQ12">IFERROR(SUMPRODUCT(Data!DM$5:DM$448*Data!AM$5:AM$448*(Data!$A$5:$A$448='Tóm tắt'!$A12))/SUMIFS(Data!AM$5:AM$448,Data!$A$5:$A$448,'Tóm tắt'!$A12),0)</f>
        <v>0</v>
      </c>
      <c r="DR12" s="50" cm="1">
        <f t="array" ref="DR12">IFERROR(SUMPRODUCT(Data!DN$5:DN$448*Data!AN$5:AN$448*(Data!$A$5:$A$448='Tóm tắt'!$A12))/SUMIFS(Data!AN$5:AN$448,Data!$A$5:$A$448,'Tóm tắt'!$A12),0)</f>
        <v>0</v>
      </c>
      <c r="DS12" s="50" cm="1">
        <f t="array" ref="DS12">IFERROR(SUMPRODUCT(Data!DO$5:DO$448*Data!AO$5:AO$448*(Data!$A$5:$A$448='Tóm tắt'!$A12))/SUMIFS(Data!AO$5:AO$448,Data!$A$5:$A$448,'Tóm tắt'!$A12),0)</f>
        <v>0</v>
      </c>
      <c r="DT12" s="105" cm="1">
        <f t="array" ref="DT12">IFERROR(SUMPRODUCT(Data!DP$5:DP$448*Data!AP$5:AP$448*(Data!$A$5:$A$448='Tóm tắt'!$A12))/SUMIFS(Data!AP$5:AP$448,Data!$A$5:$A$448,'Tóm tắt'!$A12),0)</f>
        <v>21246.656786632389</v>
      </c>
      <c r="DV12" s="105">
        <f t="shared" si="0"/>
        <v>-6642.4555867353156</v>
      </c>
      <c r="DW12" s="104">
        <f t="shared" si="4"/>
        <v>-3950.7957201921708</v>
      </c>
      <c r="DX12" s="104">
        <f t="shared" si="5"/>
        <v>-5077.1727471129507</v>
      </c>
      <c r="DZ12" s="124">
        <f t="shared" si="6"/>
        <v>5.5283557258804079E-2</v>
      </c>
      <c r="EA12" s="120">
        <f t="shared" si="7"/>
        <v>3.6812320374086036E-2</v>
      </c>
      <c r="EB12" s="125">
        <f t="shared" si="8"/>
        <v>9.4135583068904703E-3</v>
      </c>
      <c r="ED12" s="66">
        <f t="shared" si="9"/>
        <v>-0.3890293231123918</v>
      </c>
      <c r="EE12" s="66">
        <f t="shared" si="10"/>
        <v>-0.23028986582665656</v>
      </c>
      <c r="EF12" s="66">
        <f t="shared" si="11"/>
        <v>-0.31399720205690906</v>
      </c>
    </row>
    <row r="13" spans="1:138" ht="15" thickBot="1" x14ac:dyDescent="0.4">
      <c r="R13" s="149">
        <f>SUM(R5:R12)</f>
        <v>35471668.200000003</v>
      </c>
      <c r="AE13" s="149">
        <f>SUM(AE5:AE12)</f>
        <v>41942479.700000003</v>
      </c>
      <c r="AR13" s="149">
        <f>SUM(AR5:AR12)</f>
        <v>16529350</v>
      </c>
      <c r="BF13" s="54"/>
      <c r="BS13" s="54"/>
      <c r="CF13" s="54"/>
      <c r="CT13" s="100"/>
      <c r="DG13" s="100"/>
      <c r="DT13" s="100"/>
      <c r="DV13" s="100"/>
      <c r="DW13" s="100"/>
      <c r="DX13" s="100"/>
      <c r="DZ13" s="126">
        <f>SUM(DZ5:DZ12)</f>
        <v>0.99999999999999989</v>
      </c>
      <c r="EA13" s="127">
        <f t="shared" ref="EA13:EB13" si="12">SUM(EA5:EA12)</f>
        <v>0.99999999999999989</v>
      </c>
      <c r="EB13" s="128">
        <f t="shared" si="12"/>
        <v>1</v>
      </c>
    </row>
    <row r="14" spans="1:138" ht="15" thickTop="1" x14ac:dyDescent="0.35"/>
    <row r="16" spans="1:138" x14ac:dyDescent="0.35">
      <c r="ED16" s="94"/>
    </row>
  </sheetData>
  <mergeCells count="15">
    <mergeCell ref="B2:B4"/>
    <mergeCell ref="S3:AE3"/>
    <mergeCell ref="F3:R3"/>
    <mergeCell ref="F2:AR2"/>
    <mergeCell ref="AF3:AR3"/>
    <mergeCell ref="D2:D4"/>
    <mergeCell ref="CH2:DT2"/>
    <mergeCell ref="CH3:CT3"/>
    <mergeCell ref="CU3:DG3"/>
    <mergeCell ref="DH3:DT3"/>
    <mergeCell ref="C2:C4"/>
    <mergeCell ref="AT2:CF2"/>
    <mergeCell ref="AT3:BF3"/>
    <mergeCell ref="BG3:BS3"/>
    <mergeCell ref="BT3:C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A87C-6F63-4FFF-BB74-A4FA8C49E772}">
  <dimension ref="B1:BT76"/>
  <sheetViews>
    <sheetView zoomScaleNormal="100" workbookViewId="0">
      <selection activeCell="AT4" sqref="AT4"/>
    </sheetView>
  </sheetViews>
  <sheetFormatPr defaultRowHeight="14.5" outlineLevelCol="2" x14ac:dyDescent="0.35"/>
  <cols>
    <col min="3" max="3" width="20.4140625" customWidth="1"/>
    <col min="4" max="15" width="8.6640625" hidden="1" customWidth="1" outlineLevel="1"/>
    <col min="16" max="16" width="8.6640625" collapsed="1"/>
    <col min="17" max="28" width="8.6640625" hidden="1" customWidth="1" outlineLevel="2"/>
    <col min="29" max="29" width="8.6640625" collapsed="1"/>
    <col min="30" max="41" width="8.6640625" hidden="1" customWidth="1" outlineLevel="2"/>
    <col min="42" max="42" width="8.6640625" collapsed="1"/>
    <col min="43" max="43" width="3.5" customWidth="1"/>
    <col min="44" max="44" width="3.6640625" bestFit="1" customWidth="1"/>
    <col min="45" max="45" width="19.1640625" bestFit="1" customWidth="1"/>
    <col min="46" max="46" width="9.1640625" customWidth="1"/>
    <col min="47" max="47" width="9.25" customWidth="1"/>
    <col min="48" max="48" width="8.9140625" customWidth="1"/>
    <col min="49" max="49" width="6.1640625" bestFit="1" customWidth="1"/>
    <col min="50" max="52" width="6.4140625" bestFit="1" customWidth="1"/>
    <col min="53" max="53" width="3.4140625" customWidth="1"/>
    <col min="54" max="54" width="9.58203125" bestFit="1" customWidth="1"/>
    <col min="55" max="55" width="8.25" customWidth="1"/>
    <col min="57" max="57" width="3" customWidth="1"/>
    <col min="58" max="59" width="7.4140625" bestFit="1" customWidth="1"/>
    <col min="60" max="60" width="8" bestFit="1" customWidth="1"/>
    <col min="61" max="61" width="4.08203125" customWidth="1"/>
    <col min="62" max="62" width="7" bestFit="1" customWidth="1"/>
    <col min="65" max="65" width="3.08203125" customWidth="1"/>
  </cols>
  <sheetData>
    <row r="1" spans="2:72" x14ac:dyDescent="0.35">
      <c r="BB1" s="113">
        <v>24858.78133105993</v>
      </c>
      <c r="BC1" s="113">
        <v>25788.123586605394</v>
      </c>
      <c r="BD1" s="113">
        <v>26183.993857596342</v>
      </c>
    </row>
    <row r="2" spans="2:72" x14ac:dyDescent="0.35">
      <c r="B2" s="172" t="s">
        <v>370</v>
      </c>
      <c r="C2" s="169" t="s">
        <v>369</v>
      </c>
      <c r="D2" s="174" t="s">
        <v>384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R2" s="67" t="s">
        <v>370</v>
      </c>
      <c r="AS2" s="67" t="s">
        <v>369</v>
      </c>
      <c r="AT2" s="107" t="s">
        <v>384</v>
      </c>
      <c r="AU2" s="107"/>
      <c r="AV2" s="107"/>
      <c r="AX2" s="107" t="s">
        <v>393</v>
      </c>
      <c r="AY2" s="107"/>
      <c r="AZ2" s="107"/>
      <c r="BB2" s="107" t="s">
        <v>392</v>
      </c>
      <c r="BC2" s="107"/>
      <c r="BD2" s="107"/>
      <c r="BF2" s="107" t="s">
        <v>382</v>
      </c>
      <c r="BG2" s="107"/>
      <c r="BH2" s="107"/>
      <c r="BJ2" s="107" t="s">
        <v>386</v>
      </c>
      <c r="BK2" s="107"/>
      <c r="BL2" s="107"/>
      <c r="BM2" s="38"/>
      <c r="BN2" s="64" t="s">
        <v>387</v>
      </c>
      <c r="BO2" s="64"/>
      <c r="BP2" s="64"/>
      <c r="BQ2" s="38"/>
      <c r="BR2" s="107" t="s">
        <v>388</v>
      </c>
      <c r="BS2" s="107"/>
      <c r="BT2" s="107"/>
    </row>
    <row r="3" spans="2:72" ht="15" thickBot="1" x14ac:dyDescent="0.4">
      <c r="B3" s="172"/>
      <c r="C3" s="169"/>
      <c r="D3" s="173">
        <v>2024</v>
      </c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>
        <v>2025</v>
      </c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>
        <v>2026</v>
      </c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R3" s="67"/>
      <c r="AS3" s="67"/>
      <c r="AT3" s="63">
        <v>2024</v>
      </c>
      <c r="AU3" s="63">
        <v>2025</v>
      </c>
      <c r="AV3" s="63">
        <v>2026</v>
      </c>
      <c r="AX3" s="63">
        <v>2024</v>
      </c>
      <c r="AY3" s="63">
        <v>2025</v>
      </c>
      <c r="AZ3" s="63">
        <v>2026</v>
      </c>
      <c r="BB3" s="63">
        <v>2024</v>
      </c>
      <c r="BC3" s="63">
        <v>2025</v>
      </c>
      <c r="BD3" s="63">
        <v>2026</v>
      </c>
      <c r="BF3" s="63">
        <v>2024</v>
      </c>
      <c r="BG3" s="63">
        <v>2025</v>
      </c>
      <c r="BH3" s="63">
        <v>2026</v>
      </c>
      <c r="BJ3" s="63">
        <v>2024</v>
      </c>
      <c r="BK3" s="63">
        <v>2025</v>
      </c>
      <c r="BL3" s="63">
        <v>2026</v>
      </c>
      <c r="BM3" s="38"/>
      <c r="BN3" s="63">
        <v>2024</v>
      </c>
      <c r="BO3" s="63">
        <v>2025</v>
      </c>
      <c r="BP3" s="63">
        <v>2026</v>
      </c>
      <c r="BQ3" s="38"/>
      <c r="BR3" s="108">
        <v>2024</v>
      </c>
      <c r="BS3" s="108">
        <v>2025</v>
      </c>
      <c r="BT3" s="108">
        <v>2026</v>
      </c>
    </row>
    <row r="4" spans="2:72" ht="15" thickTop="1" x14ac:dyDescent="0.35">
      <c r="B4" s="172"/>
      <c r="C4" s="169"/>
      <c r="D4" s="44">
        <v>1</v>
      </c>
      <c r="E4" s="44">
        <v>2</v>
      </c>
      <c r="F4" s="44">
        <v>3</v>
      </c>
      <c r="G4" s="44">
        <v>4</v>
      </c>
      <c r="H4" s="44">
        <v>5</v>
      </c>
      <c r="I4" s="44">
        <v>6</v>
      </c>
      <c r="J4" s="44">
        <v>7</v>
      </c>
      <c r="K4" s="44">
        <v>8</v>
      </c>
      <c r="L4" s="44">
        <v>9</v>
      </c>
      <c r="M4" s="44">
        <v>10</v>
      </c>
      <c r="N4" s="44">
        <v>11</v>
      </c>
      <c r="O4" s="45">
        <v>12</v>
      </c>
      <c r="P4" s="41" t="s">
        <v>350</v>
      </c>
      <c r="Q4" s="46">
        <v>1</v>
      </c>
      <c r="R4" s="44">
        <v>2</v>
      </c>
      <c r="S4" s="44">
        <v>3</v>
      </c>
      <c r="T4" s="44">
        <v>4</v>
      </c>
      <c r="U4" s="44">
        <v>5</v>
      </c>
      <c r="V4" s="44">
        <v>6</v>
      </c>
      <c r="W4" s="44">
        <v>7</v>
      </c>
      <c r="X4" s="44">
        <v>8</v>
      </c>
      <c r="Y4" s="44">
        <v>9</v>
      </c>
      <c r="Z4" s="44">
        <v>10</v>
      </c>
      <c r="AA4" s="44">
        <v>11</v>
      </c>
      <c r="AB4" s="45">
        <v>12</v>
      </c>
      <c r="AC4" s="41" t="s">
        <v>350</v>
      </c>
      <c r="AD4" s="46">
        <v>1</v>
      </c>
      <c r="AE4" s="44">
        <v>2</v>
      </c>
      <c r="AF4" s="44">
        <v>3</v>
      </c>
      <c r="AG4" s="44">
        <v>4</v>
      </c>
      <c r="AH4" s="44">
        <v>5</v>
      </c>
      <c r="AI4" s="44">
        <v>6</v>
      </c>
      <c r="AJ4" s="44">
        <v>7</v>
      </c>
      <c r="AK4" s="44">
        <v>8</v>
      </c>
      <c r="AL4" s="44">
        <v>9</v>
      </c>
      <c r="AM4" s="44">
        <v>10</v>
      </c>
      <c r="AN4" s="44">
        <v>11</v>
      </c>
      <c r="AO4" s="45">
        <v>12</v>
      </c>
      <c r="AP4" s="41" t="s">
        <v>350</v>
      </c>
      <c r="AR4" s="42">
        <v>1</v>
      </c>
      <c r="AS4" s="39" t="s">
        <v>362</v>
      </c>
      <c r="AT4" s="110">
        <v>3785943.2</v>
      </c>
      <c r="AU4" s="110">
        <v>6408593.9000000004</v>
      </c>
      <c r="AV4" s="110">
        <v>2666400</v>
      </c>
      <c r="AX4" s="104">
        <v>1396.9592995301155</v>
      </c>
      <c r="AY4" s="104">
        <v>1345.2792347226514</v>
      </c>
      <c r="AZ4" s="104">
        <v>1191.5563229628794</v>
      </c>
      <c r="BA4" s="115"/>
      <c r="BB4" s="104">
        <f>AX4*BB$1/1000</f>
        <v>34726.705755409792</v>
      </c>
      <c r="BC4" s="104">
        <f>AY4*BC$1/1000</f>
        <v>34692.22716352166</v>
      </c>
      <c r="BD4" s="104">
        <f>AZ4*BD$1/1000</f>
        <v>31199.703441440121</v>
      </c>
      <c r="BF4" s="104">
        <v>27271.253178600313</v>
      </c>
      <c r="BG4" s="104">
        <v>28138.633379936906</v>
      </c>
      <c r="BH4" s="104">
        <v>28651.781109092688</v>
      </c>
      <c r="BJ4" s="104">
        <v>7455.4525768094791</v>
      </c>
      <c r="BK4" s="104">
        <v>6553.5937835847544</v>
      </c>
      <c r="BL4" s="104">
        <v>2547.9223323474289</v>
      </c>
      <c r="BN4" s="65">
        <v>0.10673146745322792</v>
      </c>
      <c r="BO4" s="65">
        <v>0.15279482629158905</v>
      </c>
      <c r="BP4" s="65">
        <v>0.16131305828722847</v>
      </c>
      <c r="BR4" s="65">
        <v>0.21468931229240062</v>
      </c>
      <c r="BS4" s="65">
        <v>0.18890668946373546</v>
      </c>
      <c r="BT4" s="65">
        <v>8.1664953550911856E-2</v>
      </c>
    </row>
    <row r="5" spans="2:72" x14ac:dyDescent="0.35">
      <c r="B5" s="42">
        <v>1</v>
      </c>
      <c r="C5" s="39" t="s">
        <v>362</v>
      </c>
      <c r="D5" s="109">
        <v>203525</v>
      </c>
      <c r="E5" s="109">
        <v>209000</v>
      </c>
      <c r="F5" s="109">
        <v>48400</v>
      </c>
      <c r="G5" s="109">
        <v>160600</v>
      </c>
      <c r="H5" s="109">
        <v>88000</v>
      </c>
      <c r="I5" s="109">
        <v>211700</v>
      </c>
      <c r="J5" s="109">
        <v>70400</v>
      </c>
      <c r="K5" s="109">
        <v>722418.2</v>
      </c>
      <c r="L5" s="109">
        <v>373900</v>
      </c>
      <c r="M5" s="109">
        <v>399300</v>
      </c>
      <c r="N5" s="109">
        <v>681600</v>
      </c>
      <c r="O5" s="109">
        <v>617100</v>
      </c>
      <c r="P5" s="110">
        <v>3785943.2</v>
      </c>
      <c r="Q5" s="109">
        <v>388849.3</v>
      </c>
      <c r="R5" s="109">
        <v>660000</v>
      </c>
      <c r="S5" s="109">
        <v>419100</v>
      </c>
      <c r="T5" s="109">
        <v>531300</v>
      </c>
      <c r="U5" s="109">
        <v>556160.30000000005</v>
      </c>
      <c r="V5" s="109">
        <v>486422.2</v>
      </c>
      <c r="W5" s="109">
        <v>248969.1</v>
      </c>
      <c r="X5" s="109">
        <v>835293</v>
      </c>
      <c r="Y5" s="109">
        <v>236500</v>
      </c>
      <c r="Z5" s="109">
        <v>382660</v>
      </c>
      <c r="AA5" s="109">
        <v>717340</v>
      </c>
      <c r="AB5" s="109">
        <v>946000</v>
      </c>
      <c r="AC5" s="110">
        <v>6408593.9000000004</v>
      </c>
      <c r="AD5" s="109">
        <v>616000</v>
      </c>
      <c r="AE5" s="109">
        <v>398200</v>
      </c>
      <c r="AF5" s="109">
        <v>772200</v>
      </c>
      <c r="AG5" s="109">
        <v>880000</v>
      </c>
      <c r="AH5" s="109"/>
      <c r="AI5" s="109"/>
      <c r="AJ5" s="109"/>
      <c r="AK5" s="109"/>
      <c r="AL5" s="109"/>
      <c r="AM5" s="109"/>
      <c r="AN5" s="109"/>
      <c r="AO5" s="109"/>
      <c r="AP5" s="110">
        <v>2666400</v>
      </c>
      <c r="AR5" s="43">
        <v>2</v>
      </c>
      <c r="AS5" s="40" t="s">
        <v>363</v>
      </c>
      <c r="AT5" s="112">
        <v>4414400</v>
      </c>
      <c r="AU5" s="112">
        <v>10827735.800000001</v>
      </c>
      <c r="AV5" s="112">
        <v>1687500</v>
      </c>
      <c r="AX5" s="105">
        <v>1223.1237395867231</v>
      </c>
      <c r="AY5" s="104">
        <v>1238.0335607629145</v>
      </c>
      <c r="AZ5" s="104">
        <v>1141.4236356808346</v>
      </c>
      <c r="BA5" s="115"/>
      <c r="BB5" s="105">
        <f t="shared" ref="BB5:BB11" si="0">AX5*BB$1/1000</f>
        <v>30405.36558321464</v>
      </c>
      <c r="BC5" s="104">
        <f t="shared" ref="BC5:BC11" si="1">AY5*BC$1/1000</f>
        <v>31926.562469319175</v>
      </c>
      <c r="BD5" s="104">
        <f t="shared" ref="BD5:BD11" si="2">AZ5*BD$1/1000</f>
        <v>29887.029465582258</v>
      </c>
      <c r="BF5" s="105">
        <v>23061.128116039436</v>
      </c>
      <c r="BG5" s="104">
        <v>25770.07975480899</v>
      </c>
      <c r="BH5" s="104">
        <v>26450.812566521479</v>
      </c>
      <c r="BJ5" s="105">
        <v>7344.2374671752077</v>
      </c>
      <c r="BK5" s="104">
        <v>6156.4827145101881</v>
      </c>
      <c r="BL5" s="104">
        <v>3436.2168990607825</v>
      </c>
      <c r="BN5" s="66">
        <v>0.12444861558555061</v>
      </c>
      <c r="BO5" s="65">
        <v>0.258156787043757</v>
      </c>
      <c r="BP5" s="66">
        <v>0.1020911288102678</v>
      </c>
      <c r="BR5" s="66">
        <v>0.24154412638371991</v>
      </c>
      <c r="BS5" s="66">
        <v>0.19283262081304398</v>
      </c>
      <c r="BT5" s="66">
        <v>0.11497351729177063</v>
      </c>
    </row>
    <row r="6" spans="2:72" x14ac:dyDescent="0.35">
      <c r="B6" s="43">
        <v>2</v>
      </c>
      <c r="C6" s="40" t="s">
        <v>363</v>
      </c>
      <c r="D6" s="111">
        <v>902000</v>
      </c>
      <c r="E6" s="111">
        <v>44000</v>
      </c>
      <c r="F6" s="111">
        <v>666600</v>
      </c>
      <c r="G6" s="111">
        <v>668800</v>
      </c>
      <c r="H6" s="111">
        <v>23100</v>
      </c>
      <c r="I6" s="111">
        <v>92400</v>
      </c>
      <c r="J6" s="111">
        <v>6600</v>
      </c>
      <c r="K6" s="111">
        <v>631400</v>
      </c>
      <c r="L6" s="111">
        <v>884400</v>
      </c>
      <c r="M6" s="111">
        <v>314600</v>
      </c>
      <c r="N6" s="111">
        <v>172800</v>
      </c>
      <c r="O6" s="111">
        <v>7700</v>
      </c>
      <c r="P6" s="112">
        <v>4414400</v>
      </c>
      <c r="Q6" s="111">
        <v>143000</v>
      </c>
      <c r="R6" s="111">
        <v>2270400</v>
      </c>
      <c r="S6" s="111">
        <v>1786400</v>
      </c>
      <c r="T6" s="111">
        <v>1189600</v>
      </c>
      <c r="U6" s="111">
        <v>1854000</v>
      </c>
      <c r="V6" s="111">
        <v>1077435.8</v>
      </c>
      <c r="W6" s="111">
        <v>957000</v>
      </c>
      <c r="X6" s="111">
        <v>1287000</v>
      </c>
      <c r="Y6" s="111">
        <v>3300</v>
      </c>
      <c r="Z6" s="111">
        <v>49500</v>
      </c>
      <c r="AA6" s="111">
        <v>20900</v>
      </c>
      <c r="AB6" s="111">
        <v>189200</v>
      </c>
      <c r="AC6" s="112">
        <v>10827735.800000001</v>
      </c>
      <c r="AD6" s="111">
        <v>25300</v>
      </c>
      <c r="AE6" s="111">
        <v>492800</v>
      </c>
      <c r="AF6" s="111">
        <v>1065950</v>
      </c>
      <c r="AG6" s="111">
        <v>103450</v>
      </c>
      <c r="AH6" s="111"/>
      <c r="AI6" s="111"/>
      <c r="AJ6" s="111"/>
      <c r="AK6" s="111"/>
      <c r="AL6" s="111"/>
      <c r="AM6" s="111"/>
      <c r="AN6" s="111"/>
      <c r="AO6" s="111"/>
      <c r="AP6" s="112">
        <v>1687500</v>
      </c>
      <c r="AR6" s="42">
        <v>3</v>
      </c>
      <c r="AS6" s="40" t="s">
        <v>364</v>
      </c>
      <c r="AT6" s="112">
        <v>19788700</v>
      </c>
      <c r="AU6" s="112">
        <v>19703925</v>
      </c>
      <c r="AV6" s="112">
        <v>8529600</v>
      </c>
      <c r="AX6" s="105">
        <v>1224.2711679958338</v>
      </c>
      <c r="AY6" s="104">
        <v>1204.2755925836173</v>
      </c>
      <c r="AZ6" s="104">
        <v>1113.441134384399</v>
      </c>
      <c r="BA6" s="115"/>
      <c r="BB6" s="105">
        <f t="shared" si="0"/>
        <v>30433.889255129769</v>
      </c>
      <c r="BC6" s="104">
        <f t="shared" si="1"/>
        <v>31056.007813878769</v>
      </c>
      <c r="BD6" s="104">
        <f t="shared" si="2"/>
        <v>29154.335823516209</v>
      </c>
      <c r="BF6" s="105">
        <v>24398.788390546506</v>
      </c>
      <c r="BG6" s="104">
        <v>26749.126226040491</v>
      </c>
      <c r="BH6" s="104">
        <v>26272.020573270045</v>
      </c>
      <c r="BJ6" s="105">
        <v>6035.1008645832626</v>
      </c>
      <c r="BK6" s="104">
        <v>4306.8815878382775</v>
      </c>
      <c r="BL6" s="104">
        <v>2882.3152502461635</v>
      </c>
      <c r="BN6" s="66">
        <v>0.55787339598536267</v>
      </c>
      <c r="BO6" s="65">
        <v>0.46978445578171191</v>
      </c>
      <c r="BP6" s="66">
        <v>0.51602755099262831</v>
      </c>
      <c r="BR6" s="66">
        <v>0.19830199203232035</v>
      </c>
      <c r="BS6" s="66">
        <v>0.13868110845572224</v>
      </c>
      <c r="BT6" s="66">
        <v>9.8864034073492979E-2</v>
      </c>
    </row>
    <row r="7" spans="2:72" x14ac:dyDescent="0.35">
      <c r="B7" s="42">
        <v>3</v>
      </c>
      <c r="C7" s="40" t="s">
        <v>364</v>
      </c>
      <c r="D7" s="111">
        <v>1302400</v>
      </c>
      <c r="E7" s="111">
        <v>1709400</v>
      </c>
      <c r="F7" s="111">
        <v>1788900</v>
      </c>
      <c r="G7" s="111">
        <v>1463000</v>
      </c>
      <c r="H7" s="111">
        <v>2441800</v>
      </c>
      <c r="I7" s="111">
        <v>1150000</v>
      </c>
      <c r="J7" s="111">
        <v>1217900</v>
      </c>
      <c r="K7" s="111">
        <v>2181700</v>
      </c>
      <c r="L7" s="111">
        <v>2313800</v>
      </c>
      <c r="M7" s="111">
        <v>1567700</v>
      </c>
      <c r="N7" s="111">
        <v>926200</v>
      </c>
      <c r="O7" s="111">
        <v>1725900</v>
      </c>
      <c r="P7" s="112">
        <v>19788700</v>
      </c>
      <c r="Q7" s="111">
        <v>2850100</v>
      </c>
      <c r="R7" s="111">
        <v>2172500</v>
      </c>
      <c r="S7" s="111">
        <v>1581700</v>
      </c>
      <c r="T7" s="111">
        <v>1699500</v>
      </c>
      <c r="U7" s="111">
        <v>1785300</v>
      </c>
      <c r="V7" s="111">
        <v>1272725</v>
      </c>
      <c r="W7" s="111">
        <v>2068000</v>
      </c>
      <c r="X7" s="111">
        <v>1771300</v>
      </c>
      <c r="Y7" s="111">
        <v>1195100</v>
      </c>
      <c r="Z7" s="111">
        <v>1399200</v>
      </c>
      <c r="AA7" s="111">
        <v>816200</v>
      </c>
      <c r="AB7" s="111">
        <v>1092300</v>
      </c>
      <c r="AC7" s="112">
        <v>19703925</v>
      </c>
      <c r="AD7" s="111">
        <v>2674100</v>
      </c>
      <c r="AE7" s="111">
        <v>1868900</v>
      </c>
      <c r="AF7" s="111">
        <v>2057000</v>
      </c>
      <c r="AG7" s="111">
        <v>1929600</v>
      </c>
      <c r="AH7" s="111"/>
      <c r="AI7" s="111"/>
      <c r="AJ7" s="111"/>
      <c r="AK7" s="111"/>
      <c r="AL7" s="111"/>
      <c r="AM7" s="111"/>
      <c r="AN7" s="111"/>
      <c r="AO7" s="111"/>
      <c r="AP7" s="112">
        <v>8529600</v>
      </c>
      <c r="AR7" s="43">
        <v>4</v>
      </c>
      <c r="AS7" s="40" t="s">
        <v>365</v>
      </c>
      <c r="AT7" s="112">
        <v>1740225</v>
      </c>
      <c r="AU7" s="112">
        <v>1235050</v>
      </c>
      <c r="AV7" s="112">
        <v>1246450</v>
      </c>
      <c r="AX7" s="105">
        <v>1068.9916591501799</v>
      </c>
      <c r="AY7" s="104">
        <v>1091.0347276350142</v>
      </c>
      <c r="AZ7" s="104">
        <v>1104.632839711883</v>
      </c>
      <c r="BA7" s="115"/>
      <c r="BB7" s="105">
        <f t="shared" si="0"/>
        <v>26573.829899541273</v>
      </c>
      <c r="BC7" s="104">
        <f t="shared" si="1"/>
        <v>28135.7383935301</v>
      </c>
      <c r="BD7" s="104">
        <f t="shared" si="2"/>
        <v>28923.699489915147</v>
      </c>
      <c r="BF7" s="105">
        <v>29230.613178629941</v>
      </c>
      <c r="BG7" s="104">
        <v>25739.27746191113</v>
      </c>
      <c r="BH7" s="104">
        <v>27210.348036371728</v>
      </c>
      <c r="BJ7" s="105">
        <v>-2656.7832790886714</v>
      </c>
      <c r="BK7" s="104">
        <v>2396.4609316189672</v>
      </c>
      <c r="BL7" s="104">
        <v>1713.3514535434224</v>
      </c>
      <c r="BN7" s="66">
        <v>4.9059575946304092E-2</v>
      </c>
      <c r="BO7" s="65">
        <v>2.9446279972807615E-2</v>
      </c>
      <c r="BP7" s="66">
        <v>7.5408288892182693E-2</v>
      </c>
      <c r="BR7" s="66">
        <v>-9.9977432275749178E-2</v>
      </c>
      <c r="BS7" s="66">
        <v>8.5174979170621112E-2</v>
      </c>
      <c r="BT7" s="66">
        <v>5.923694007887248E-2</v>
      </c>
    </row>
    <row r="8" spans="2:72" x14ac:dyDescent="0.35">
      <c r="B8" s="43">
        <v>4</v>
      </c>
      <c r="C8" s="40" t="s">
        <v>365</v>
      </c>
      <c r="D8" s="111">
        <v>440000</v>
      </c>
      <c r="E8" s="111">
        <v>0</v>
      </c>
      <c r="F8" s="111">
        <v>176000</v>
      </c>
      <c r="G8" s="111">
        <v>441100</v>
      </c>
      <c r="H8" s="111">
        <v>330025</v>
      </c>
      <c r="I8" s="111">
        <v>110000</v>
      </c>
      <c r="J8" s="111">
        <v>1100</v>
      </c>
      <c r="K8" s="111">
        <v>5500</v>
      </c>
      <c r="L8" s="111">
        <v>88000</v>
      </c>
      <c r="M8" s="111">
        <v>147400</v>
      </c>
      <c r="N8" s="111">
        <v>0</v>
      </c>
      <c r="O8" s="111">
        <v>1100</v>
      </c>
      <c r="P8" s="112">
        <v>1740225</v>
      </c>
      <c r="Q8" s="111">
        <v>0</v>
      </c>
      <c r="R8" s="111">
        <v>45100</v>
      </c>
      <c r="S8" s="111">
        <v>231000</v>
      </c>
      <c r="T8" s="111">
        <v>154000</v>
      </c>
      <c r="U8" s="111">
        <v>11000</v>
      </c>
      <c r="V8" s="111">
        <v>44000</v>
      </c>
      <c r="W8" s="111">
        <v>374850</v>
      </c>
      <c r="X8" s="111">
        <v>44000</v>
      </c>
      <c r="Y8" s="111">
        <v>67100</v>
      </c>
      <c r="Z8" s="111">
        <v>264000</v>
      </c>
      <c r="AA8" s="111">
        <v>0</v>
      </c>
      <c r="AB8" s="111">
        <v>0</v>
      </c>
      <c r="AC8" s="112">
        <v>1235050</v>
      </c>
      <c r="AD8" s="111">
        <v>2200</v>
      </c>
      <c r="AE8" s="111">
        <v>5500</v>
      </c>
      <c r="AF8" s="111">
        <v>440150</v>
      </c>
      <c r="AG8" s="111">
        <v>798600</v>
      </c>
      <c r="AH8" s="111"/>
      <c r="AI8" s="111"/>
      <c r="AJ8" s="111"/>
      <c r="AK8" s="111"/>
      <c r="AL8" s="111"/>
      <c r="AM8" s="111"/>
      <c r="AN8" s="111"/>
      <c r="AO8" s="111"/>
      <c r="AP8" s="112">
        <v>1246450</v>
      </c>
      <c r="AR8" s="42">
        <v>5</v>
      </c>
      <c r="AS8" s="40" t="s">
        <v>366</v>
      </c>
      <c r="AT8" s="112">
        <v>2418500</v>
      </c>
      <c r="AU8" s="112">
        <v>660000</v>
      </c>
      <c r="AV8" s="112">
        <v>902000</v>
      </c>
      <c r="AX8" s="105">
        <v>1046.9518571235005</v>
      </c>
      <c r="AY8" s="104">
        <v>974.95808100306647</v>
      </c>
      <c r="AZ8" s="104">
        <v>1034.1906772228122</v>
      </c>
      <c r="BA8" s="115"/>
      <c r="BB8" s="105">
        <f t="shared" si="0"/>
        <v>26025.947280380198</v>
      </c>
      <c r="BC8" s="104">
        <f t="shared" si="1"/>
        <v>25142.339484666711</v>
      </c>
      <c r="BD8" s="104">
        <f t="shared" si="2"/>
        <v>27079.242339985514</v>
      </c>
      <c r="BF8" s="105">
        <v>30566.452336984257</v>
      </c>
      <c r="BG8" s="104">
        <v>25324.245496464653</v>
      </c>
      <c r="BH8" s="104">
        <v>27142.653088748815</v>
      </c>
      <c r="BJ8" s="105">
        <v>-4540.5050566040591</v>
      </c>
      <c r="BK8" s="104">
        <v>-181.90601179794248</v>
      </c>
      <c r="BL8" s="104">
        <v>-63.410748763297306</v>
      </c>
      <c r="BN8" s="66">
        <v>6.8181174518315998E-2</v>
      </c>
      <c r="BO8" s="65">
        <v>1.5735836429337294E-2</v>
      </c>
      <c r="BP8" s="66">
        <v>5.4569598925547587E-2</v>
      </c>
      <c r="BR8" s="66">
        <v>-0.17446070291654459</v>
      </c>
      <c r="BS8" s="66">
        <v>-7.2350471565654217E-3</v>
      </c>
      <c r="BT8" s="66">
        <v>-2.3416736689736428E-3</v>
      </c>
    </row>
    <row r="9" spans="2:72" x14ac:dyDescent="0.35">
      <c r="B9" s="42">
        <v>5</v>
      </c>
      <c r="C9" s="40" t="s">
        <v>366</v>
      </c>
      <c r="D9" s="111">
        <v>0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211200</v>
      </c>
      <c r="K9" s="111">
        <v>887300</v>
      </c>
      <c r="L9" s="111">
        <v>660000</v>
      </c>
      <c r="M9" s="111">
        <v>660000</v>
      </c>
      <c r="N9" s="111">
        <v>0</v>
      </c>
      <c r="O9" s="111">
        <v>0</v>
      </c>
      <c r="P9" s="112">
        <v>2418500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220000</v>
      </c>
      <c r="W9" s="111">
        <v>0</v>
      </c>
      <c r="X9" s="111">
        <v>220000</v>
      </c>
      <c r="Y9" s="111">
        <v>0</v>
      </c>
      <c r="Z9" s="111">
        <v>0</v>
      </c>
      <c r="AA9" s="111">
        <v>220000</v>
      </c>
      <c r="AB9" s="111">
        <v>0</v>
      </c>
      <c r="AC9" s="112">
        <v>660000</v>
      </c>
      <c r="AD9" s="111">
        <v>242000</v>
      </c>
      <c r="AE9" s="111">
        <v>0</v>
      </c>
      <c r="AF9" s="111">
        <v>220000</v>
      </c>
      <c r="AG9" s="111">
        <v>440000</v>
      </c>
      <c r="AH9" s="111"/>
      <c r="AI9" s="111"/>
      <c r="AJ9" s="111"/>
      <c r="AK9" s="111"/>
      <c r="AL9" s="111"/>
      <c r="AM9" s="111"/>
      <c r="AN9" s="111"/>
      <c r="AO9" s="111"/>
      <c r="AP9" s="112">
        <v>902000</v>
      </c>
      <c r="AR9" s="43">
        <v>6</v>
      </c>
      <c r="AS9" s="40" t="s">
        <v>367</v>
      </c>
      <c r="AT9" s="112">
        <v>1362900</v>
      </c>
      <c r="AU9" s="112">
        <v>1543175</v>
      </c>
      <c r="AV9" s="112">
        <v>681800</v>
      </c>
      <c r="AX9" s="105">
        <v>697.49707761074035</v>
      </c>
      <c r="AY9" s="104">
        <v>665.45032230599827</v>
      </c>
      <c r="AZ9" s="104">
        <v>677.32981719849192</v>
      </c>
      <c r="BA9" s="115"/>
      <c r="BB9" s="105">
        <f t="shared" si="0"/>
        <v>17338.927331378731</v>
      </c>
      <c r="BC9" s="104">
        <f t="shared" si="1"/>
        <v>17160.715152373476</v>
      </c>
      <c r="BD9" s="104">
        <f t="shared" si="2"/>
        <v>17735.199773092165</v>
      </c>
      <c r="BF9" s="105">
        <v>22643.129784870489</v>
      </c>
      <c r="BG9" s="104">
        <v>26664.425688596559</v>
      </c>
      <c r="BH9" s="104">
        <v>28400.67402984139</v>
      </c>
      <c r="BJ9" s="105">
        <v>-5304.2024534917582</v>
      </c>
      <c r="BK9" s="104">
        <v>-9503.7105362230832</v>
      </c>
      <c r="BL9" s="104">
        <v>-10665.474256749225</v>
      </c>
      <c r="BN9" s="66">
        <v>3.8422213252434514E-2</v>
      </c>
      <c r="BO9" s="65">
        <v>3.6792650578549364E-2</v>
      </c>
      <c r="BP9" s="66">
        <v>4.124784096168331E-2</v>
      </c>
      <c r="BR9" s="66">
        <v>-0.30591295252115147</v>
      </c>
      <c r="BS9" s="66">
        <v>-0.55380620515157486</v>
      </c>
      <c r="BT9" s="66">
        <v>-0.60137322348806443</v>
      </c>
    </row>
    <row r="10" spans="2:72" x14ac:dyDescent="0.35">
      <c r="B10" s="43">
        <v>6</v>
      </c>
      <c r="C10" s="40" t="s">
        <v>367</v>
      </c>
      <c r="D10" s="111">
        <v>0</v>
      </c>
      <c r="E10" s="111">
        <v>0</v>
      </c>
      <c r="F10" s="111">
        <v>0</v>
      </c>
      <c r="G10" s="111">
        <v>225500</v>
      </c>
      <c r="H10" s="111">
        <v>82500</v>
      </c>
      <c r="I10" s="111">
        <v>185900</v>
      </c>
      <c r="J10" s="111">
        <v>165000</v>
      </c>
      <c r="K10" s="111">
        <v>0</v>
      </c>
      <c r="L10" s="111">
        <v>220000</v>
      </c>
      <c r="M10" s="111">
        <v>231000</v>
      </c>
      <c r="N10" s="111">
        <v>11000</v>
      </c>
      <c r="O10" s="111">
        <v>242000</v>
      </c>
      <c r="P10" s="112">
        <v>1362900</v>
      </c>
      <c r="Q10" s="111">
        <v>11000</v>
      </c>
      <c r="R10" s="111">
        <v>16500</v>
      </c>
      <c r="S10" s="111">
        <v>33000</v>
      </c>
      <c r="T10" s="111">
        <v>0</v>
      </c>
      <c r="U10" s="111">
        <v>0</v>
      </c>
      <c r="V10" s="111">
        <v>146900</v>
      </c>
      <c r="W10" s="111">
        <v>567800</v>
      </c>
      <c r="X10" s="111">
        <v>321350</v>
      </c>
      <c r="Y10" s="111">
        <v>202650</v>
      </c>
      <c r="Z10" s="111">
        <v>194625</v>
      </c>
      <c r="AA10" s="111">
        <v>27300</v>
      </c>
      <c r="AB10" s="111">
        <v>22050</v>
      </c>
      <c r="AC10" s="112">
        <v>1543175</v>
      </c>
      <c r="AD10" s="111">
        <v>23100</v>
      </c>
      <c r="AE10" s="111">
        <v>67200</v>
      </c>
      <c r="AF10" s="111">
        <v>342500</v>
      </c>
      <c r="AG10" s="111">
        <v>249000</v>
      </c>
      <c r="AH10" s="111"/>
      <c r="AI10" s="111"/>
      <c r="AJ10" s="111"/>
      <c r="AK10" s="111"/>
      <c r="AL10" s="111"/>
      <c r="AM10" s="111"/>
      <c r="AN10" s="111"/>
      <c r="AO10" s="111"/>
      <c r="AP10" s="112">
        <v>681800</v>
      </c>
      <c r="AR10" s="42">
        <v>7</v>
      </c>
      <c r="AS10" s="40" t="s">
        <v>368</v>
      </c>
      <c r="AT10" s="112">
        <v>0</v>
      </c>
      <c r="AU10" s="112">
        <v>20000</v>
      </c>
      <c r="AV10" s="112">
        <v>660000</v>
      </c>
      <c r="AX10" s="105">
        <v>0</v>
      </c>
      <c r="AY10" s="104">
        <v>913.20265886074719</v>
      </c>
      <c r="AZ10" s="104">
        <v>766.66666666666674</v>
      </c>
      <c r="BA10" s="115"/>
      <c r="BB10" s="105">
        <f t="shared" si="0"/>
        <v>0</v>
      </c>
      <c r="BC10" s="104">
        <f t="shared" si="1"/>
        <v>23549.783026317593</v>
      </c>
      <c r="BD10" s="104">
        <f t="shared" si="2"/>
        <v>20074.395290823864</v>
      </c>
      <c r="BF10" s="105">
        <v>0</v>
      </c>
      <c r="BG10" s="104">
        <v>25925.0059</v>
      </c>
      <c r="BH10" s="104">
        <v>20404.999999999993</v>
      </c>
      <c r="BJ10" s="105">
        <v>0</v>
      </c>
      <c r="BK10" s="104">
        <v>-2375.2228736824072</v>
      </c>
      <c r="BL10" s="104">
        <v>-330.60470917612838</v>
      </c>
      <c r="BN10" s="66">
        <v>0</v>
      </c>
      <c r="BO10" s="65">
        <v>4.768435281617362E-4</v>
      </c>
      <c r="BP10" s="66">
        <v>3.9928974823571405E-2</v>
      </c>
      <c r="BR10" s="66">
        <v>0</v>
      </c>
      <c r="BS10" s="66">
        <v>-0.10085965000306052</v>
      </c>
      <c r="BT10" s="66">
        <v>-1.6468974750499799E-2</v>
      </c>
    </row>
    <row r="11" spans="2:72" x14ac:dyDescent="0.35">
      <c r="B11" s="42">
        <v>7</v>
      </c>
      <c r="C11" s="40" t="s">
        <v>368</v>
      </c>
      <c r="D11" s="111">
        <v>0</v>
      </c>
      <c r="E11" s="111">
        <v>0</v>
      </c>
      <c r="F11" s="111">
        <v>0</v>
      </c>
      <c r="G11" s="111">
        <v>0</v>
      </c>
      <c r="H11" s="111">
        <v>0</v>
      </c>
      <c r="I11" s="111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2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20000</v>
      </c>
      <c r="AC11" s="112">
        <v>20000</v>
      </c>
      <c r="AD11" s="111">
        <v>0</v>
      </c>
      <c r="AE11" s="111">
        <v>0</v>
      </c>
      <c r="AF11" s="111">
        <v>0</v>
      </c>
      <c r="AG11" s="111">
        <v>660000</v>
      </c>
      <c r="AH11" s="111"/>
      <c r="AI11" s="111"/>
      <c r="AJ11" s="111"/>
      <c r="AK11" s="111"/>
      <c r="AL11" s="111"/>
      <c r="AM11" s="111"/>
      <c r="AN11" s="111"/>
      <c r="AO11" s="111"/>
      <c r="AP11" s="112">
        <v>660000</v>
      </c>
      <c r="AR11" s="43">
        <v>8</v>
      </c>
      <c r="AS11" s="40" t="s">
        <v>373</v>
      </c>
      <c r="AT11" s="112">
        <v>1961000</v>
      </c>
      <c r="AU11" s="112">
        <v>1544000</v>
      </c>
      <c r="AV11" s="112">
        <v>155600</v>
      </c>
      <c r="AX11" s="105">
        <v>686.8572514309991</v>
      </c>
      <c r="AY11" s="104">
        <v>665.25784560896557</v>
      </c>
      <c r="AZ11" s="104">
        <v>617.5331436242468</v>
      </c>
      <c r="BA11" s="115"/>
      <c r="BB11" s="105">
        <f t="shared" si="0"/>
        <v>17074.434218976057</v>
      </c>
      <c r="BC11" s="104">
        <f t="shared" si="1"/>
        <v>17155.751539522851</v>
      </c>
      <c r="BD11" s="104">
        <f t="shared" si="2"/>
        <v>16169.484039519439</v>
      </c>
      <c r="BF11" s="105">
        <v>23716.889805711373</v>
      </c>
      <c r="BG11" s="104">
        <v>21106.547259715026</v>
      </c>
      <c r="BH11" s="104">
        <v>21246.656786632389</v>
      </c>
      <c r="BJ11" s="105">
        <v>-6642.4555867353156</v>
      </c>
      <c r="BK11" s="104">
        <v>-3950.7957201921708</v>
      </c>
      <c r="BL11" s="104">
        <v>-5077.1727471129507</v>
      </c>
      <c r="BN11" s="66">
        <v>5.5283557258804079E-2</v>
      </c>
      <c r="BO11" s="65">
        <v>3.6812320374086036E-2</v>
      </c>
      <c r="BP11" s="66">
        <v>9.4135583068904703E-3</v>
      </c>
      <c r="BR11" s="66">
        <v>-0.3890293231123918</v>
      </c>
      <c r="BS11" s="66">
        <v>-0.23028986582665656</v>
      </c>
      <c r="BT11" s="66">
        <v>-0.31399720205690906</v>
      </c>
    </row>
    <row r="12" spans="2:72" ht="15" thickBot="1" x14ac:dyDescent="0.4">
      <c r="B12" s="43">
        <v>8</v>
      </c>
      <c r="C12" s="40" t="s">
        <v>373</v>
      </c>
      <c r="D12" s="111">
        <v>0</v>
      </c>
      <c r="E12" s="111">
        <v>165000</v>
      </c>
      <c r="F12" s="111">
        <v>58000</v>
      </c>
      <c r="G12" s="111">
        <v>0</v>
      </c>
      <c r="H12" s="111">
        <v>222000</v>
      </c>
      <c r="I12" s="111">
        <v>511260</v>
      </c>
      <c r="J12" s="111">
        <v>180000</v>
      </c>
      <c r="K12" s="111">
        <v>380000</v>
      </c>
      <c r="L12" s="111">
        <v>0</v>
      </c>
      <c r="M12" s="111">
        <v>264740</v>
      </c>
      <c r="N12" s="111">
        <v>115000</v>
      </c>
      <c r="O12" s="111">
        <v>65000</v>
      </c>
      <c r="P12" s="112">
        <v>1961000</v>
      </c>
      <c r="Q12" s="111">
        <v>0</v>
      </c>
      <c r="R12" s="111">
        <v>386000</v>
      </c>
      <c r="S12" s="111">
        <v>140000</v>
      </c>
      <c r="T12" s="111">
        <v>120000</v>
      </c>
      <c r="U12" s="111">
        <v>80000</v>
      </c>
      <c r="V12" s="111">
        <v>100000</v>
      </c>
      <c r="W12" s="111">
        <v>20000</v>
      </c>
      <c r="X12" s="111">
        <v>80000</v>
      </c>
      <c r="Y12" s="111">
        <v>220000</v>
      </c>
      <c r="Z12" s="111">
        <v>138000</v>
      </c>
      <c r="AA12" s="111">
        <v>160000</v>
      </c>
      <c r="AB12" s="111">
        <v>100000</v>
      </c>
      <c r="AC12" s="112">
        <v>1544000</v>
      </c>
      <c r="AD12" s="111">
        <v>500</v>
      </c>
      <c r="AE12" s="111">
        <v>0</v>
      </c>
      <c r="AF12" s="111">
        <v>155100</v>
      </c>
      <c r="AG12" s="111">
        <v>0</v>
      </c>
      <c r="AH12" s="111"/>
      <c r="AI12" s="111"/>
      <c r="AJ12" s="111"/>
      <c r="AK12" s="111"/>
      <c r="AL12" s="111"/>
      <c r="AM12" s="111"/>
      <c r="AN12" s="111"/>
      <c r="AO12" s="111"/>
      <c r="AP12" s="112">
        <v>155600</v>
      </c>
      <c r="AT12" s="100"/>
      <c r="AU12" s="100"/>
      <c r="AV12" s="100"/>
      <c r="AX12" s="100"/>
      <c r="AY12" s="100"/>
      <c r="AZ12" s="100"/>
      <c r="BB12" s="100"/>
      <c r="BC12" s="100"/>
      <c r="BD12" s="100"/>
      <c r="BF12" s="100"/>
      <c r="BG12" s="100"/>
      <c r="BH12" s="100"/>
      <c r="BJ12" s="100"/>
      <c r="BK12" s="100"/>
      <c r="BL12" s="100"/>
    </row>
    <row r="13" spans="2:72" ht="15" thickTop="1" x14ac:dyDescent="0.35">
      <c r="AS13" t="s">
        <v>401</v>
      </c>
    </row>
    <row r="14" spans="2:72" x14ac:dyDescent="0.35">
      <c r="AR14" s="118">
        <v>9</v>
      </c>
      <c r="AS14" t="s">
        <v>402</v>
      </c>
    </row>
    <row r="15" spans="2:72" x14ac:dyDescent="0.35">
      <c r="AR15" s="118">
        <v>10</v>
      </c>
      <c r="AS15" t="s">
        <v>403</v>
      </c>
    </row>
    <row r="16" spans="2:72" ht="17" customHeight="1" x14ac:dyDescent="0.35">
      <c r="BB16" s="94"/>
      <c r="BC16" s="94"/>
      <c r="BD16" s="94"/>
    </row>
    <row r="17" spans="44:56" x14ac:dyDescent="0.35">
      <c r="AS17" s="39" t="s">
        <v>362</v>
      </c>
      <c r="BB17" s="94"/>
      <c r="BC17" s="94"/>
      <c r="BD17" s="94"/>
    </row>
    <row r="18" spans="44:56" ht="43.5" x14ac:dyDescent="0.35">
      <c r="AR18" s="42">
        <v>1</v>
      </c>
      <c r="AT18" s="155" t="s">
        <v>384</v>
      </c>
      <c r="AU18" s="156" t="s">
        <v>389</v>
      </c>
      <c r="AV18" s="156" t="s">
        <v>382</v>
      </c>
      <c r="AW18" s="157" t="s">
        <v>386</v>
      </c>
      <c r="AX18" s="157" t="s">
        <v>390</v>
      </c>
    </row>
    <row r="19" spans="44:56" x14ac:dyDescent="0.35">
      <c r="AR19" s="42">
        <v>2</v>
      </c>
      <c r="AS19" s="63">
        <v>2024</v>
      </c>
      <c r="AT19" s="116">
        <f>AT4</f>
        <v>3785943.2</v>
      </c>
      <c r="AU19" s="114">
        <f>BB4</f>
        <v>34726.705755409792</v>
      </c>
      <c r="AV19" s="114">
        <f>BF4</f>
        <v>27271.253178600313</v>
      </c>
      <c r="AW19" s="114">
        <f>AU19-AV19</f>
        <v>7455.4525768094791</v>
      </c>
      <c r="AX19" s="117">
        <f>AW19/AU19</f>
        <v>0.21468931229240062</v>
      </c>
    </row>
    <row r="20" spans="44:56" x14ac:dyDescent="0.35">
      <c r="AR20" s="118">
        <f>AR19+1</f>
        <v>3</v>
      </c>
      <c r="AS20" s="63">
        <v>2025</v>
      </c>
      <c r="AT20" s="116">
        <f>AU4</f>
        <v>6408593.9000000004</v>
      </c>
      <c r="AU20" s="114">
        <f>BC4</f>
        <v>34692.22716352166</v>
      </c>
      <c r="AV20" s="114">
        <f>BG4</f>
        <v>28138.633379936906</v>
      </c>
      <c r="AW20" s="114">
        <f>AU20-AV20</f>
        <v>6553.5937835847544</v>
      </c>
      <c r="AX20" s="117">
        <f>AW20/AU20</f>
        <v>0.18890668946373546</v>
      </c>
    </row>
    <row r="21" spans="44:56" x14ac:dyDescent="0.35">
      <c r="AR21" s="118">
        <f t="shared" ref="AR21:AR23" si="3">AR20+1</f>
        <v>4</v>
      </c>
      <c r="AS21" s="63">
        <v>2026</v>
      </c>
      <c r="AT21" s="116">
        <f>AV4</f>
        <v>2666400</v>
      </c>
      <c r="AU21" s="114">
        <f>BD4</f>
        <v>31199.703441440121</v>
      </c>
      <c r="AV21" s="114">
        <f>BH4</f>
        <v>28651.781109092688</v>
      </c>
      <c r="AW21" s="114">
        <f>AU21-AV21</f>
        <v>2547.9223323474325</v>
      </c>
      <c r="AX21" s="117">
        <f>AW21/AU21</f>
        <v>8.166495355091187E-2</v>
      </c>
    </row>
    <row r="22" spans="44:56" x14ac:dyDescent="0.35">
      <c r="AR22" s="118">
        <f t="shared" si="3"/>
        <v>5</v>
      </c>
    </row>
    <row r="23" spans="44:56" x14ac:dyDescent="0.35">
      <c r="AR23" s="118">
        <f t="shared" si="3"/>
        <v>6</v>
      </c>
    </row>
    <row r="24" spans="44:56" x14ac:dyDescent="0.35">
      <c r="AR24" s="118"/>
    </row>
    <row r="42" spans="45:54" ht="43.5" x14ac:dyDescent="0.35">
      <c r="AS42" s="39" t="s">
        <v>384</v>
      </c>
      <c r="AT42" s="135" t="str">
        <f>AS4</f>
        <v>Hạt iSS01084G</v>
      </c>
      <c r="AU42" s="136" t="str">
        <f>AS5</f>
        <v>Hạt iSS01G</v>
      </c>
      <c r="AV42" s="136" t="str">
        <f>AS6</f>
        <v>Hạt WSS01G</v>
      </c>
      <c r="AW42" s="136" t="str">
        <f>AS7</f>
        <v>Hạt WSS03G</v>
      </c>
      <c r="AX42" s="136"/>
      <c r="AY42" s="136"/>
      <c r="AZ42" s="136"/>
      <c r="BA42" s="136"/>
      <c r="BB42" s="136"/>
    </row>
    <row r="43" spans="45:54" x14ac:dyDescent="0.35">
      <c r="AS43">
        <f>AS19</f>
        <v>2024</v>
      </c>
      <c r="AT43" s="116">
        <f>AT4</f>
        <v>3785943.2</v>
      </c>
    </row>
    <row r="44" spans="45:54" x14ac:dyDescent="0.35">
      <c r="AS44">
        <f>AS20</f>
        <v>2025</v>
      </c>
      <c r="AT44" s="116">
        <f>AU4</f>
        <v>6408593.9000000004</v>
      </c>
    </row>
    <row r="45" spans="45:54" x14ac:dyDescent="0.35">
      <c r="AS45">
        <f>AS21</f>
        <v>2026</v>
      </c>
      <c r="AT45" s="116">
        <f>AV4</f>
        <v>2666400</v>
      </c>
    </row>
    <row r="48" spans="45:54" x14ac:dyDescent="0.35">
      <c r="AS48" s="39" t="s">
        <v>362</v>
      </c>
    </row>
    <row r="49" spans="44:50" ht="43.5" x14ac:dyDescent="0.35">
      <c r="AR49" s="42">
        <v>1</v>
      </c>
      <c r="AT49" s="155" t="s">
        <v>384</v>
      </c>
      <c r="AU49" s="156" t="s">
        <v>389</v>
      </c>
      <c r="AV49" s="156" t="s">
        <v>382</v>
      </c>
      <c r="AW49" s="157" t="s">
        <v>386</v>
      </c>
      <c r="AX49" s="157" t="s">
        <v>390</v>
      </c>
    </row>
    <row r="50" spans="44:50" x14ac:dyDescent="0.35">
      <c r="AR50" s="42">
        <v>2</v>
      </c>
      <c r="AS50" s="63">
        <v>2024</v>
      </c>
      <c r="AT50" s="116">
        <f>AT35</f>
        <v>0</v>
      </c>
      <c r="AU50" s="114">
        <f>BB35</f>
        <v>0</v>
      </c>
      <c r="AV50" s="114">
        <f>BF35</f>
        <v>0</v>
      </c>
      <c r="AW50" s="114">
        <f>AU50-AV50</f>
        <v>0</v>
      </c>
      <c r="AX50" s="117" t="e">
        <f>AW50/AU50</f>
        <v>#DIV/0!</v>
      </c>
    </row>
    <row r="51" spans="44:50" x14ac:dyDescent="0.35">
      <c r="AR51" s="118">
        <f>AR50+1</f>
        <v>3</v>
      </c>
      <c r="AS51" s="63">
        <v>2025</v>
      </c>
      <c r="AT51" s="116">
        <f>AU35</f>
        <v>0</v>
      </c>
      <c r="AU51" s="114">
        <f>BC35</f>
        <v>0</v>
      </c>
      <c r="AV51" s="114">
        <f>BG35</f>
        <v>0</v>
      </c>
      <c r="AW51" s="114">
        <f>AU51-AV51</f>
        <v>0</v>
      </c>
      <c r="AX51" s="117" t="e">
        <f>AW51/AU51</f>
        <v>#DIV/0!</v>
      </c>
    </row>
    <row r="52" spans="44:50" x14ac:dyDescent="0.35">
      <c r="AR52" s="118">
        <f t="shared" ref="AR52:AR54" si="4">AR51+1</f>
        <v>4</v>
      </c>
      <c r="AS52" s="63">
        <v>2026</v>
      </c>
      <c r="AT52" s="116">
        <f>AV35</f>
        <v>0</v>
      </c>
      <c r="AU52" s="114">
        <f>BD35</f>
        <v>0</v>
      </c>
      <c r="AV52" s="114">
        <f>BH35</f>
        <v>0</v>
      </c>
      <c r="AW52" s="114">
        <f>AU52-AV52</f>
        <v>0</v>
      </c>
      <c r="AX52" s="117" t="e">
        <f>AW52/AU52</f>
        <v>#DIV/0!</v>
      </c>
    </row>
    <row r="53" spans="44:50" x14ac:dyDescent="0.35">
      <c r="AR53" s="118">
        <f t="shared" si="4"/>
        <v>5</v>
      </c>
    </row>
    <row r="54" spans="44:50" x14ac:dyDescent="0.35">
      <c r="AR54" s="118">
        <f t="shared" si="4"/>
        <v>6</v>
      </c>
    </row>
    <row r="55" spans="44:50" x14ac:dyDescent="0.35">
      <c r="AR55" s="118"/>
    </row>
    <row r="73" spans="45:51" ht="43.5" x14ac:dyDescent="0.35">
      <c r="AS73" s="39" t="s">
        <v>384</v>
      </c>
      <c r="AT73" s="135">
        <f>AS35</f>
        <v>0</v>
      </c>
      <c r="AU73" s="136">
        <f>AS36</f>
        <v>0</v>
      </c>
      <c r="AV73" s="136">
        <f>AS37</f>
        <v>0</v>
      </c>
      <c r="AW73" s="136">
        <f>AS38</f>
        <v>0</v>
      </c>
      <c r="AX73" s="136"/>
      <c r="AY73" s="136"/>
    </row>
    <row r="74" spans="45:51" x14ac:dyDescent="0.35">
      <c r="AS74">
        <f>AS50</f>
        <v>2024</v>
      </c>
      <c r="AT74" s="116">
        <f>AT35</f>
        <v>0</v>
      </c>
    </row>
    <row r="75" spans="45:51" x14ac:dyDescent="0.35">
      <c r="AS75">
        <f>AS51</f>
        <v>2025</v>
      </c>
      <c r="AT75" s="116">
        <f>AU35</f>
        <v>0</v>
      </c>
    </row>
    <row r="76" spans="45:51" x14ac:dyDescent="0.35">
      <c r="AS76">
        <f>AS52</f>
        <v>2026</v>
      </c>
      <c r="AT76" s="116">
        <f>AV35</f>
        <v>0</v>
      </c>
    </row>
  </sheetData>
  <mergeCells count="6">
    <mergeCell ref="B2:B4"/>
    <mergeCell ref="C2:C4"/>
    <mergeCell ref="D2:AP2"/>
    <mergeCell ref="D3:P3"/>
    <mergeCell ref="Q3:AC3"/>
    <mergeCell ref="AD3:A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6C52-CC2D-49F6-AD86-586A37344B8F}">
  <dimension ref="B1:BT76"/>
  <sheetViews>
    <sheetView topLeftCell="AR1" zoomScaleNormal="100" workbookViewId="0">
      <selection activeCell="AZ4" sqref="AZ4"/>
    </sheetView>
  </sheetViews>
  <sheetFormatPr defaultRowHeight="14.5" outlineLevelCol="2" x14ac:dyDescent="0.35"/>
  <cols>
    <col min="3" max="3" width="20.4140625" customWidth="1"/>
    <col min="4" max="15" width="0" hidden="1" customWidth="1" outlineLevel="1"/>
    <col min="16" max="16" width="8.6640625" collapsed="1"/>
    <col min="17" max="28" width="0" hidden="1" customWidth="1" outlineLevel="2"/>
    <col min="29" max="29" width="8.6640625" collapsed="1"/>
    <col min="30" max="41" width="8.6640625" hidden="1" customWidth="1" outlineLevel="2"/>
    <col min="42" max="42" width="8.6640625" collapsed="1"/>
    <col min="43" max="43" width="3.5" customWidth="1"/>
    <col min="44" max="44" width="3.6640625" bestFit="1" customWidth="1"/>
    <col min="45" max="45" width="19.1640625" bestFit="1" customWidth="1"/>
    <col min="46" max="46" width="9.1640625" customWidth="1"/>
    <col min="47" max="47" width="9.25" customWidth="1"/>
    <col min="48" max="48" width="8.9140625" customWidth="1"/>
    <col min="49" max="49" width="6.1640625" bestFit="1" customWidth="1"/>
    <col min="50" max="52" width="6.4140625" bestFit="1" customWidth="1"/>
    <col min="53" max="53" width="3.4140625" customWidth="1"/>
    <col min="54" max="54" width="9.58203125" bestFit="1" customWidth="1"/>
    <col min="55" max="55" width="8.25" customWidth="1"/>
    <col min="57" max="57" width="3" customWidth="1"/>
    <col min="58" max="59" width="7.4140625" bestFit="1" customWidth="1"/>
    <col min="60" max="60" width="8" bestFit="1" customWidth="1"/>
    <col min="61" max="61" width="4.08203125" customWidth="1"/>
    <col min="62" max="62" width="7" bestFit="1" customWidth="1"/>
    <col min="65" max="65" width="3.08203125" customWidth="1"/>
  </cols>
  <sheetData>
    <row r="1" spans="2:72" x14ac:dyDescent="0.35">
      <c r="BB1" s="113">
        <v>24858.78133105993</v>
      </c>
      <c r="BC1" s="113">
        <v>25788.123586605394</v>
      </c>
      <c r="BD1" s="113">
        <v>26183.993857596342</v>
      </c>
    </row>
    <row r="2" spans="2:72" x14ac:dyDescent="0.35">
      <c r="B2" s="172" t="s">
        <v>370</v>
      </c>
      <c r="C2" s="169" t="s">
        <v>369</v>
      </c>
      <c r="D2" s="174" t="s">
        <v>384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R2" s="67" t="s">
        <v>370</v>
      </c>
      <c r="AS2" s="67" t="s">
        <v>369</v>
      </c>
      <c r="AT2" s="107" t="s">
        <v>384</v>
      </c>
      <c r="AU2" s="107"/>
      <c r="AV2" s="107"/>
      <c r="AX2" s="107" t="s">
        <v>393</v>
      </c>
      <c r="AY2" s="107"/>
      <c r="AZ2" s="107"/>
      <c r="BB2" s="107" t="s">
        <v>392</v>
      </c>
      <c r="BC2" s="107"/>
      <c r="BD2" s="107"/>
      <c r="BF2" s="107" t="s">
        <v>382</v>
      </c>
      <c r="BG2" s="107"/>
      <c r="BH2" s="107"/>
      <c r="BJ2" s="107" t="s">
        <v>386</v>
      </c>
      <c r="BK2" s="107"/>
      <c r="BL2" s="107"/>
      <c r="BM2" s="38"/>
      <c r="BN2" s="64" t="s">
        <v>387</v>
      </c>
      <c r="BO2" s="64"/>
      <c r="BP2" s="64"/>
      <c r="BQ2" s="38"/>
      <c r="BR2" s="107" t="s">
        <v>388</v>
      </c>
      <c r="BS2" s="107"/>
      <c r="BT2" s="107"/>
    </row>
    <row r="3" spans="2:72" ht="15" thickBot="1" x14ac:dyDescent="0.4">
      <c r="B3" s="172"/>
      <c r="C3" s="169"/>
      <c r="D3" s="173">
        <v>2024</v>
      </c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>
        <v>2025</v>
      </c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>
        <v>2026</v>
      </c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R3" s="67"/>
      <c r="AS3" s="67"/>
      <c r="AT3" s="63">
        <v>2024</v>
      </c>
      <c r="AU3" s="63">
        <v>2025</v>
      </c>
      <c r="AV3" s="63">
        <v>2026</v>
      </c>
      <c r="AX3" s="63">
        <v>2024</v>
      </c>
      <c r="AY3" s="63">
        <v>2025</v>
      </c>
      <c r="AZ3" s="63">
        <v>2026</v>
      </c>
      <c r="BB3" s="63">
        <v>2024</v>
      </c>
      <c r="BC3" s="63">
        <v>2025</v>
      </c>
      <c r="BD3" s="63">
        <v>2026</v>
      </c>
      <c r="BF3" s="63">
        <v>2024</v>
      </c>
      <c r="BG3" s="63">
        <v>2025</v>
      </c>
      <c r="BH3" s="63">
        <v>2026</v>
      </c>
      <c r="BJ3" s="63">
        <v>2024</v>
      </c>
      <c r="BK3" s="63">
        <v>2025</v>
      </c>
      <c r="BL3" s="63">
        <v>2026</v>
      </c>
      <c r="BM3" s="38"/>
      <c r="BN3" s="63">
        <v>2024</v>
      </c>
      <c r="BO3" s="63">
        <v>2025</v>
      </c>
      <c r="BP3" s="63">
        <v>2026</v>
      </c>
      <c r="BQ3" s="38"/>
      <c r="BR3" s="108">
        <v>2024</v>
      </c>
      <c r="BS3" s="108">
        <v>2025</v>
      </c>
      <c r="BT3" s="108">
        <v>2026</v>
      </c>
    </row>
    <row r="4" spans="2:72" ht="15" thickTop="1" x14ac:dyDescent="0.35">
      <c r="B4" s="172"/>
      <c r="C4" s="169"/>
      <c r="D4" s="44">
        <v>1</v>
      </c>
      <c r="E4" s="44">
        <v>2</v>
      </c>
      <c r="F4" s="44">
        <v>3</v>
      </c>
      <c r="G4" s="44">
        <v>4</v>
      </c>
      <c r="H4" s="44">
        <v>5</v>
      </c>
      <c r="I4" s="44">
        <v>6</v>
      </c>
      <c r="J4" s="44">
        <v>7</v>
      </c>
      <c r="K4" s="44">
        <v>8</v>
      </c>
      <c r="L4" s="44">
        <v>9</v>
      </c>
      <c r="M4" s="44">
        <v>10</v>
      </c>
      <c r="N4" s="44">
        <v>11</v>
      </c>
      <c r="O4" s="45">
        <v>12</v>
      </c>
      <c r="P4" s="41" t="s">
        <v>350</v>
      </c>
      <c r="Q4" s="46">
        <v>1</v>
      </c>
      <c r="R4" s="44">
        <v>2</v>
      </c>
      <c r="S4" s="44">
        <v>3</v>
      </c>
      <c r="T4" s="44">
        <v>4</v>
      </c>
      <c r="U4" s="44">
        <v>5</v>
      </c>
      <c r="V4" s="44">
        <v>6</v>
      </c>
      <c r="W4" s="44">
        <v>7</v>
      </c>
      <c r="X4" s="44">
        <v>8</v>
      </c>
      <c r="Y4" s="44">
        <v>9</v>
      </c>
      <c r="Z4" s="44">
        <v>10</v>
      </c>
      <c r="AA4" s="44">
        <v>11</v>
      </c>
      <c r="AB4" s="45">
        <v>12</v>
      </c>
      <c r="AC4" s="41" t="s">
        <v>350</v>
      </c>
      <c r="AD4" s="46">
        <v>1</v>
      </c>
      <c r="AE4" s="44">
        <v>2</v>
      </c>
      <c r="AF4" s="44">
        <v>3</v>
      </c>
      <c r="AG4" s="44">
        <v>4</v>
      </c>
      <c r="AH4" s="44">
        <v>5</v>
      </c>
      <c r="AI4" s="44">
        <v>6</v>
      </c>
      <c r="AJ4" s="44">
        <v>7</v>
      </c>
      <c r="AK4" s="44">
        <v>8</v>
      </c>
      <c r="AL4" s="44">
        <v>9</v>
      </c>
      <c r="AM4" s="44">
        <v>10</v>
      </c>
      <c r="AN4" s="44">
        <v>11</v>
      </c>
      <c r="AO4" s="45">
        <v>12</v>
      </c>
      <c r="AP4" s="41" t="s">
        <v>350</v>
      </c>
      <c r="AR4" s="42">
        <v>1</v>
      </c>
      <c r="AS4" s="39" t="s">
        <v>362</v>
      </c>
      <c r="AT4" s="177">
        <f>GETPIVOTDATA("[Measures].[SL]",[4]Suntory!$A$3,"[dim_date].[Year]","[dim_date].[Year].&amp;[2024]","[dim_SKU].[Tên SKU]","[dim_SKU].[Tên SKU].&amp;[Hạt nhựa rPET iSS01084G]")</f>
        <v>2573618.2000000002</v>
      </c>
      <c r="AU4" s="177">
        <f>GETPIVOTDATA("[Measures].[SL]",[4]Suntory!$A$3,"[dim_date].[Year]","[dim_date].[Year].&amp;[2025]","[dim_SKU].[Tên SKU]","[dim_SKU].[Tên SKU].&amp;[Hạt nhựa rPET iSS01084G]")</f>
        <v>5207904.7</v>
      </c>
      <c r="AV4" s="177">
        <f>GETPIVOTDATA("[Measures].[SL]",[4]Suntory!$A$3,"[dim_date].[Year]","[dim_date].[Year].&amp;[2026]","[dim_SKU].[Tên SKU]","[dim_SKU].[Tên SKU].&amp;[Hạt nhựa rPET iSS01084G]")</f>
        <v>2953500</v>
      </c>
      <c r="AX4" s="175">
        <f>GETPIVOTDATA("[Measures].[GBTB EXW (USD/ton)]",[4]Suntory!$A$3,"[dim_date].[Year]","[dim_date].[Year].&amp;[2024]","[dim_SKU].[Tên SKU]","[dim_SKU].[Tên SKU].&amp;[Hạt nhựa rPET iSS01084G]")</f>
        <v>1435.307417661335</v>
      </c>
      <c r="AY4" s="175">
        <f>GETPIVOTDATA("[Measures].[GBTB EXW (USD/ton)]",[4]Suntory!$A$3,"[dim_date].[Year]","[dim_date].[Year].&amp;[2025]","[dim_SKU].[Tên SKU]","[dim_SKU].[Tên SKU].&amp;[Hạt nhựa rPET iSS01084G]")</f>
        <v>1343.1036911458054</v>
      </c>
      <c r="AZ4" s="175">
        <f>GETPIVOTDATA("[Measures].[GBTB EXW (USD/ton)]",[4]Suntory!$A$3,"[dim_date].[Year]","[dim_date].[Year].&amp;[2026]","[dim_SKU].[Tên SKU]","[dim_SKU].[Tên SKU].&amp;[Hạt nhựa rPET iSS01084G]")</f>
        <v>1170.8511370028</v>
      </c>
      <c r="BA4" s="115"/>
      <c r="BB4" s="175">
        <f>AX4*BB$1/1000</f>
        <v>35679.993238491428</v>
      </c>
      <c r="BC4" s="175">
        <f>AY4*BC$1/1000</f>
        <v>34636.123976893912</v>
      </c>
      <c r="BD4" s="175">
        <f>AZ4*BD$1/1000</f>
        <v>30657.558979441008</v>
      </c>
      <c r="BF4" s="175">
        <f>GETPIVOTDATA("[Measures].[GVĐV (VND/kg)]",[4]Suntory!$A$3,"[dim_date].[Year]","[dim_date].[Year].&amp;[2024]","[dim_SKU].[Tên SKU]","[dim_SKU].[Tên SKU].&amp;[Hạt nhựa rPET iSS01084G]")</f>
        <v>28107.031178932233</v>
      </c>
      <c r="BG4" s="175">
        <f>GETPIVOTDATA("[Measures].[GVĐV (VND/kg)]",[4]Suntory!$A$3,"[dim_date].[Year]","[dim_date].[Year].&amp;[2025]","[dim_SKU].[Tên SKU]","[dim_SKU].[Tên SKU].&amp;[Hạt nhựa rPET iSS01084G]")</f>
        <v>28425.137778271146</v>
      </c>
      <c r="BH4" s="175">
        <f>GETPIVOTDATA("[Measures].[GVĐV (VND/kg)]",[4]Suntory!$A$3,"[dim_date].[Year]","[dim_date].[Year].&amp;[2026]","[dim_SKU].[Tên SKU]","[dim_SKU].[Tên SKU].&amp;[Hạt nhựa rPET iSS01084G]")</f>
        <v>28606.26705038725</v>
      </c>
      <c r="BJ4" s="175">
        <f>GETPIVOTDATA("[Measures].[LGĐV EXW (VND/kg)]",[4]Suntory!$A$3,"[dim_date].[Year]","[dim_date].[Year].&amp;[2024]","[dim_SKU].[Tên SKU]","[dim_SKU].[Tên SKU].&amp;[Hạt nhựa rPET iSS01084G]")</f>
        <v>7764.8027702834897</v>
      </c>
      <c r="BK4" s="175">
        <f>GETPIVOTDATA("[Measures].[LGĐV EXW (VND/kg)]",[4]Suntory!$A$3,"[dim_date].[Year]","[dim_date].[Year].&amp;[2025]","[dim_SKU].[Tên SKU]","[dim_SKU].[Tên SKU].&amp;[Hạt nhựa rPET iSS01084G]")</f>
        <v>6359.8243140440127</v>
      </c>
      <c r="BL4" s="175">
        <f>GETPIVOTDATA("[Measures].[LGĐV EXW (VND/kg)]",[4]Suntory!$A$3,"[dim_date].[Year]","[dim_date].[Year].&amp;[2026]","[dim_SKU].[Tên SKU]","[dim_SKU].[Tên SKU].&amp;[Hạt nhựa rPET iSS01084G]")</f>
        <v>2084.8644319083301</v>
      </c>
      <c r="BN4" s="179">
        <v>0.10673146745322792</v>
      </c>
      <c r="BO4" s="179">
        <v>0.15279482629158905</v>
      </c>
      <c r="BP4" s="179">
        <v>0.16131305828722847</v>
      </c>
      <c r="BR4" s="179">
        <f>GETPIVOTDATA("[Measures].[%LG_EXW]",[4]Suntory!$A$3,"[dim_date].[Year]","[dim_date].[Year].&amp;[2024]","[dim_SKU].[Tên SKU]","[dim_SKU].[Tên SKU].&amp;[Hạt nhựa rPET iSS01084G]")</f>
        <v>0.2164595983934425</v>
      </c>
      <c r="BS4" s="179">
        <f>GETPIVOTDATA("[Measures].[%LG_EXW]",[4]Suntory!$A$3,"[dim_date].[Year]","[dim_date].[Year].&amp;[2025]","[dim_SKU].[Tên SKU]","[dim_SKU].[Tên SKU].&amp;[Hạt nhựa rPET iSS01084G]")</f>
        <v>0.18283257854833393</v>
      </c>
      <c r="BT4" s="179">
        <f>GETPIVOTDATA("[Measures].[%LG_EXW]",[4]Suntory!$A$3,"[dim_date].[Year]","[dim_date].[Year].&amp;[2026]","[dim_SKU].[Tên SKU]","[dim_SKU].[Tên SKU].&amp;[Hạt nhựa rPET iSS01084G]")</f>
        <v>6.7930517097781182E-2</v>
      </c>
    </row>
    <row r="5" spans="2:72" x14ac:dyDescent="0.35">
      <c r="B5" s="42">
        <v>1</v>
      </c>
      <c r="C5" s="39" t="s">
        <v>362</v>
      </c>
      <c r="D5" s="109">
        <v>203525</v>
      </c>
      <c r="E5" s="109">
        <v>209000</v>
      </c>
      <c r="F5" s="109">
        <v>48400</v>
      </c>
      <c r="G5" s="109">
        <v>160600</v>
      </c>
      <c r="H5" s="109">
        <v>88000</v>
      </c>
      <c r="I5" s="109">
        <v>211700</v>
      </c>
      <c r="J5" s="109">
        <v>70400</v>
      </c>
      <c r="K5" s="109">
        <v>722418.2</v>
      </c>
      <c r="L5" s="109">
        <v>373900</v>
      </c>
      <c r="M5" s="109">
        <v>399300</v>
      </c>
      <c r="N5" s="109">
        <v>681600</v>
      </c>
      <c r="O5" s="109">
        <v>617100</v>
      </c>
      <c r="P5" s="110">
        <v>3785943.2</v>
      </c>
      <c r="Q5" s="109">
        <v>388849.3</v>
      </c>
      <c r="R5" s="109">
        <v>660000</v>
      </c>
      <c r="S5" s="109">
        <v>419100</v>
      </c>
      <c r="T5" s="109">
        <v>531300</v>
      </c>
      <c r="U5" s="109">
        <v>556160.30000000005</v>
      </c>
      <c r="V5" s="109">
        <v>486422.2</v>
      </c>
      <c r="W5" s="109">
        <v>248969.1</v>
      </c>
      <c r="X5" s="109">
        <v>835293</v>
      </c>
      <c r="Y5" s="109">
        <v>236500</v>
      </c>
      <c r="Z5" s="109">
        <v>382660</v>
      </c>
      <c r="AA5" s="109">
        <v>717340</v>
      </c>
      <c r="AB5" s="109">
        <v>946000</v>
      </c>
      <c r="AC5" s="110">
        <v>6408593.9000000004</v>
      </c>
      <c r="AD5" s="109">
        <v>616000</v>
      </c>
      <c r="AE5" s="109">
        <v>398200</v>
      </c>
      <c r="AF5" s="109">
        <v>772200</v>
      </c>
      <c r="AG5" s="109">
        <v>880000</v>
      </c>
      <c r="AH5" s="109"/>
      <c r="AI5" s="109"/>
      <c r="AJ5" s="109"/>
      <c r="AK5" s="109"/>
      <c r="AL5" s="109"/>
      <c r="AM5" s="109"/>
      <c r="AN5" s="109"/>
      <c r="AO5" s="109"/>
      <c r="AP5" s="110">
        <v>2666400</v>
      </c>
      <c r="AR5" s="43">
        <v>2</v>
      </c>
      <c r="AS5" s="40" t="s">
        <v>363</v>
      </c>
      <c r="AT5" s="178">
        <f>GETPIVOTDATA("[Measures].[SL]",[4]Suntory!$A$3,"[dim_date].[Year]","[dim_date].[Year].&amp;[2024]","[dim_SKU].[Tên SKU]","[dim_SKU].[Tên SKU].&amp;[Hạt nhựa rPET iSS01G 1]")</f>
        <v>33000</v>
      </c>
      <c r="AU5" s="178">
        <f>GETPIVOTDATA("[Measures].[SL]",[4]Suntory!$A$3,"[dim_date].[Year]","[dim_date].[Year].&amp;[2025]","[dim_SKU].[Tên SKU]","[dim_SKU].[Tên SKU].&amp;[Hạt nhựa rPET iSS01G 1]")</f>
        <v>160600</v>
      </c>
      <c r="AV5" s="178">
        <f>GETPIVOTDATA("[Measures].[SL]",[4]Suntory!$A$3,"[dim_date].[Year]","[dim_date].[Year].&amp;[2026]","[dim_SKU].[Tên SKU]","[dim_SKU].[Tên SKU].&amp;[Hạt nhựa rPET iSS01G 1]")</f>
        <v>0</v>
      </c>
      <c r="AX5" s="176">
        <f>GETPIVOTDATA("[Measures].[GBTB EXW (USD/ton)]",[4]Suntory!$A$3,"[dim_date].[Year]","[dim_date].[Year].&amp;[2024]","[dim_SKU].[Tên SKU]","[dim_SKU].[Tên SKU].&amp;[Hạt nhựa rPET iSS01G 1]")</f>
        <v>1125.8677708226983</v>
      </c>
      <c r="AY5" s="175">
        <f>GETPIVOTDATA("[Measures].[GBTB EXW (USD/ton)]",[4]Suntory!$A$3,"[dim_date].[Year]","[dim_date].[Year].&amp;[2025]","[dim_SKU].[Tên SKU]","[dim_SKU].[Tên SKU].&amp;[Hạt nhựa rPET iSS01G 1]")</f>
        <v>1392.9913447960555</v>
      </c>
      <c r="AZ5" s="175">
        <f>GETPIVOTDATA("[Measures].[GBTB EXW (USD/ton)]",[4]Suntory!$A$3,"[dim_date].[Year]","[dim_date].[Year].&amp;[2026]","[dim_SKU].[Tên SKU]","[dim_SKU].[Tên SKU].&amp;[Hạt nhựa rPET iSS01G 1]")</f>
        <v>0</v>
      </c>
      <c r="BA5" s="115"/>
      <c r="BB5" s="176">
        <f t="shared" ref="BB5:BD11" si="0">AX5*BB$1/1000</f>
        <v>27987.700722569352</v>
      </c>
      <c r="BC5" s="175">
        <f t="shared" si="0"/>
        <v>35922.632954672328</v>
      </c>
      <c r="BD5" s="175">
        <f t="shared" si="0"/>
        <v>0</v>
      </c>
      <c r="BF5" s="176">
        <v>23061.128116039436</v>
      </c>
      <c r="BG5" s="175">
        <v>25770.07975480899</v>
      </c>
      <c r="BH5" s="175">
        <v>26450.812566521479</v>
      </c>
      <c r="BJ5" s="176">
        <f>GETPIVOTDATA("[Measures].[LGĐV EXW (VND/kg)]",[4]Suntory!$A$3,"[dim_date].[Year]","[dim_date].[Year].&amp;[2024]","[dim_SKU].[Tên SKU]","[dim_SKU].[Tên SKU].&amp;[Hạt nhựa rPET iSS01G 1]")</f>
        <v>7592.6811319499793</v>
      </c>
      <c r="BK5" s="175">
        <f>GETPIVOTDATA("[Measures].[LGĐV EXW (VND/kg)]",[4]Suntory!$A$3,"[dim_date].[Year]","[dim_date].[Year].&amp;[2025]","[dim_SKU].[Tên SKU]","[dim_SKU].[Tên SKU].&amp;[Hạt nhựa rPET iSS01G 1]")</f>
        <v>9897.423208696544</v>
      </c>
      <c r="BL5" s="175">
        <f>GETPIVOTDATA("[Measures].[LGĐV EXW (VND/kg)]",[4]Suntory!$A$3,"[dim_date].[Year]","[dim_date].[Year].&amp;[2026]","[dim_SKU].[Tên SKU]","[dim_SKU].[Tên SKU].&amp;[Hạt nhựa rPET iSS01G 1]")</f>
        <v>0</v>
      </c>
      <c r="BN5" s="180">
        <v>0.12444861558555061</v>
      </c>
      <c r="BO5" s="179">
        <v>0.258156787043757</v>
      </c>
      <c r="BP5" s="180">
        <v>0.1020911288102678</v>
      </c>
      <c r="BR5" s="180">
        <f>GETPIVOTDATA("[Measures].[%LG_EXW]",[4]Suntory!$A$3,"[dim_date].[Year]","[dim_date].[Year].&amp;[2024]","[dim_SKU].[Tên SKU]","[dim_SKU].[Tên SKU].&amp;[Hạt nhựa rPET iSS01G 1]")</f>
        <v>0.25776362853307627</v>
      </c>
      <c r="BS5" s="180">
        <f>GETPIVOTDATA("[Measures].[%LG_EXW]",[4]Suntory!$A$3,"[dim_date].[Year]","[dim_date].[Year].&amp;[2025]","[dim_SKU].[Tên SKU]","[dim_SKU].[Tên SKU].&amp;[Hạt nhựa rPET iSS01G 1]")</f>
        <v>0.28119076771569446</v>
      </c>
      <c r="BT5" s="180">
        <f>GETPIVOTDATA("[Measures].[%LG_EXW]",[4]Suntory!$A$3,"[dim_date].[Year]","[dim_date].[Year].&amp;[2026]","[dim_SKU].[Tên SKU]","[dim_SKU].[Tên SKU].&amp;[Hạt nhựa rPET iSS01G 1]")</f>
        <v>0</v>
      </c>
    </row>
    <row r="6" spans="2:72" x14ac:dyDescent="0.35">
      <c r="B6" s="43">
        <v>2</v>
      </c>
      <c r="C6" s="40" t="s">
        <v>363</v>
      </c>
      <c r="D6" s="111">
        <v>902000</v>
      </c>
      <c r="E6" s="111">
        <v>44000</v>
      </c>
      <c r="F6" s="111">
        <v>666600</v>
      </c>
      <c r="G6" s="111">
        <v>668800</v>
      </c>
      <c r="H6" s="111">
        <v>23100</v>
      </c>
      <c r="I6" s="111">
        <v>92400</v>
      </c>
      <c r="J6" s="111">
        <v>6600</v>
      </c>
      <c r="K6" s="111">
        <v>631400</v>
      </c>
      <c r="L6" s="111">
        <v>884400</v>
      </c>
      <c r="M6" s="111">
        <v>314600</v>
      </c>
      <c r="N6" s="111">
        <v>172800</v>
      </c>
      <c r="O6" s="111">
        <v>7700</v>
      </c>
      <c r="P6" s="112">
        <v>4414400</v>
      </c>
      <c r="Q6" s="111">
        <v>143000</v>
      </c>
      <c r="R6" s="111">
        <v>2270400</v>
      </c>
      <c r="S6" s="111">
        <v>1786400</v>
      </c>
      <c r="T6" s="111">
        <v>1189600</v>
      </c>
      <c r="U6" s="111">
        <v>1854000</v>
      </c>
      <c r="V6" s="111">
        <v>1077435.8</v>
      </c>
      <c r="W6" s="111">
        <v>957000</v>
      </c>
      <c r="X6" s="111">
        <v>1287000</v>
      </c>
      <c r="Y6" s="111">
        <v>3300</v>
      </c>
      <c r="Z6" s="111">
        <v>49500</v>
      </c>
      <c r="AA6" s="111">
        <v>20900</v>
      </c>
      <c r="AB6" s="111">
        <v>189200</v>
      </c>
      <c r="AC6" s="112">
        <v>10827735.800000001</v>
      </c>
      <c r="AD6" s="111">
        <v>25300</v>
      </c>
      <c r="AE6" s="111">
        <v>492800</v>
      </c>
      <c r="AF6" s="111">
        <v>1065950</v>
      </c>
      <c r="AG6" s="111">
        <v>103450</v>
      </c>
      <c r="AH6" s="111"/>
      <c r="AI6" s="111"/>
      <c r="AJ6" s="111"/>
      <c r="AK6" s="111"/>
      <c r="AL6" s="111"/>
      <c r="AM6" s="111"/>
      <c r="AN6" s="111"/>
      <c r="AO6" s="111"/>
      <c r="AP6" s="112">
        <v>1687500</v>
      </c>
      <c r="AR6" s="42">
        <v>3</v>
      </c>
      <c r="AS6" s="40" t="s">
        <v>364</v>
      </c>
      <c r="AT6" s="112">
        <v>19788700</v>
      </c>
      <c r="AU6" s="112">
        <v>19703925</v>
      </c>
      <c r="AV6" s="112">
        <v>8529600</v>
      </c>
      <c r="AX6" s="105">
        <v>1224.2711679958338</v>
      </c>
      <c r="AY6" s="104">
        <v>1204.2755925836173</v>
      </c>
      <c r="AZ6" s="104">
        <v>1113.441134384399</v>
      </c>
      <c r="BA6" s="115"/>
      <c r="BB6" s="105">
        <f t="shared" si="0"/>
        <v>30433.889255129769</v>
      </c>
      <c r="BC6" s="104">
        <f t="shared" si="0"/>
        <v>31056.007813878769</v>
      </c>
      <c r="BD6" s="104">
        <f t="shared" si="0"/>
        <v>29154.335823516209</v>
      </c>
      <c r="BF6" s="105">
        <v>24398.788390546506</v>
      </c>
      <c r="BG6" s="104">
        <v>26749.126226040491</v>
      </c>
      <c r="BH6" s="104">
        <v>26272.020573270045</v>
      </c>
      <c r="BJ6" s="105">
        <v>6035.1008645832626</v>
      </c>
      <c r="BK6" s="104">
        <v>4306.8815878382775</v>
      </c>
      <c r="BL6" s="104">
        <v>2882.3152502461635</v>
      </c>
      <c r="BN6" s="66">
        <v>0.55787339598536267</v>
      </c>
      <c r="BO6" s="65">
        <v>0.46978445578171191</v>
      </c>
      <c r="BP6" s="66">
        <v>0.51602755099262831</v>
      </c>
      <c r="BR6" s="66">
        <v>0.19830199203232035</v>
      </c>
      <c r="BS6" s="66">
        <v>0.13868110845572224</v>
      </c>
      <c r="BT6" s="66">
        <v>9.8864034073492979E-2</v>
      </c>
    </row>
    <row r="7" spans="2:72" x14ac:dyDescent="0.35">
      <c r="B7" s="42">
        <v>3</v>
      </c>
      <c r="C7" s="40" t="s">
        <v>364</v>
      </c>
      <c r="D7" s="111">
        <v>1302400</v>
      </c>
      <c r="E7" s="111">
        <v>1709400</v>
      </c>
      <c r="F7" s="111">
        <v>1788900</v>
      </c>
      <c r="G7" s="111">
        <v>1463000</v>
      </c>
      <c r="H7" s="111">
        <v>2441800</v>
      </c>
      <c r="I7" s="111">
        <v>1150000</v>
      </c>
      <c r="J7" s="111">
        <v>1217900</v>
      </c>
      <c r="K7" s="111">
        <v>2181700</v>
      </c>
      <c r="L7" s="111">
        <v>2313800</v>
      </c>
      <c r="M7" s="111">
        <v>1567700</v>
      </c>
      <c r="N7" s="111">
        <v>926200</v>
      </c>
      <c r="O7" s="111">
        <v>1725900</v>
      </c>
      <c r="P7" s="112">
        <v>19788700</v>
      </c>
      <c r="Q7" s="111">
        <v>2850100</v>
      </c>
      <c r="R7" s="111">
        <v>2172500</v>
      </c>
      <c r="S7" s="111">
        <v>1581700</v>
      </c>
      <c r="T7" s="111">
        <v>1699500</v>
      </c>
      <c r="U7" s="111">
        <v>1785300</v>
      </c>
      <c r="V7" s="111">
        <v>1272725</v>
      </c>
      <c r="W7" s="111">
        <v>2068000</v>
      </c>
      <c r="X7" s="111">
        <v>1771300</v>
      </c>
      <c r="Y7" s="111">
        <v>1195100</v>
      </c>
      <c r="Z7" s="111">
        <v>1399200</v>
      </c>
      <c r="AA7" s="111">
        <v>816200</v>
      </c>
      <c r="AB7" s="111">
        <v>1092300</v>
      </c>
      <c r="AC7" s="112">
        <v>19703925</v>
      </c>
      <c r="AD7" s="111">
        <v>2674100</v>
      </c>
      <c r="AE7" s="111">
        <v>1868900</v>
      </c>
      <c r="AF7" s="111">
        <v>2057000</v>
      </c>
      <c r="AG7" s="111">
        <v>1929600</v>
      </c>
      <c r="AH7" s="111"/>
      <c r="AI7" s="111"/>
      <c r="AJ7" s="111"/>
      <c r="AK7" s="111"/>
      <c r="AL7" s="111"/>
      <c r="AM7" s="111"/>
      <c r="AN7" s="111"/>
      <c r="AO7" s="111"/>
      <c r="AP7" s="112">
        <v>8529600</v>
      </c>
      <c r="AR7" s="43">
        <v>4</v>
      </c>
      <c r="AS7" s="40" t="s">
        <v>365</v>
      </c>
      <c r="AT7" s="112">
        <v>1740225</v>
      </c>
      <c r="AU7" s="112">
        <v>1235050</v>
      </c>
      <c r="AV7" s="112">
        <v>1246450</v>
      </c>
      <c r="AX7" s="105">
        <v>1068.9916591501799</v>
      </c>
      <c r="AY7" s="104">
        <v>1091.0347276350142</v>
      </c>
      <c r="AZ7" s="104">
        <v>1104.632839711883</v>
      </c>
      <c r="BA7" s="115"/>
      <c r="BB7" s="105">
        <f t="shared" si="0"/>
        <v>26573.829899541273</v>
      </c>
      <c r="BC7" s="104">
        <f t="shared" si="0"/>
        <v>28135.7383935301</v>
      </c>
      <c r="BD7" s="104">
        <f t="shared" si="0"/>
        <v>28923.699489915147</v>
      </c>
      <c r="BF7" s="105">
        <v>29230.613178629941</v>
      </c>
      <c r="BG7" s="104">
        <v>25739.27746191113</v>
      </c>
      <c r="BH7" s="104">
        <v>27210.348036371728</v>
      </c>
      <c r="BJ7" s="105">
        <v>-2656.7832790886714</v>
      </c>
      <c r="BK7" s="104">
        <v>2396.4609316189672</v>
      </c>
      <c r="BL7" s="104">
        <v>1713.3514535434224</v>
      </c>
      <c r="BN7" s="66">
        <v>4.9059575946304092E-2</v>
      </c>
      <c r="BO7" s="65">
        <v>2.9446279972807615E-2</v>
      </c>
      <c r="BP7" s="66">
        <v>7.5408288892182693E-2</v>
      </c>
      <c r="BR7" s="66">
        <v>-9.9977432275749178E-2</v>
      </c>
      <c r="BS7" s="66">
        <v>8.5174979170621112E-2</v>
      </c>
      <c r="BT7" s="66">
        <v>5.923694007887248E-2</v>
      </c>
    </row>
    <row r="8" spans="2:72" x14ac:dyDescent="0.35">
      <c r="B8" s="43">
        <v>4</v>
      </c>
      <c r="C8" s="40" t="s">
        <v>365</v>
      </c>
      <c r="D8" s="111">
        <v>440000</v>
      </c>
      <c r="E8" s="111">
        <v>0</v>
      </c>
      <c r="F8" s="111">
        <v>176000</v>
      </c>
      <c r="G8" s="111">
        <v>441100</v>
      </c>
      <c r="H8" s="111">
        <v>330025</v>
      </c>
      <c r="I8" s="111">
        <v>110000</v>
      </c>
      <c r="J8" s="111">
        <v>1100</v>
      </c>
      <c r="K8" s="111">
        <v>5500</v>
      </c>
      <c r="L8" s="111">
        <v>88000</v>
      </c>
      <c r="M8" s="111">
        <v>147400</v>
      </c>
      <c r="N8" s="111">
        <v>0</v>
      </c>
      <c r="O8" s="111">
        <v>1100</v>
      </c>
      <c r="P8" s="112">
        <v>1740225</v>
      </c>
      <c r="Q8" s="111">
        <v>0</v>
      </c>
      <c r="R8" s="111">
        <v>45100</v>
      </c>
      <c r="S8" s="111">
        <v>231000</v>
      </c>
      <c r="T8" s="111">
        <v>154000</v>
      </c>
      <c r="U8" s="111">
        <v>11000</v>
      </c>
      <c r="V8" s="111">
        <v>44000</v>
      </c>
      <c r="W8" s="111">
        <v>374850</v>
      </c>
      <c r="X8" s="111">
        <v>44000</v>
      </c>
      <c r="Y8" s="111">
        <v>67100</v>
      </c>
      <c r="Z8" s="111">
        <v>264000</v>
      </c>
      <c r="AA8" s="111">
        <v>0</v>
      </c>
      <c r="AB8" s="111">
        <v>0</v>
      </c>
      <c r="AC8" s="112">
        <v>1235050</v>
      </c>
      <c r="AD8" s="111">
        <v>2200</v>
      </c>
      <c r="AE8" s="111">
        <v>5500</v>
      </c>
      <c r="AF8" s="111">
        <v>440150</v>
      </c>
      <c r="AG8" s="111">
        <v>798600</v>
      </c>
      <c r="AH8" s="111"/>
      <c r="AI8" s="111"/>
      <c r="AJ8" s="111"/>
      <c r="AK8" s="111"/>
      <c r="AL8" s="111"/>
      <c r="AM8" s="111"/>
      <c r="AN8" s="111"/>
      <c r="AO8" s="111"/>
      <c r="AP8" s="112">
        <v>1246450</v>
      </c>
      <c r="AR8" s="42">
        <v>5</v>
      </c>
      <c r="AS8" s="40" t="s">
        <v>366</v>
      </c>
      <c r="AT8" s="112">
        <v>2418500</v>
      </c>
      <c r="AU8" s="112">
        <v>660000</v>
      </c>
      <c r="AV8" s="112">
        <v>902000</v>
      </c>
      <c r="AX8" s="105">
        <v>1046.9518571235005</v>
      </c>
      <c r="AY8" s="104">
        <v>974.95808100306647</v>
      </c>
      <c r="AZ8" s="104">
        <v>1034.1906772228122</v>
      </c>
      <c r="BA8" s="115"/>
      <c r="BB8" s="105">
        <f t="shared" si="0"/>
        <v>26025.947280380198</v>
      </c>
      <c r="BC8" s="104">
        <f t="shared" si="0"/>
        <v>25142.339484666711</v>
      </c>
      <c r="BD8" s="104">
        <f t="shared" si="0"/>
        <v>27079.242339985514</v>
      </c>
      <c r="BF8" s="105">
        <v>30566.452336984257</v>
      </c>
      <c r="BG8" s="104">
        <v>25324.245496464653</v>
      </c>
      <c r="BH8" s="104">
        <v>27142.653088748815</v>
      </c>
      <c r="BJ8" s="105">
        <v>-4540.5050566040591</v>
      </c>
      <c r="BK8" s="104">
        <v>-181.90601179794248</v>
      </c>
      <c r="BL8" s="104">
        <v>-63.410748763297306</v>
      </c>
      <c r="BN8" s="66">
        <v>6.8181174518315998E-2</v>
      </c>
      <c r="BO8" s="65">
        <v>1.5735836429337294E-2</v>
      </c>
      <c r="BP8" s="66">
        <v>5.4569598925547587E-2</v>
      </c>
      <c r="BR8" s="66">
        <v>-0.17446070291654459</v>
      </c>
      <c r="BS8" s="66">
        <v>-7.2350471565654217E-3</v>
      </c>
      <c r="BT8" s="66">
        <v>-2.3416736689736428E-3</v>
      </c>
    </row>
    <row r="9" spans="2:72" x14ac:dyDescent="0.35">
      <c r="B9" s="42">
        <v>5</v>
      </c>
      <c r="C9" s="40" t="s">
        <v>366</v>
      </c>
      <c r="D9" s="111">
        <v>0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211200</v>
      </c>
      <c r="K9" s="111">
        <v>887300</v>
      </c>
      <c r="L9" s="111">
        <v>660000</v>
      </c>
      <c r="M9" s="111">
        <v>660000</v>
      </c>
      <c r="N9" s="111">
        <v>0</v>
      </c>
      <c r="O9" s="111">
        <v>0</v>
      </c>
      <c r="P9" s="112">
        <v>2418500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220000</v>
      </c>
      <c r="W9" s="111">
        <v>0</v>
      </c>
      <c r="X9" s="111">
        <v>220000</v>
      </c>
      <c r="Y9" s="111">
        <v>0</v>
      </c>
      <c r="Z9" s="111">
        <v>0</v>
      </c>
      <c r="AA9" s="111">
        <v>220000</v>
      </c>
      <c r="AB9" s="111">
        <v>0</v>
      </c>
      <c r="AC9" s="112">
        <v>660000</v>
      </c>
      <c r="AD9" s="111">
        <v>242000</v>
      </c>
      <c r="AE9" s="111">
        <v>0</v>
      </c>
      <c r="AF9" s="111">
        <v>220000</v>
      </c>
      <c r="AG9" s="111">
        <v>440000</v>
      </c>
      <c r="AH9" s="111"/>
      <c r="AI9" s="111"/>
      <c r="AJ9" s="111"/>
      <c r="AK9" s="111"/>
      <c r="AL9" s="111"/>
      <c r="AM9" s="111"/>
      <c r="AN9" s="111"/>
      <c r="AO9" s="111"/>
      <c r="AP9" s="112">
        <v>902000</v>
      </c>
      <c r="AR9" s="43">
        <v>6</v>
      </c>
      <c r="AS9" s="40" t="s">
        <v>367</v>
      </c>
      <c r="AT9" s="112">
        <v>1362900</v>
      </c>
      <c r="AU9" s="112">
        <v>1543175</v>
      </c>
      <c r="AV9" s="112">
        <v>681800</v>
      </c>
      <c r="AX9" s="105">
        <v>697.49707761074035</v>
      </c>
      <c r="AY9" s="104">
        <v>665.45032230599827</v>
      </c>
      <c r="AZ9" s="104">
        <v>677.32981719849192</v>
      </c>
      <c r="BA9" s="115"/>
      <c r="BB9" s="105">
        <f t="shared" si="0"/>
        <v>17338.927331378731</v>
      </c>
      <c r="BC9" s="104">
        <f t="shared" si="0"/>
        <v>17160.715152373476</v>
      </c>
      <c r="BD9" s="104">
        <f t="shared" si="0"/>
        <v>17735.199773092165</v>
      </c>
      <c r="BF9" s="105">
        <v>22643.129784870489</v>
      </c>
      <c r="BG9" s="104">
        <v>26664.425688596559</v>
      </c>
      <c r="BH9" s="104">
        <v>28400.67402984139</v>
      </c>
      <c r="BJ9" s="105">
        <v>-5304.2024534917582</v>
      </c>
      <c r="BK9" s="104">
        <v>-9503.7105362230832</v>
      </c>
      <c r="BL9" s="104">
        <v>-10665.474256749225</v>
      </c>
      <c r="BN9" s="66">
        <v>3.8422213252434514E-2</v>
      </c>
      <c r="BO9" s="65">
        <v>3.6792650578549364E-2</v>
      </c>
      <c r="BP9" s="66">
        <v>4.124784096168331E-2</v>
      </c>
      <c r="BR9" s="66">
        <v>-0.30591295252115147</v>
      </c>
      <c r="BS9" s="66">
        <v>-0.55380620515157486</v>
      </c>
      <c r="BT9" s="66">
        <v>-0.60137322348806443</v>
      </c>
    </row>
    <row r="10" spans="2:72" x14ac:dyDescent="0.35">
      <c r="B10" s="43">
        <v>6</v>
      </c>
      <c r="C10" s="40" t="s">
        <v>367</v>
      </c>
      <c r="D10" s="111">
        <v>0</v>
      </c>
      <c r="E10" s="111">
        <v>0</v>
      </c>
      <c r="F10" s="111">
        <v>0</v>
      </c>
      <c r="G10" s="111">
        <v>225500</v>
      </c>
      <c r="H10" s="111">
        <v>82500</v>
      </c>
      <c r="I10" s="111">
        <v>185900</v>
      </c>
      <c r="J10" s="111">
        <v>165000</v>
      </c>
      <c r="K10" s="111">
        <v>0</v>
      </c>
      <c r="L10" s="111">
        <v>220000</v>
      </c>
      <c r="M10" s="111">
        <v>231000</v>
      </c>
      <c r="N10" s="111">
        <v>11000</v>
      </c>
      <c r="O10" s="111">
        <v>242000</v>
      </c>
      <c r="P10" s="112">
        <v>1362900</v>
      </c>
      <c r="Q10" s="111">
        <v>11000</v>
      </c>
      <c r="R10" s="111">
        <v>16500</v>
      </c>
      <c r="S10" s="111">
        <v>33000</v>
      </c>
      <c r="T10" s="111">
        <v>0</v>
      </c>
      <c r="U10" s="111">
        <v>0</v>
      </c>
      <c r="V10" s="111">
        <v>146900</v>
      </c>
      <c r="W10" s="111">
        <v>567800</v>
      </c>
      <c r="X10" s="111">
        <v>321350</v>
      </c>
      <c r="Y10" s="111">
        <v>202650</v>
      </c>
      <c r="Z10" s="111">
        <v>194625</v>
      </c>
      <c r="AA10" s="111">
        <v>27300</v>
      </c>
      <c r="AB10" s="111">
        <v>22050</v>
      </c>
      <c r="AC10" s="112">
        <v>1543175</v>
      </c>
      <c r="AD10" s="111">
        <v>23100</v>
      </c>
      <c r="AE10" s="111">
        <v>67200</v>
      </c>
      <c r="AF10" s="111">
        <v>342500</v>
      </c>
      <c r="AG10" s="111">
        <v>249000</v>
      </c>
      <c r="AH10" s="111"/>
      <c r="AI10" s="111"/>
      <c r="AJ10" s="111"/>
      <c r="AK10" s="111"/>
      <c r="AL10" s="111"/>
      <c r="AM10" s="111"/>
      <c r="AN10" s="111"/>
      <c r="AO10" s="111"/>
      <c r="AP10" s="112">
        <v>681800</v>
      </c>
      <c r="AR10" s="42">
        <v>7</v>
      </c>
      <c r="AS10" s="40" t="s">
        <v>368</v>
      </c>
      <c r="AT10" s="112">
        <v>0</v>
      </c>
      <c r="AU10" s="112">
        <v>20000</v>
      </c>
      <c r="AV10" s="112">
        <v>660000</v>
      </c>
      <c r="AX10" s="105">
        <v>0</v>
      </c>
      <c r="AY10" s="104">
        <v>913.20265886074719</v>
      </c>
      <c r="AZ10" s="104">
        <v>766.66666666666674</v>
      </c>
      <c r="BA10" s="115"/>
      <c r="BB10" s="105">
        <f t="shared" si="0"/>
        <v>0</v>
      </c>
      <c r="BC10" s="104">
        <f t="shared" si="0"/>
        <v>23549.783026317593</v>
      </c>
      <c r="BD10" s="104">
        <f t="shared" si="0"/>
        <v>20074.395290823864</v>
      </c>
      <c r="BF10" s="105">
        <v>0</v>
      </c>
      <c r="BG10" s="104">
        <v>25925.0059</v>
      </c>
      <c r="BH10" s="104">
        <v>20404.999999999993</v>
      </c>
      <c r="BJ10" s="105">
        <v>0</v>
      </c>
      <c r="BK10" s="104">
        <v>-2375.2228736824072</v>
      </c>
      <c r="BL10" s="104">
        <v>-330.60470917612838</v>
      </c>
      <c r="BN10" s="66">
        <v>0</v>
      </c>
      <c r="BO10" s="65">
        <v>4.768435281617362E-4</v>
      </c>
      <c r="BP10" s="66">
        <v>3.9928974823571405E-2</v>
      </c>
      <c r="BR10" s="66">
        <v>0</v>
      </c>
      <c r="BS10" s="66">
        <v>-0.10085965000306052</v>
      </c>
      <c r="BT10" s="66">
        <v>-1.6468974750499799E-2</v>
      </c>
    </row>
    <row r="11" spans="2:72" x14ac:dyDescent="0.35">
      <c r="B11" s="42">
        <v>7</v>
      </c>
      <c r="C11" s="40" t="s">
        <v>368</v>
      </c>
      <c r="D11" s="111">
        <v>0</v>
      </c>
      <c r="E11" s="111">
        <v>0</v>
      </c>
      <c r="F11" s="111">
        <v>0</v>
      </c>
      <c r="G11" s="111">
        <v>0</v>
      </c>
      <c r="H11" s="111">
        <v>0</v>
      </c>
      <c r="I11" s="111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2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20000</v>
      </c>
      <c r="AC11" s="112">
        <v>20000</v>
      </c>
      <c r="AD11" s="111">
        <v>0</v>
      </c>
      <c r="AE11" s="111">
        <v>0</v>
      </c>
      <c r="AF11" s="111">
        <v>0</v>
      </c>
      <c r="AG11" s="111">
        <v>660000</v>
      </c>
      <c r="AH11" s="111"/>
      <c r="AI11" s="111"/>
      <c r="AJ11" s="111"/>
      <c r="AK11" s="111"/>
      <c r="AL11" s="111"/>
      <c r="AM11" s="111"/>
      <c r="AN11" s="111"/>
      <c r="AO11" s="111"/>
      <c r="AP11" s="112">
        <v>660000</v>
      </c>
      <c r="AR11" s="43">
        <v>8</v>
      </c>
      <c r="AS11" s="40" t="s">
        <v>373</v>
      </c>
      <c r="AT11" s="112">
        <v>1961000</v>
      </c>
      <c r="AU11" s="112">
        <v>1544000</v>
      </c>
      <c r="AV11" s="112">
        <v>155600</v>
      </c>
      <c r="AX11" s="105">
        <v>686.8572514309991</v>
      </c>
      <c r="AY11" s="104">
        <v>665.25784560896557</v>
      </c>
      <c r="AZ11" s="104">
        <v>617.5331436242468</v>
      </c>
      <c r="BA11" s="115"/>
      <c r="BB11" s="105">
        <f t="shared" si="0"/>
        <v>17074.434218976057</v>
      </c>
      <c r="BC11" s="104">
        <f t="shared" si="0"/>
        <v>17155.751539522851</v>
      </c>
      <c r="BD11" s="104">
        <f t="shared" si="0"/>
        <v>16169.484039519439</v>
      </c>
      <c r="BF11" s="105">
        <v>23716.889805711373</v>
      </c>
      <c r="BG11" s="104">
        <v>21106.547259715026</v>
      </c>
      <c r="BH11" s="104">
        <v>21246.656786632389</v>
      </c>
      <c r="BJ11" s="105">
        <v>-6642.4555867353156</v>
      </c>
      <c r="BK11" s="104">
        <v>-3950.7957201921708</v>
      </c>
      <c r="BL11" s="104">
        <v>-5077.1727471129507</v>
      </c>
      <c r="BN11" s="66">
        <v>5.5283557258804079E-2</v>
      </c>
      <c r="BO11" s="65">
        <v>3.6812320374086036E-2</v>
      </c>
      <c r="BP11" s="66">
        <v>9.4135583068904703E-3</v>
      </c>
      <c r="BR11" s="66">
        <v>-0.3890293231123918</v>
      </c>
      <c r="BS11" s="66">
        <v>-0.23028986582665656</v>
      </c>
      <c r="BT11" s="66">
        <v>-0.31399720205690906</v>
      </c>
    </row>
    <row r="12" spans="2:72" ht="15" thickBot="1" x14ac:dyDescent="0.4">
      <c r="B12" s="43">
        <v>8</v>
      </c>
      <c r="C12" s="40" t="s">
        <v>373</v>
      </c>
      <c r="D12" s="111">
        <v>0</v>
      </c>
      <c r="E12" s="111">
        <v>165000</v>
      </c>
      <c r="F12" s="111">
        <v>58000</v>
      </c>
      <c r="G12" s="111">
        <v>0</v>
      </c>
      <c r="H12" s="111">
        <v>222000</v>
      </c>
      <c r="I12" s="111">
        <v>511260</v>
      </c>
      <c r="J12" s="111">
        <v>180000</v>
      </c>
      <c r="K12" s="111">
        <v>380000</v>
      </c>
      <c r="L12" s="111">
        <v>0</v>
      </c>
      <c r="M12" s="111">
        <v>264740</v>
      </c>
      <c r="N12" s="111">
        <v>115000</v>
      </c>
      <c r="O12" s="111">
        <v>65000</v>
      </c>
      <c r="P12" s="112">
        <v>1961000</v>
      </c>
      <c r="Q12" s="111">
        <v>0</v>
      </c>
      <c r="R12" s="111">
        <v>386000</v>
      </c>
      <c r="S12" s="111">
        <v>140000</v>
      </c>
      <c r="T12" s="111">
        <v>120000</v>
      </c>
      <c r="U12" s="111">
        <v>80000</v>
      </c>
      <c r="V12" s="111">
        <v>100000</v>
      </c>
      <c r="W12" s="111">
        <v>20000</v>
      </c>
      <c r="X12" s="111">
        <v>80000</v>
      </c>
      <c r="Y12" s="111">
        <v>220000</v>
      </c>
      <c r="Z12" s="111">
        <v>138000</v>
      </c>
      <c r="AA12" s="111">
        <v>160000</v>
      </c>
      <c r="AB12" s="111">
        <v>100000</v>
      </c>
      <c r="AC12" s="112">
        <v>1544000</v>
      </c>
      <c r="AD12" s="111">
        <v>500</v>
      </c>
      <c r="AE12" s="111">
        <v>0</v>
      </c>
      <c r="AF12" s="111">
        <v>155100</v>
      </c>
      <c r="AG12" s="111">
        <v>0</v>
      </c>
      <c r="AH12" s="111"/>
      <c r="AI12" s="111"/>
      <c r="AJ12" s="111"/>
      <c r="AK12" s="111"/>
      <c r="AL12" s="111"/>
      <c r="AM12" s="111"/>
      <c r="AN12" s="111"/>
      <c r="AO12" s="111"/>
      <c r="AP12" s="112">
        <v>155600</v>
      </c>
      <c r="AT12" s="100"/>
      <c r="AU12" s="100"/>
      <c r="AV12" s="100"/>
      <c r="AX12" s="100"/>
      <c r="AY12" s="100"/>
      <c r="AZ12" s="100"/>
      <c r="BB12" s="100"/>
      <c r="BC12" s="100"/>
      <c r="BD12" s="100"/>
      <c r="BF12" s="100"/>
      <c r="BG12" s="100"/>
      <c r="BH12" s="100"/>
      <c r="BJ12" s="100"/>
      <c r="BK12" s="100"/>
      <c r="BL12" s="100"/>
    </row>
    <row r="13" spans="2:72" ht="15" thickTop="1" x14ac:dyDescent="0.35">
      <c r="AS13" t="s">
        <v>401</v>
      </c>
    </row>
    <row r="14" spans="2:72" x14ac:dyDescent="0.35">
      <c r="AR14" s="118">
        <v>9</v>
      </c>
      <c r="AS14" t="s">
        <v>402</v>
      </c>
    </row>
    <row r="15" spans="2:72" x14ac:dyDescent="0.35">
      <c r="AR15" s="118">
        <v>10</v>
      </c>
      <c r="AS15" t="s">
        <v>403</v>
      </c>
    </row>
    <row r="16" spans="2:72" ht="17" customHeight="1" x14ac:dyDescent="0.35">
      <c r="BB16" s="94"/>
      <c r="BC16" s="94"/>
      <c r="BD16" s="94"/>
    </row>
    <row r="17" spans="44:56" x14ac:dyDescent="0.35">
      <c r="AS17" s="39" t="s">
        <v>362</v>
      </c>
      <c r="BB17" s="94"/>
      <c r="BC17" s="94"/>
      <c r="BD17" s="94"/>
    </row>
    <row r="18" spans="44:56" ht="43.5" x14ac:dyDescent="0.35">
      <c r="AR18" s="42">
        <v>1</v>
      </c>
      <c r="AT18" s="155" t="s">
        <v>384</v>
      </c>
      <c r="AU18" s="156" t="s">
        <v>389</v>
      </c>
      <c r="AV18" s="156" t="s">
        <v>382</v>
      </c>
      <c r="AW18" s="157" t="s">
        <v>386</v>
      </c>
      <c r="AX18" s="157" t="s">
        <v>390</v>
      </c>
    </row>
    <row r="19" spans="44:56" x14ac:dyDescent="0.35">
      <c r="AR19" s="42">
        <v>2</v>
      </c>
      <c r="AS19" s="63">
        <v>2024</v>
      </c>
      <c r="AT19" s="116">
        <f>AT4</f>
        <v>2573618.2000000002</v>
      </c>
      <c r="AU19" s="114">
        <f>BB4</f>
        <v>35679.993238491428</v>
      </c>
      <c r="AV19" s="114">
        <f>BF4</f>
        <v>28107.031178932233</v>
      </c>
      <c r="AW19" s="114">
        <f>AU19-AV19</f>
        <v>7572.962059559195</v>
      </c>
      <c r="AX19" s="117">
        <f>AW19/AU19</f>
        <v>0.21224673471601208</v>
      </c>
    </row>
    <row r="20" spans="44:56" x14ac:dyDescent="0.35">
      <c r="AR20" s="118">
        <f>AR19+1</f>
        <v>3</v>
      </c>
      <c r="AS20" s="63">
        <v>2025</v>
      </c>
      <c r="AT20" s="116">
        <f>AU4</f>
        <v>5207904.7</v>
      </c>
      <c r="AU20" s="114">
        <f>BC4</f>
        <v>34636.123976893912</v>
      </c>
      <c r="AV20" s="114">
        <f>BG4</f>
        <v>28425.137778271146</v>
      </c>
      <c r="AW20" s="114">
        <f>AU20-AV20</f>
        <v>6210.9861986227661</v>
      </c>
      <c r="AX20" s="117">
        <f>AW20/AU20</f>
        <v>0.17932105228535888</v>
      </c>
    </row>
    <row r="21" spans="44:56" x14ac:dyDescent="0.35">
      <c r="AR21" s="118">
        <f t="shared" ref="AR21:AR23" si="1">AR20+1</f>
        <v>4</v>
      </c>
      <c r="AS21" s="63">
        <v>2026</v>
      </c>
      <c r="AT21" s="116">
        <f>AV4</f>
        <v>2953500</v>
      </c>
      <c r="AU21" s="114">
        <f>BD4</f>
        <v>30657.558979441008</v>
      </c>
      <c r="AV21" s="114">
        <f>BH4</f>
        <v>28606.26705038725</v>
      </c>
      <c r="AW21" s="114">
        <f>AU21-AV21</f>
        <v>2051.2919290537575</v>
      </c>
      <c r="AX21" s="117">
        <f>AW21/AU21</f>
        <v>6.6909825744096457E-2</v>
      </c>
    </row>
    <row r="22" spans="44:56" x14ac:dyDescent="0.35">
      <c r="AR22" s="118">
        <f t="shared" si="1"/>
        <v>5</v>
      </c>
    </row>
    <row r="23" spans="44:56" x14ac:dyDescent="0.35">
      <c r="AR23" s="118">
        <f t="shared" si="1"/>
        <v>6</v>
      </c>
    </row>
    <row r="24" spans="44:56" x14ac:dyDescent="0.35">
      <c r="AR24" s="118"/>
    </row>
    <row r="42" spans="45:54" ht="43.5" x14ac:dyDescent="0.35">
      <c r="AS42" s="39" t="s">
        <v>384</v>
      </c>
      <c r="AT42" s="135" t="str">
        <f>AS4</f>
        <v>Hạt iSS01084G</v>
      </c>
      <c r="AU42" s="136" t="str">
        <f>AS5</f>
        <v>Hạt iSS01G</v>
      </c>
      <c r="AV42" s="136" t="str">
        <f>AS6</f>
        <v>Hạt WSS01G</v>
      </c>
      <c r="AW42" s="136" t="str">
        <f>AS7</f>
        <v>Hạt WSS03G</v>
      </c>
      <c r="AX42" s="136"/>
      <c r="AY42" s="136"/>
      <c r="AZ42" s="136"/>
      <c r="BA42" s="136"/>
      <c r="BB42" s="136"/>
    </row>
    <row r="43" spans="45:54" x14ac:dyDescent="0.35">
      <c r="AS43">
        <f>AS19</f>
        <v>2024</v>
      </c>
      <c r="AT43" s="116">
        <f>AT4</f>
        <v>2573618.2000000002</v>
      </c>
    </row>
    <row r="44" spans="45:54" x14ac:dyDescent="0.35">
      <c r="AS44">
        <f>AS20</f>
        <v>2025</v>
      </c>
      <c r="AT44" s="116">
        <f>AU4</f>
        <v>5207904.7</v>
      </c>
    </row>
    <row r="45" spans="45:54" x14ac:dyDescent="0.35">
      <c r="AS45">
        <f>AS21</f>
        <v>2026</v>
      </c>
      <c r="AT45" s="116">
        <f>AV4</f>
        <v>2953500</v>
      </c>
    </row>
    <row r="48" spans="45:54" x14ac:dyDescent="0.35">
      <c r="AS48" s="39" t="s">
        <v>362</v>
      </c>
    </row>
    <row r="49" spans="44:50" ht="43.5" x14ac:dyDescent="0.35">
      <c r="AR49" s="42">
        <v>1</v>
      </c>
      <c r="AT49" s="155" t="s">
        <v>384</v>
      </c>
      <c r="AU49" s="156" t="s">
        <v>389</v>
      </c>
      <c r="AV49" s="156" t="s">
        <v>382</v>
      </c>
      <c r="AW49" s="157" t="s">
        <v>386</v>
      </c>
      <c r="AX49" s="157" t="s">
        <v>390</v>
      </c>
    </row>
    <row r="50" spans="44:50" x14ac:dyDescent="0.35">
      <c r="AR50" s="42">
        <v>2</v>
      </c>
      <c r="AS50" s="63">
        <v>2024</v>
      </c>
      <c r="AT50" s="116">
        <f>AT35</f>
        <v>0</v>
      </c>
      <c r="AU50" s="114">
        <f>BB35</f>
        <v>0</v>
      </c>
      <c r="AV50" s="114">
        <f>BF35</f>
        <v>0</v>
      </c>
      <c r="AW50" s="114">
        <f>AU50-AV50</f>
        <v>0</v>
      </c>
      <c r="AX50" s="117" t="e">
        <f>AW50/AU50</f>
        <v>#DIV/0!</v>
      </c>
    </row>
    <row r="51" spans="44:50" x14ac:dyDescent="0.35">
      <c r="AR51" s="118">
        <f>AR50+1</f>
        <v>3</v>
      </c>
      <c r="AS51" s="63">
        <v>2025</v>
      </c>
      <c r="AT51" s="116">
        <f>AU35</f>
        <v>0</v>
      </c>
      <c r="AU51" s="114">
        <f>BC35</f>
        <v>0</v>
      </c>
      <c r="AV51" s="114">
        <f>BG35</f>
        <v>0</v>
      </c>
      <c r="AW51" s="114">
        <f>AU51-AV51</f>
        <v>0</v>
      </c>
      <c r="AX51" s="117" t="e">
        <f>AW51/AU51</f>
        <v>#DIV/0!</v>
      </c>
    </row>
    <row r="52" spans="44:50" x14ac:dyDescent="0.35">
      <c r="AR52" s="118">
        <f t="shared" ref="AR52:AR54" si="2">AR51+1</f>
        <v>4</v>
      </c>
      <c r="AS52" s="63">
        <v>2026</v>
      </c>
      <c r="AT52" s="116">
        <f>AV35</f>
        <v>0</v>
      </c>
      <c r="AU52" s="114">
        <f>BD35</f>
        <v>0</v>
      </c>
      <c r="AV52" s="114">
        <f>BH35</f>
        <v>0</v>
      </c>
      <c r="AW52" s="114">
        <f>AU52-AV52</f>
        <v>0</v>
      </c>
      <c r="AX52" s="117" t="e">
        <f>AW52/AU52</f>
        <v>#DIV/0!</v>
      </c>
    </row>
    <row r="53" spans="44:50" x14ac:dyDescent="0.35">
      <c r="AR53" s="118">
        <f t="shared" si="2"/>
        <v>5</v>
      </c>
    </row>
    <row r="54" spans="44:50" x14ac:dyDescent="0.35">
      <c r="AR54" s="118">
        <f t="shared" si="2"/>
        <v>6</v>
      </c>
    </row>
    <row r="55" spans="44:50" x14ac:dyDescent="0.35">
      <c r="AR55" s="118"/>
    </row>
    <row r="73" spans="45:51" x14ac:dyDescent="0.35">
      <c r="AS73" s="39" t="s">
        <v>384</v>
      </c>
      <c r="AT73" s="135">
        <f>AS35</f>
        <v>0</v>
      </c>
      <c r="AU73" s="136">
        <f>AS36</f>
        <v>0</v>
      </c>
      <c r="AV73" s="136">
        <f>AS37</f>
        <v>0</v>
      </c>
      <c r="AW73" s="136">
        <f>AS38</f>
        <v>0</v>
      </c>
      <c r="AX73" s="136"/>
      <c r="AY73" s="136"/>
    </row>
    <row r="74" spans="45:51" x14ac:dyDescent="0.35">
      <c r="AS74">
        <f>AS50</f>
        <v>2024</v>
      </c>
      <c r="AT74" s="116">
        <f>AT35</f>
        <v>0</v>
      </c>
    </row>
    <row r="75" spans="45:51" x14ac:dyDescent="0.35">
      <c r="AS75">
        <f>AS51</f>
        <v>2025</v>
      </c>
      <c r="AT75" s="116">
        <f>AU35</f>
        <v>0</v>
      </c>
    </row>
    <row r="76" spans="45:51" x14ac:dyDescent="0.35">
      <c r="AS76">
        <f>AS52</f>
        <v>2026</v>
      </c>
      <c r="AT76" s="116">
        <f>AV35</f>
        <v>0</v>
      </c>
    </row>
  </sheetData>
  <mergeCells count="6">
    <mergeCell ref="B2:B4"/>
    <mergeCell ref="C2:C4"/>
    <mergeCell ref="D2:AP2"/>
    <mergeCell ref="D3:P3"/>
    <mergeCell ref="Q3:AC3"/>
    <mergeCell ref="AD3:AP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743E-EB55-4812-8B9F-A676238B2DED}">
  <dimension ref="B1:BT45"/>
  <sheetViews>
    <sheetView topLeftCell="P1" zoomScaleNormal="100" workbookViewId="0">
      <selection activeCell="AT4" sqref="AT4"/>
    </sheetView>
  </sheetViews>
  <sheetFormatPr defaultRowHeight="14.5" outlineLevelCol="2" x14ac:dyDescent="0.35"/>
  <cols>
    <col min="3" max="3" width="20.4140625" customWidth="1"/>
    <col min="4" max="15" width="0" hidden="1" customWidth="1" outlineLevel="1"/>
    <col min="16" max="16" width="8.6640625" collapsed="1"/>
    <col min="17" max="28" width="0" hidden="1" customWidth="1" outlineLevel="2"/>
    <col min="29" max="29" width="8.6640625" collapsed="1"/>
    <col min="30" max="41" width="8.6640625" hidden="1" customWidth="1" outlineLevel="2"/>
    <col min="42" max="42" width="8.6640625" collapsed="1"/>
    <col min="43" max="43" width="3.5" customWidth="1"/>
    <col min="44" max="44" width="3.6640625" bestFit="1" customWidth="1"/>
    <col min="45" max="45" width="19.1640625" bestFit="1" customWidth="1"/>
    <col min="46" max="46" width="9.1640625" customWidth="1"/>
    <col min="47" max="47" width="9.25" customWidth="1"/>
    <col min="48" max="48" width="8.9140625" customWidth="1"/>
    <col min="49" max="49" width="6.1640625" bestFit="1" customWidth="1"/>
    <col min="50" max="52" width="6.4140625" bestFit="1" customWidth="1"/>
    <col min="53" max="53" width="3.4140625" customWidth="1"/>
    <col min="54" max="54" width="9.58203125" bestFit="1" customWidth="1"/>
    <col min="55" max="55" width="8.25" customWidth="1"/>
    <col min="57" max="57" width="3" customWidth="1"/>
    <col min="58" max="59" width="7.4140625" bestFit="1" customWidth="1"/>
    <col min="60" max="60" width="8" bestFit="1" customWidth="1"/>
    <col min="61" max="61" width="4.08203125" customWidth="1"/>
    <col min="62" max="62" width="7" bestFit="1" customWidth="1"/>
    <col min="65" max="65" width="3.08203125" customWidth="1"/>
  </cols>
  <sheetData>
    <row r="1" spans="2:72" x14ac:dyDescent="0.35">
      <c r="BB1" s="113">
        <v>24858.78133105993</v>
      </c>
      <c r="BC1" s="113">
        <v>25788.123586605394</v>
      </c>
      <c r="BD1" s="113">
        <v>26183.993857596342</v>
      </c>
    </row>
    <row r="2" spans="2:72" x14ac:dyDescent="0.35">
      <c r="B2" s="172" t="s">
        <v>370</v>
      </c>
      <c r="C2" s="169" t="s">
        <v>369</v>
      </c>
      <c r="D2" s="174" t="s">
        <v>384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R2" s="67" t="s">
        <v>370</v>
      </c>
      <c r="AS2" s="67" t="s">
        <v>369</v>
      </c>
      <c r="AT2" s="107" t="s">
        <v>384</v>
      </c>
      <c r="AU2" s="107"/>
      <c r="AV2" s="107"/>
      <c r="AX2" s="107" t="s">
        <v>393</v>
      </c>
      <c r="AY2" s="107"/>
      <c r="AZ2" s="107"/>
      <c r="BB2" s="107" t="s">
        <v>392</v>
      </c>
      <c r="BC2" s="107"/>
      <c r="BD2" s="107"/>
      <c r="BF2" s="107" t="s">
        <v>382</v>
      </c>
      <c r="BG2" s="107"/>
      <c r="BH2" s="107"/>
      <c r="BJ2" s="107" t="s">
        <v>386</v>
      </c>
      <c r="BK2" s="107"/>
      <c r="BL2" s="107"/>
      <c r="BM2" s="38"/>
      <c r="BN2" s="64" t="s">
        <v>387</v>
      </c>
      <c r="BO2" s="64"/>
      <c r="BP2" s="64"/>
      <c r="BQ2" s="38"/>
      <c r="BR2" s="107" t="s">
        <v>388</v>
      </c>
      <c r="BS2" s="107"/>
      <c r="BT2" s="107"/>
    </row>
    <row r="3" spans="2:72" ht="15" thickBot="1" x14ac:dyDescent="0.4">
      <c r="B3" s="172"/>
      <c r="C3" s="169"/>
      <c r="D3" s="173">
        <v>2024</v>
      </c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>
        <v>2025</v>
      </c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>
        <v>2026</v>
      </c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R3" s="67"/>
      <c r="AS3" s="67"/>
      <c r="AT3" s="63">
        <v>2024</v>
      </c>
      <c r="AU3" s="63">
        <v>2025</v>
      </c>
      <c r="AV3" s="63">
        <v>2026</v>
      </c>
      <c r="AX3" s="63">
        <v>2024</v>
      </c>
      <c r="AY3" s="63">
        <v>2025</v>
      </c>
      <c r="AZ3" s="63">
        <v>2026</v>
      </c>
      <c r="BB3" s="63">
        <v>2024</v>
      </c>
      <c r="BC3" s="63">
        <v>2025</v>
      </c>
      <c r="BD3" s="63">
        <v>2026</v>
      </c>
      <c r="BF3" s="63">
        <v>2024</v>
      </c>
      <c r="BG3" s="63">
        <v>2025</v>
      </c>
      <c r="BH3" s="63">
        <v>2026</v>
      </c>
      <c r="BJ3" s="63">
        <v>2024</v>
      </c>
      <c r="BK3" s="63">
        <v>2025</v>
      </c>
      <c r="BL3" s="63">
        <v>2026</v>
      </c>
      <c r="BM3" s="38"/>
      <c r="BN3" s="63">
        <v>2024</v>
      </c>
      <c r="BO3" s="63">
        <v>2025</v>
      </c>
      <c r="BP3" s="63">
        <v>2026</v>
      </c>
      <c r="BQ3" s="38"/>
      <c r="BR3" s="108">
        <v>2024</v>
      </c>
      <c r="BS3" s="108">
        <v>2025</v>
      </c>
      <c r="BT3" s="108">
        <v>2026</v>
      </c>
    </row>
    <row r="4" spans="2:72" ht="15" thickTop="1" x14ac:dyDescent="0.35">
      <c r="B4" s="172"/>
      <c r="C4" s="169"/>
      <c r="D4" s="44">
        <v>1</v>
      </c>
      <c r="E4" s="44">
        <v>2</v>
      </c>
      <c r="F4" s="44">
        <v>3</v>
      </c>
      <c r="G4" s="44">
        <v>4</v>
      </c>
      <c r="H4" s="44">
        <v>5</v>
      </c>
      <c r="I4" s="44">
        <v>6</v>
      </c>
      <c r="J4" s="44">
        <v>7</v>
      </c>
      <c r="K4" s="44">
        <v>8</v>
      </c>
      <c r="L4" s="44">
        <v>9</v>
      </c>
      <c r="M4" s="44">
        <v>10</v>
      </c>
      <c r="N4" s="44">
        <v>11</v>
      </c>
      <c r="O4" s="45">
        <v>12</v>
      </c>
      <c r="P4" s="41" t="s">
        <v>350</v>
      </c>
      <c r="Q4" s="46">
        <v>1</v>
      </c>
      <c r="R4" s="44">
        <v>2</v>
      </c>
      <c r="S4" s="44">
        <v>3</v>
      </c>
      <c r="T4" s="44">
        <v>4</v>
      </c>
      <c r="U4" s="44">
        <v>5</v>
      </c>
      <c r="V4" s="44">
        <v>6</v>
      </c>
      <c r="W4" s="44">
        <v>7</v>
      </c>
      <c r="X4" s="44">
        <v>8</v>
      </c>
      <c r="Y4" s="44">
        <v>9</v>
      </c>
      <c r="Z4" s="44">
        <v>10</v>
      </c>
      <c r="AA4" s="44">
        <v>11</v>
      </c>
      <c r="AB4" s="45">
        <v>12</v>
      </c>
      <c r="AC4" s="41" t="s">
        <v>350</v>
      </c>
      <c r="AD4" s="46">
        <v>1</v>
      </c>
      <c r="AE4" s="44">
        <v>2</v>
      </c>
      <c r="AF4" s="44">
        <v>3</v>
      </c>
      <c r="AG4" s="44">
        <v>4</v>
      </c>
      <c r="AH4" s="44">
        <v>5</v>
      </c>
      <c r="AI4" s="44">
        <v>6</v>
      </c>
      <c r="AJ4" s="44">
        <v>7</v>
      </c>
      <c r="AK4" s="44">
        <v>8</v>
      </c>
      <c r="AL4" s="44">
        <v>9</v>
      </c>
      <c r="AM4" s="44">
        <v>10</v>
      </c>
      <c r="AN4" s="44">
        <v>11</v>
      </c>
      <c r="AO4" s="45">
        <v>12</v>
      </c>
      <c r="AP4" s="41" t="s">
        <v>350</v>
      </c>
      <c r="AR4" s="42">
        <v>1</v>
      </c>
      <c r="AS4" s="39" t="s">
        <v>362</v>
      </c>
      <c r="AT4" s="110">
        <v>3785943.2</v>
      </c>
      <c r="AU4" s="110">
        <v>6408593.9000000004</v>
      </c>
      <c r="AV4" s="110">
        <v>2666400</v>
      </c>
      <c r="AX4" s="104">
        <v>1396.9592995301155</v>
      </c>
      <c r="AY4" s="104">
        <v>1345.2792347226514</v>
      </c>
      <c r="AZ4" s="104">
        <v>1191.5563229628794</v>
      </c>
      <c r="BA4" s="115"/>
      <c r="BB4" s="104">
        <f>AX4*BB$1/1000</f>
        <v>34726.705755409792</v>
      </c>
      <c r="BC4" s="104">
        <f>AY4*BC$1/1000</f>
        <v>34692.22716352166</v>
      </c>
      <c r="BD4" s="104">
        <f>AZ4*BD$1/1000</f>
        <v>31199.703441440121</v>
      </c>
      <c r="BF4" s="104">
        <v>27271.253178600313</v>
      </c>
      <c r="BG4" s="104">
        <v>28138.633379936906</v>
      </c>
      <c r="BH4" s="104">
        <v>28651.781109092688</v>
      </c>
      <c r="BJ4" s="104">
        <v>7455.4525768094791</v>
      </c>
      <c r="BK4" s="104">
        <v>6553.5937835847544</v>
      </c>
      <c r="BL4" s="104">
        <v>2547.9223323474289</v>
      </c>
      <c r="BN4" s="65">
        <v>0.10673146745322792</v>
      </c>
      <c r="BO4" s="65">
        <v>0.15279482629158905</v>
      </c>
      <c r="BP4" s="65">
        <v>0.16131305828722847</v>
      </c>
      <c r="BR4" s="65">
        <v>0.21468931229240062</v>
      </c>
      <c r="BS4" s="65">
        <v>0.18890668946373546</v>
      </c>
      <c r="BT4" s="65">
        <v>8.1664953550911856E-2</v>
      </c>
    </row>
    <row r="5" spans="2:72" x14ac:dyDescent="0.35">
      <c r="B5" s="42">
        <v>1</v>
      </c>
      <c r="C5" s="39" t="s">
        <v>362</v>
      </c>
      <c r="D5" s="109">
        <v>203525</v>
      </c>
      <c r="E5" s="109">
        <v>209000</v>
      </c>
      <c r="F5" s="109">
        <v>48400</v>
      </c>
      <c r="G5" s="109">
        <v>160600</v>
      </c>
      <c r="H5" s="109">
        <v>88000</v>
      </c>
      <c r="I5" s="109">
        <v>211700</v>
      </c>
      <c r="J5" s="109">
        <v>70400</v>
      </c>
      <c r="K5" s="109">
        <v>722418.2</v>
      </c>
      <c r="L5" s="109">
        <v>373900</v>
      </c>
      <c r="M5" s="109">
        <v>399300</v>
      </c>
      <c r="N5" s="109">
        <v>681600</v>
      </c>
      <c r="O5" s="109">
        <v>617100</v>
      </c>
      <c r="P5" s="110">
        <v>3785943.2</v>
      </c>
      <c r="Q5" s="109">
        <v>388849.3</v>
      </c>
      <c r="R5" s="109">
        <v>660000</v>
      </c>
      <c r="S5" s="109">
        <v>419100</v>
      </c>
      <c r="T5" s="109">
        <v>531300</v>
      </c>
      <c r="U5" s="109">
        <v>556160.30000000005</v>
      </c>
      <c r="V5" s="109">
        <v>486422.2</v>
      </c>
      <c r="W5" s="109">
        <v>248969.1</v>
      </c>
      <c r="X5" s="109">
        <v>835293</v>
      </c>
      <c r="Y5" s="109">
        <v>236500</v>
      </c>
      <c r="Z5" s="109">
        <v>382660</v>
      </c>
      <c r="AA5" s="109">
        <v>717340</v>
      </c>
      <c r="AB5" s="109">
        <v>946000</v>
      </c>
      <c r="AC5" s="110">
        <v>6408593.9000000004</v>
      </c>
      <c r="AD5" s="109">
        <v>616000</v>
      </c>
      <c r="AE5" s="109">
        <v>398200</v>
      </c>
      <c r="AF5" s="109">
        <v>772200</v>
      </c>
      <c r="AG5" s="109">
        <v>880000</v>
      </c>
      <c r="AH5" s="109"/>
      <c r="AI5" s="109"/>
      <c r="AJ5" s="109"/>
      <c r="AK5" s="109"/>
      <c r="AL5" s="109"/>
      <c r="AM5" s="109"/>
      <c r="AN5" s="109"/>
      <c r="AO5" s="109"/>
      <c r="AP5" s="110">
        <v>2666400</v>
      </c>
      <c r="AR5" s="43">
        <v>2</v>
      </c>
      <c r="AS5" s="40" t="s">
        <v>363</v>
      </c>
      <c r="AT5" s="112">
        <v>4414400</v>
      </c>
      <c r="AU5" s="112">
        <v>10827735.800000001</v>
      </c>
      <c r="AV5" s="112">
        <v>1687500</v>
      </c>
      <c r="AX5" s="105">
        <v>1223.1237395867231</v>
      </c>
      <c r="AY5" s="104">
        <v>1238.0335607629145</v>
      </c>
      <c r="AZ5" s="104">
        <v>1141.4236356808346</v>
      </c>
      <c r="BA5" s="115"/>
      <c r="BB5" s="105">
        <f t="shared" ref="BB5:BD11" si="0">AX5*BB$1/1000</f>
        <v>30405.36558321464</v>
      </c>
      <c r="BC5" s="104">
        <f t="shared" si="0"/>
        <v>31926.562469319175</v>
      </c>
      <c r="BD5" s="104">
        <f t="shared" si="0"/>
        <v>29887.029465582258</v>
      </c>
      <c r="BF5" s="105">
        <v>23061.128116039436</v>
      </c>
      <c r="BG5" s="104">
        <v>25770.07975480899</v>
      </c>
      <c r="BH5" s="104">
        <v>26450.812566521479</v>
      </c>
      <c r="BJ5" s="105">
        <v>7344.2374671752077</v>
      </c>
      <c r="BK5" s="104">
        <v>6156.4827145101881</v>
      </c>
      <c r="BL5" s="104">
        <v>3436.2168990607825</v>
      </c>
      <c r="BN5" s="66">
        <v>0.12444861558555061</v>
      </c>
      <c r="BO5" s="65">
        <v>0.258156787043757</v>
      </c>
      <c r="BP5" s="66">
        <v>0.1020911288102678</v>
      </c>
      <c r="BR5" s="66">
        <v>0.24154412638371991</v>
      </c>
      <c r="BS5" s="66">
        <v>0.19283262081304398</v>
      </c>
      <c r="BT5" s="66">
        <v>0.11497351729177063</v>
      </c>
    </row>
    <row r="6" spans="2:72" x14ac:dyDescent="0.35">
      <c r="B6" s="43">
        <v>2</v>
      </c>
      <c r="C6" s="40" t="s">
        <v>363</v>
      </c>
      <c r="D6" s="111">
        <v>902000</v>
      </c>
      <c r="E6" s="111">
        <v>44000</v>
      </c>
      <c r="F6" s="111">
        <v>666600</v>
      </c>
      <c r="G6" s="111">
        <v>668800</v>
      </c>
      <c r="H6" s="111">
        <v>23100</v>
      </c>
      <c r="I6" s="111">
        <v>92400</v>
      </c>
      <c r="J6" s="111">
        <v>6600</v>
      </c>
      <c r="K6" s="111">
        <v>631400</v>
      </c>
      <c r="L6" s="111">
        <v>884400</v>
      </c>
      <c r="M6" s="111">
        <v>314600</v>
      </c>
      <c r="N6" s="111">
        <v>172800</v>
      </c>
      <c r="O6" s="111">
        <v>7700</v>
      </c>
      <c r="P6" s="112">
        <v>4414400</v>
      </c>
      <c r="Q6" s="111">
        <v>143000</v>
      </c>
      <c r="R6" s="111">
        <v>2270400</v>
      </c>
      <c r="S6" s="111">
        <v>1786400</v>
      </c>
      <c r="T6" s="111">
        <v>1189600</v>
      </c>
      <c r="U6" s="111">
        <v>1854000</v>
      </c>
      <c r="V6" s="111">
        <v>1077435.8</v>
      </c>
      <c r="W6" s="111">
        <v>957000</v>
      </c>
      <c r="X6" s="111">
        <v>1287000</v>
      </c>
      <c r="Y6" s="111">
        <v>3300</v>
      </c>
      <c r="Z6" s="111">
        <v>49500</v>
      </c>
      <c r="AA6" s="111">
        <v>20900</v>
      </c>
      <c r="AB6" s="111">
        <v>189200</v>
      </c>
      <c r="AC6" s="112">
        <v>10827735.800000001</v>
      </c>
      <c r="AD6" s="111">
        <v>25300</v>
      </c>
      <c r="AE6" s="111">
        <v>492800</v>
      </c>
      <c r="AF6" s="111">
        <v>1065950</v>
      </c>
      <c r="AG6" s="111">
        <v>103450</v>
      </c>
      <c r="AH6" s="111"/>
      <c r="AI6" s="111"/>
      <c r="AJ6" s="111"/>
      <c r="AK6" s="111"/>
      <c r="AL6" s="111"/>
      <c r="AM6" s="111"/>
      <c r="AN6" s="111"/>
      <c r="AO6" s="111"/>
      <c r="AP6" s="112">
        <v>1687500</v>
      </c>
      <c r="AR6" s="42">
        <v>3</v>
      </c>
      <c r="AS6" s="40" t="s">
        <v>364</v>
      </c>
      <c r="AT6" s="112">
        <v>19788700</v>
      </c>
      <c r="AU6" s="112">
        <v>19703925</v>
      </c>
      <c r="AV6" s="112">
        <v>8529600</v>
      </c>
      <c r="AX6" s="105">
        <v>1224.2711679958338</v>
      </c>
      <c r="AY6" s="104">
        <v>1204.2755925836173</v>
      </c>
      <c r="AZ6" s="104">
        <v>1113.441134384399</v>
      </c>
      <c r="BA6" s="115"/>
      <c r="BB6" s="105">
        <f t="shared" si="0"/>
        <v>30433.889255129769</v>
      </c>
      <c r="BC6" s="104">
        <f t="shared" si="0"/>
        <v>31056.007813878769</v>
      </c>
      <c r="BD6" s="104">
        <f t="shared" si="0"/>
        <v>29154.335823516209</v>
      </c>
      <c r="BF6" s="105">
        <v>24398.788390546506</v>
      </c>
      <c r="BG6" s="104">
        <v>26749.126226040491</v>
      </c>
      <c r="BH6" s="104">
        <v>26272.020573270045</v>
      </c>
      <c r="BJ6" s="105">
        <v>6035.1008645832626</v>
      </c>
      <c r="BK6" s="104">
        <v>4306.8815878382775</v>
      </c>
      <c r="BL6" s="104">
        <v>2882.3152502461635</v>
      </c>
      <c r="BN6" s="66">
        <v>0.55787339598536267</v>
      </c>
      <c r="BO6" s="65">
        <v>0.46978445578171191</v>
      </c>
      <c r="BP6" s="66">
        <v>0.51602755099262831</v>
      </c>
      <c r="BR6" s="66">
        <v>0.19830199203232035</v>
      </c>
      <c r="BS6" s="66">
        <v>0.13868110845572224</v>
      </c>
      <c r="BT6" s="66">
        <v>9.8864034073492979E-2</v>
      </c>
    </row>
    <row r="7" spans="2:72" x14ac:dyDescent="0.35">
      <c r="B7" s="42">
        <v>3</v>
      </c>
      <c r="C7" s="40" t="s">
        <v>364</v>
      </c>
      <c r="D7" s="111">
        <v>1302400</v>
      </c>
      <c r="E7" s="111">
        <v>1709400</v>
      </c>
      <c r="F7" s="111">
        <v>1788900</v>
      </c>
      <c r="G7" s="111">
        <v>1463000</v>
      </c>
      <c r="H7" s="111">
        <v>2441800</v>
      </c>
      <c r="I7" s="111">
        <v>1150000</v>
      </c>
      <c r="J7" s="111">
        <v>1217900</v>
      </c>
      <c r="K7" s="111">
        <v>2181700</v>
      </c>
      <c r="L7" s="111">
        <v>2313800</v>
      </c>
      <c r="M7" s="111">
        <v>1567700</v>
      </c>
      <c r="N7" s="111">
        <v>926200</v>
      </c>
      <c r="O7" s="111">
        <v>1725900</v>
      </c>
      <c r="P7" s="112">
        <v>19788700</v>
      </c>
      <c r="Q7" s="111">
        <v>2850100</v>
      </c>
      <c r="R7" s="111">
        <v>2172500</v>
      </c>
      <c r="S7" s="111">
        <v>1581700</v>
      </c>
      <c r="T7" s="111">
        <v>1699500</v>
      </c>
      <c r="U7" s="111">
        <v>1785300</v>
      </c>
      <c r="V7" s="111">
        <v>1272725</v>
      </c>
      <c r="W7" s="111">
        <v>2068000</v>
      </c>
      <c r="X7" s="111">
        <v>1771300</v>
      </c>
      <c r="Y7" s="111">
        <v>1195100</v>
      </c>
      <c r="Z7" s="111">
        <v>1399200</v>
      </c>
      <c r="AA7" s="111">
        <v>816200</v>
      </c>
      <c r="AB7" s="111">
        <v>1092300</v>
      </c>
      <c r="AC7" s="112">
        <v>19703925</v>
      </c>
      <c r="AD7" s="111">
        <v>2674100</v>
      </c>
      <c r="AE7" s="111">
        <v>1868900</v>
      </c>
      <c r="AF7" s="111">
        <v>2057000</v>
      </c>
      <c r="AG7" s="111">
        <v>1929600</v>
      </c>
      <c r="AH7" s="111"/>
      <c r="AI7" s="111"/>
      <c r="AJ7" s="111"/>
      <c r="AK7" s="111"/>
      <c r="AL7" s="111"/>
      <c r="AM7" s="111"/>
      <c r="AN7" s="111"/>
      <c r="AO7" s="111"/>
      <c r="AP7" s="112">
        <v>8529600</v>
      </c>
      <c r="AR7" s="43">
        <v>4</v>
      </c>
      <c r="AS7" s="40" t="s">
        <v>365</v>
      </c>
      <c r="AT7" s="112">
        <v>1740225</v>
      </c>
      <c r="AU7" s="112">
        <v>1235050</v>
      </c>
      <c r="AV7" s="112">
        <v>1246450</v>
      </c>
      <c r="AX7" s="105">
        <v>1068.9916591501799</v>
      </c>
      <c r="AY7" s="104">
        <v>1091.0347276350142</v>
      </c>
      <c r="AZ7" s="104">
        <v>1104.632839711883</v>
      </c>
      <c r="BA7" s="115"/>
      <c r="BB7" s="105">
        <f t="shared" si="0"/>
        <v>26573.829899541273</v>
      </c>
      <c r="BC7" s="104">
        <f t="shared" si="0"/>
        <v>28135.7383935301</v>
      </c>
      <c r="BD7" s="104">
        <f t="shared" si="0"/>
        <v>28923.699489915147</v>
      </c>
      <c r="BF7" s="105">
        <v>29230.613178629941</v>
      </c>
      <c r="BG7" s="104">
        <v>25739.27746191113</v>
      </c>
      <c r="BH7" s="104">
        <v>27210.348036371728</v>
      </c>
      <c r="BJ7" s="105">
        <v>-2656.7832790886714</v>
      </c>
      <c r="BK7" s="104">
        <v>2396.4609316189672</v>
      </c>
      <c r="BL7" s="104">
        <v>1713.3514535434224</v>
      </c>
      <c r="BN7" s="66">
        <v>4.9059575946304092E-2</v>
      </c>
      <c r="BO7" s="65">
        <v>2.9446279972807615E-2</v>
      </c>
      <c r="BP7" s="66">
        <v>7.5408288892182693E-2</v>
      </c>
      <c r="BR7" s="66">
        <v>-9.9977432275749178E-2</v>
      </c>
      <c r="BS7" s="66">
        <v>8.5174979170621112E-2</v>
      </c>
      <c r="BT7" s="66">
        <v>5.923694007887248E-2</v>
      </c>
    </row>
    <row r="8" spans="2:72" x14ac:dyDescent="0.35">
      <c r="B8" s="43">
        <v>4</v>
      </c>
      <c r="C8" s="40" t="s">
        <v>365</v>
      </c>
      <c r="D8" s="111">
        <v>440000</v>
      </c>
      <c r="E8" s="111">
        <v>0</v>
      </c>
      <c r="F8" s="111">
        <v>176000</v>
      </c>
      <c r="G8" s="111">
        <v>441100</v>
      </c>
      <c r="H8" s="111">
        <v>330025</v>
      </c>
      <c r="I8" s="111">
        <v>110000</v>
      </c>
      <c r="J8" s="111">
        <v>1100</v>
      </c>
      <c r="K8" s="111">
        <v>5500</v>
      </c>
      <c r="L8" s="111">
        <v>88000</v>
      </c>
      <c r="M8" s="111">
        <v>147400</v>
      </c>
      <c r="N8" s="111">
        <v>0</v>
      </c>
      <c r="O8" s="111">
        <v>1100</v>
      </c>
      <c r="P8" s="112">
        <v>1740225</v>
      </c>
      <c r="Q8" s="111">
        <v>0</v>
      </c>
      <c r="R8" s="111">
        <v>45100</v>
      </c>
      <c r="S8" s="111">
        <v>231000</v>
      </c>
      <c r="T8" s="111">
        <v>154000</v>
      </c>
      <c r="U8" s="111">
        <v>11000</v>
      </c>
      <c r="V8" s="111">
        <v>44000</v>
      </c>
      <c r="W8" s="111">
        <v>374850</v>
      </c>
      <c r="X8" s="111">
        <v>44000</v>
      </c>
      <c r="Y8" s="111">
        <v>67100</v>
      </c>
      <c r="Z8" s="111">
        <v>264000</v>
      </c>
      <c r="AA8" s="111">
        <v>0</v>
      </c>
      <c r="AB8" s="111">
        <v>0</v>
      </c>
      <c r="AC8" s="112">
        <v>1235050</v>
      </c>
      <c r="AD8" s="111">
        <v>2200</v>
      </c>
      <c r="AE8" s="111">
        <v>5500</v>
      </c>
      <c r="AF8" s="111">
        <v>440150</v>
      </c>
      <c r="AG8" s="111">
        <v>798600</v>
      </c>
      <c r="AH8" s="111"/>
      <c r="AI8" s="111"/>
      <c r="AJ8" s="111"/>
      <c r="AK8" s="111"/>
      <c r="AL8" s="111"/>
      <c r="AM8" s="111"/>
      <c r="AN8" s="111"/>
      <c r="AO8" s="111"/>
      <c r="AP8" s="112">
        <v>1246450</v>
      </c>
      <c r="AR8" s="42">
        <v>5</v>
      </c>
      <c r="AS8" s="40" t="s">
        <v>366</v>
      </c>
      <c r="AT8" s="112">
        <v>2418500</v>
      </c>
      <c r="AU8" s="112">
        <v>660000</v>
      </c>
      <c r="AV8" s="112">
        <v>902000</v>
      </c>
      <c r="AX8" s="105">
        <v>1046.9518571235005</v>
      </c>
      <c r="AY8" s="104">
        <v>974.95808100306647</v>
      </c>
      <c r="AZ8" s="104">
        <v>1034.1906772228122</v>
      </c>
      <c r="BA8" s="115"/>
      <c r="BB8" s="105">
        <f t="shared" si="0"/>
        <v>26025.947280380198</v>
      </c>
      <c r="BC8" s="104">
        <f t="shared" si="0"/>
        <v>25142.339484666711</v>
      </c>
      <c r="BD8" s="104">
        <f t="shared" si="0"/>
        <v>27079.242339985514</v>
      </c>
      <c r="BF8" s="105">
        <v>30566.452336984257</v>
      </c>
      <c r="BG8" s="104">
        <v>25324.245496464653</v>
      </c>
      <c r="BH8" s="104">
        <v>27142.653088748815</v>
      </c>
      <c r="BJ8" s="105">
        <v>-4540.5050566040591</v>
      </c>
      <c r="BK8" s="104">
        <v>-181.90601179794248</v>
      </c>
      <c r="BL8" s="104">
        <v>-63.410748763297306</v>
      </c>
      <c r="BN8" s="66">
        <v>6.8181174518315998E-2</v>
      </c>
      <c r="BO8" s="65">
        <v>1.5735836429337294E-2</v>
      </c>
      <c r="BP8" s="66">
        <v>5.4569598925547587E-2</v>
      </c>
      <c r="BR8" s="66">
        <v>-0.17446070291654459</v>
      </c>
      <c r="BS8" s="66">
        <v>-7.2350471565654217E-3</v>
      </c>
      <c r="BT8" s="66">
        <v>-2.3416736689736428E-3</v>
      </c>
    </row>
    <row r="9" spans="2:72" x14ac:dyDescent="0.35">
      <c r="B9" s="42">
        <v>5</v>
      </c>
      <c r="C9" s="40" t="s">
        <v>366</v>
      </c>
      <c r="D9" s="111">
        <v>0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211200</v>
      </c>
      <c r="K9" s="111">
        <v>887300</v>
      </c>
      <c r="L9" s="111">
        <v>660000</v>
      </c>
      <c r="M9" s="111">
        <v>660000</v>
      </c>
      <c r="N9" s="111">
        <v>0</v>
      </c>
      <c r="O9" s="111">
        <v>0</v>
      </c>
      <c r="P9" s="112">
        <v>2418500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220000</v>
      </c>
      <c r="W9" s="111">
        <v>0</v>
      </c>
      <c r="X9" s="111">
        <v>220000</v>
      </c>
      <c r="Y9" s="111">
        <v>0</v>
      </c>
      <c r="Z9" s="111">
        <v>0</v>
      </c>
      <c r="AA9" s="111">
        <v>220000</v>
      </c>
      <c r="AB9" s="111">
        <v>0</v>
      </c>
      <c r="AC9" s="112">
        <v>660000</v>
      </c>
      <c r="AD9" s="111">
        <v>242000</v>
      </c>
      <c r="AE9" s="111">
        <v>0</v>
      </c>
      <c r="AF9" s="111">
        <v>220000</v>
      </c>
      <c r="AG9" s="111">
        <v>440000</v>
      </c>
      <c r="AH9" s="111"/>
      <c r="AI9" s="111"/>
      <c r="AJ9" s="111"/>
      <c r="AK9" s="111"/>
      <c r="AL9" s="111"/>
      <c r="AM9" s="111"/>
      <c r="AN9" s="111"/>
      <c r="AO9" s="111"/>
      <c r="AP9" s="112">
        <v>902000</v>
      </c>
      <c r="AR9" s="43">
        <v>6</v>
      </c>
      <c r="AS9" s="40" t="s">
        <v>367</v>
      </c>
      <c r="AT9" s="112">
        <v>1362900</v>
      </c>
      <c r="AU9" s="112">
        <v>1543175</v>
      </c>
      <c r="AV9" s="112">
        <v>681800</v>
      </c>
      <c r="AX9" s="105">
        <v>697.49707761074035</v>
      </c>
      <c r="AY9" s="104">
        <v>665.45032230599827</v>
      </c>
      <c r="AZ9" s="104">
        <v>677.32981719849192</v>
      </c>
      <c r="BA9" s="115"/>
      <c r="BB9" s="105">
        <f t="shared" si="0"/>
        <v>17338.927331378731</v>
      </c>
      <c r="BC9" s="104">
        <f t="shared" si="0"/>
        <v>17160.715152373476</v>
      </c>
      <c r="BD9" s="104">
        <f t="shared" si="0"/>
        <v>17735.199773092165</v>
      </c>
      <c r="BF9" s="105">
        <v>22643.129784870489</v>
      </c>
      <c r="BG9" s="104">
        <v>26664.425688596559</v>
      </c>
      <c r="BH9" s="104">
        <v>28400.67402984139</v>
      </c>
      <c r="BJ9" s="105">
        <v>-5304.2024534917582</v>
      </c>
      <c r="BK9" s="104">
        <v>-9503.7105362230832</v>
      </c>
      <c r="BL9" s="104">
        <v>-10665.474256749225</v>
      </c>
      <c r="BN9" s="66">
        <v>3.8422213252434514E-2</v>
      </c>
      <c r="BO9" s="65">
        <v>3.6792650578549364E-2</v>
      </c>
      <c r="BP9" s="66">
        <v>4.124784096168331E-2</v>
      </c>
      <c r="BR9" s="66">
        <v>-0.30591295252115147</v>
      </c>
      <c r="BS9" s="66">
        <v>-0.55380620515157486</v>
      </c>
      <c r="BT9" s="66">
        <v>-0.60137322348806443</v>
      </c>
    </row>
    <row r="10" spans="2:72" x14ac:dyDescent="0.35">
      <c r="B10" s="43">
        <v>6</v>
      </c>
      <c r="C10" s="40" t="s">
        <v>367</v>
      </c>
      <c r="D10" s="111">
        <v>0</v>
      </c>
      <c r="E10" s="111">
        <v>0</v>
      </c>
      <c r="F10" s="111">
        <v>0</v>
      </c>
      <c r="G10" s="111">
        <v>225500</v>
      </c>
      <c r="H10" s="111">
        <v>82500</v>
      </c>
      <c r="I10" s="111">
        <v>185900</v>
      </c>
      <c r="J10" s="111">
        <v>165000</v>
      </c>
      <c r="K10" s="111">
        <v>0</v>
      </c>
      <c r="L10" s="111">
        <v>220000</v>
      </c>
      <c r="M10" s="111">
        <v>231000</v>
      </c>
      <c r="N10" s="111">
        <v>11000</v>
      </c>
      <c r="O10" s="111">
        <v>242000</v>
      </c>
      <c r="P10" s="112">
        <v>1362900</v>
      </c>
      <c r="Q10" s="111">
        <v>11000</v>
      </c>
      <c r="R10" s="111">
        <v>16500</v>
      </c>
      <c r="S10" s="111">
        <v>33000</v>
      </c>
      <c r="T10" s="111">
        <v>0</v>
      </c>
      <c r="U10" s="111">
        <v>0</v>
      </c>
      <c r="V10" s="111">
        <v>146900</v>
      </c>
      <c r="W10" s="111">
        <v>567800</v>
      </c>
      <c r="X10" s="111">
        <v>321350</v>
      </c>
      <c r="Y10" s="111">
        <v>202650</v>
      </c>
      <c r="Z10" s="111">
        <v>194625</v>
      </c>
      <c r="AA10" s="111">
        <v>27300</v>
      </c>
      <c r="AB10" s="111">
        <v>22050</v>
      </c>
      <c r="AC10" s="112">
        <v>1543175</v>
      </c>
      <c r="AD10" s="111">
        <v>23100</v>
      </c>
      <c r="AE10" s="111">
        <v>67200</v>
      </c>
      <c r="AF10" s="111">
        <v>342500</v>
      </c>
      <c r="AG10" s="111">
        <v>249000</v>
      </c>
      <c r="AH10" s="111"/>
      <c r="AI10" s="111"/>
      <c r="AJ10" s="111"/>
      <c r="AK10" s="111"/>
      <c r="AL10" s="111"/>
      <c r="AM10" s="111"/>
      <c r="AN10" s="111"/>
      <c r="AO10" s="111"/>
      <c r="AP10" s="112">
        <v>681800</v>
      </c>
      <c r="AR10" s="42">
        <v>7</v>
      </c>
      <c r="AS10" s="40" t="s">
        <v>368</v>
      </c>
      <c r="AT10" s="112">
        <v>0</v>
      </c>
      <c r="AU10" s="112">
        <v>20000</v>
      </c>
      <c r="AV10" s="112">
        <v>660000</v>
      </c>
      <c r="AX10" s="105">
        <v>0</v>
      </c>
      <c r="AY10" s="104">
        <v>913.20265886074719</v>
      </c>
      <c r="AZ10" s="104">
        <v>766.66666666666674</v>
      </c>
      <c r="BA10" s="115"/>
      <c r="BB10" s="105">
        <f t="shared" si="0"/>
        <v>0</v>
      </c>
      <c r="BC10" s="104">
        <f t="shared" si="0"/>
        <v>23549.783026317593</v>
      </c>
      <c r="BD10" s="104">
        <f t="shared" si="0"/>
        <v>20074.395290823864</v>
      </c>
      <c r="BF10" s="105">
        <v>0</v>
      </c>
      <c r="BG10" s="104">
        <v>25925.0059</v>
      </c>
      <c r="BH10" s="104">
        <v>20404.999999999993</v>
      </c>
      <c r="BJ10" s="105">
        <v>0</v>
      </c>
      <c r="BK10" s="104">
        <v>-2375.2228736824072</v>
      </c>
      <c r="BL10" s="104">
        <v>-330.60470917612838</v>
      </c>
      <c r="BN10" s="66">
        <v>0</v>
      </c>
      <c r="BO10" s="65">
        <v>4.768435281617362E-4</v>
      </c>
      <c r="BP10" s="66">
        <v>3.9928974823571405E-2</v>
      </c>
      <c r="BR10" s="66">
        <v>0</v>
      </c>
      <c r="BS10" s="66">
        <v>-0.10085965000306052</v>
      </c>
      <c r="BT10" s="66">
        <v>-1.6468974750499799E-2</v>
      </c>
    </row>
    <row r="11" spans="2:72" x14ac:dyDescent="0.35">
      <c r="B11" s="42">
        <v>7</v>
      </c>
      <c r="C11" s="40" t="s">
        <v>368</v>
      </c>
      <c r="D11" s="111">
        <v>0</v>
      </c>
      <c r="E11" s="111">
        <v>0</v>
      </c>
      <c r="F11" s="111">
        <v>0</v>
      </c>
      <c r="G11" s="111">
        <v>0</v>
      </c>
      <c r="H11" s="111">
        <v>0</v>
      </c>
      <c r="I11" s="111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2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20000</v>
      </c>
      <c r="AC11" s="112">
        <v>20000</v>
      </c>
      <c r="AD11" s="111">
        <v>0</v>
      </c>
      <c r="AE11" s="111">
        <v>0</v>
      </c>
      <c r="AF11" s="111">
        <v>0</v>
      </c>
      <c r="AG11" s="111">
        <v>660000</v>
      </c>
      <c r="AH11" s="111"/>
      <c r="AI11" s="111"/>
      <c r="AJ11" s="111"/>
      <c r="AK11" s="111"/>
      <c r="AL11" s="111"/>
      <c r="AM11" s="111"/>
      <c r="AN11" s="111"/>
      <c r="AO11" s="111"/>
      <c r="AP11" s="112">
        <v>660000</v>
      </c>
      <c r="AR11" s="43">
        <v>8</v>
      </c>
      <c r="AS11" s="40" t="s">
        <v>373</v>
      </c>
      <c r="AT11" s="112">
        <v>1961000</v>
      </c>
      <c r="AU11" s="112">
        <v>1544000</v>
      </c>
      <c r="AV11" s="112">
        <v>155600</v>
      </c>
      <c r="AX11" s="105">
        <v>686.8572514309991</v>
      </c>
      <c r="AY11" s="104">
        <v>665.25784560896557</v>
      </c>
      <c r="AZ11" s="104">
        <v>617.5331436242468</v>
      </c>
      <c r="BA11" s="115"/>
      <c r="BB11" s="105">
        <f t="shared" si="0"/>
        <v>17074.434218976057</v>
      </c>
      <c r="BC11" s="104">
        <f t="shared" si="0"/>
        <v>17155.751539522851</v>
      </c>
      <c r="BD11" s="104">
        <f t="shared" si="0"/>
        <v>16169.484039519439</v>
      </c>
      <c r="BF11" s="105">
        <v>23716.889805711373</v>
      </c>
      <c r="BG11" s="104">
        <v>21106.547259715026</v>
      </c>
      <c r="BH11" s="104">
        <v>21246.656786632389</v>
      </c>
      <c r="BJ11" s="105">
        <v>-6642.4555867353156</v>
      </c>
      <c r="BK11" s="104">
        <v>-3950.7957201921708</v>
      </c>
      <c r="BL11" s="104">
        <v>-5077.1727471129507</v>
      </c>
      <c r="BN11" s="66">
        <v>5.5283557258804079E-2</v>
      </c>
      <c r="BO11" s="65">
        <v>3.6812320374086036E-2</v>
      </c>
      <c r="BP11" s="66">
        <v>9.4135583068904703E-3</v>
      </c>
      <c r="BR11" s="66">
        <v>-0.3890293231123918</v>
      </c>
      <c r="BS11" s="66">
        <v>-0.23028986582665656</v>
      </c>
      <c r="BT11" s="66">
        <v>-0.31399720205690906</v>
      </c>
    </row>
    <row r="12" spans="2:72" ht="15" thickBot="1" x14ac:dyDescent="0.4">
      <c r="B12" s="43">
        <v>8</v>
      </c>
      <c r="C12" s="40" t="s">
        <v>373</v>
      </c>
      <c r="D12" s="111">
        <v>0</v>
      </c>
      <c r="E12" s="111">
        <v>165000</v>
      </c>
      <c r="F12" s="111">
        <v>58000</v>
      </c>
      <c r="G12" s="111">
        <v>0</v>
      </c>
      <c r="H12" s="111">
        <v>222000</v>
      </c>
      <c r="I12" s="111">
        <v>511260</v>
      </c>
      <c r="J12" s="111">
        <v>180000</v>
      </c>
      <c r="K12" s="111">
        <v>380000</v>
      </c>
      <c r="L12" s="111">
        <v>0</v>
      </c>
      <c r="M12" s="111">
        <v>264740</v>
      </c>
      <c r="N12" s="111">
        <v>115000</v>
      </c>
      <c r="O12" s="111">
        <v>65000</v>
      </c>
      <c r="P12" s="112">
        <v>1961000</v>
      </c>
      <c r="Q12" s="111">
        <v>0</v>
      </c>
      <c r="R12" s="111">
        <v>386000</v>
      </c>
      <c r="S12" s="111">
        <v>140000</v>
      </c>
      <c r="T12" s="111">
        <v>120000</v>
      </c>
      <c r="U12" s="111">
        <v>80000</v>
      </c>
      <c r="V12" s="111">
        <v>100000</v>
      </c>
      <c r="W12" s="111">
        <v>20000</v>
      </c>
      <c r="X12" s="111">
        <v>80000</v>
      </c>
      <c r="Y12" s="111">
        <v>220000</v>
      </c>
      <c r="Z12" s="111">
        <v>138000</v>
      </c>
      <c r="AA12" s="111">
        <v>160000</v>
      </c>
      <c r="AB12" s="111">
        <v>100000</v>
      </c>
      <c r="AC12" s="112">
        <v>1544000</v>
      </c>
      <c r="AD12" s="111">
        <v>500</v>
      </c>
      <c r="AE12" s="111">
        <v>0</v>
      </c>
      <c r="AF12" s="111">
        <v>155100</v>
      </c>
      <c r="AG12" s="111">
        <v>0</v>
      </c>
      <c r="AH12" s="111"/>
      <c r="AI12" s="111"/>
      <c r="AJ12" s="111"/>
      <c r="AK12" s="111"/>
      <c r="AL12" s="111"/>
      <c r="AM12" s="111"/>
      <c r="AN12" s="111"/>
      <c r="AO12" s="111"/>
      <c r="AP12" s="112">
        <v>155600</v>
      </c>
      <c r="AT12" s="100"/>
      <c r="AU12" s="100"/>
      <c r="AV12" s="100"/>
      <c r="AX12" s="100"/>
      <c r="AY12" s="100"/>
      <c r="AZ12" s="100"/>
      <c r="BB12" s="100"/>
      <c r="BC12" s="100"/>
      <c r="BD12" s="100"/>
      <c r="BF12" s="100"/>
      <c r="BG12" s="100"/>
      <c r="BH12" s="100"/>
      <c r="BJ12" s="100"/>
      <c r="BK12" s="100"/>
      <c r="BL12" s="100"/>
    </row>
    <row r="13" spans="2:72" ht="15" thickTop="1" x14ac:dyDescent="0.35">
      <c r="AS13" t="s">
        <v>401</v>
      </c>
    </row>
    <row r="14" spans="2:72" x14ac:dyDescent="0.35">
      <c r="AR14" s="118">
        <v>9</v>
      </c>
      <c r="AS14" t="s">
        <v>402</v>
      </c>
    </row>
    <row r="15" spans="2:72" x14ac:dyDescent="0.35">
      <c r="AR15" s="118">
        <v>10</v>
      </c>
      <c r="AS15" t="s">
        <v>403</v>
      </c>
    </row>
    <row r="16" spans="2:72" ht="17" customHeight="1" x14ac:dyDescent="0.35">
      <c r="BB16" s="94"/>
      <c r="BC16" s="94"/>
      <c r="BD16" s="94"/>
    </row>
    <row r="17" spans="44:56" x14ac:dyDescent="0.35">
      <c r="AS17" s="39" t="s">
        <v>362</v>
      </c>
      <c r="BB17" s="94"/>
      <c r="BC17" s="94"/>
      <c r="BD17" s="94"/>
    </row>
    <row r="18" spans="44:56" ht="43.5" x14ac:dyDescent="0.35">
      <c r="AR18" s="42">
        <v>1</v>
      </c>
      <c r="AT18" s="155" t="s">
        <v>384</v>
      </c>
      <c r="AU18" s="156" t="s">
        <v>389</v>
      </c>
      <c r="AV18" s="156" t="s">
        <v>382</v>
      </c>
      <c r="AW18" s="157" t="s">
        <v>386</v>
      </c>
      <c r="AX18" s="157" t="s">
        <v>390</v>
      </c>
    </row>
    <row r="19" spans="44:56" x14ac:dyDescent="0.35">
      <c r="AR19" s="42">
        <v>2</v>
      </c>
      <c r="AS19" s="63">
        <v>2024</v>
      </c>
      <c r="AT19" s="116">
        <f>AT4</f>
        <v>3785943.2</v>
      </c>
      <c r="AU19" s="114">
        <f>BB4</f>
        <v>34726.705755409792</v>
      </c>
      <c r="AV19" s="114">
        <f>BF4</f>
        <v>27271.253178600313</v>
      </c>
      <c r="AW19" s="114">
        <f>AU19-AV19</f>
        <v>7455.4525768094791</v>
      </c>
      <c r="AX19" s="117">
        <f>AW19/AU19</f>
        <v>0.21468931229240062</v>
      </c>
    </row>
    <row r="20" spans="44:56" x14ac:dyDescent="0.35">
      <c r="AR20" s="118">
        <f>AR19+1</f>
        <v>3</v>
      </c>
      <c r="AS20" s="63">
        <v>2025</v>
      </c>
      <c r="AT20" s="116">
        <f>AU4</f>
        <v>6408593.9000000004</v>
      </c>
      <c r="AU20" s="114">
        <f>BC4</f>
        <v>34692.22716352166</v>
      </c>
      <c r="AV20" s="114">
        <f>BG4</f>
        <v>28138.633379936906</v>
      </c>
      <c r="AW20" s="114">
        <f>AU20-AV20</f>
        <v>6553.5937835847544</v>
      </c>
      <c r="AX20" s="117">
        <f>AW20/AU20</f>
        <v>0.18890668946373546</v>
      </c>
    </row>
    <row r="21" spans="44:56" x14ac:dyDescent="0.35">
      <c r="AR21" s="118">
        <f t="shared" ref="AR21:AR23" si="1">AR20+1</f>
        <v>4</v>
      </c>
      <c r="AS21" s="63">
        <v>2026</v>
      </c>
      <c r="AT21" s="116">
        <f>AV4</f>
        <v>2666400</v>
      </c>
      <c r="AU21" s="114">
        <f>BD4</f>
        <v>31199.703441440121</v>
      </c>
      <c r="AV21" s="114">
        <f>BH4</f>
        <v>28651.781109092688</v>
      </c>
      <c r="AW21" s="114">
        <f>AU21-AV21</f>
        <v>2547.9223323474325</v>
      </c>
      <c r="AX21" s="117">
        <f>AW21/AU21</f>
        <v>8.166495355091187E-2</v>
      </c>
    </row>
    <row r="22" spans="44:56" x14ac:dyDescent="0.35">
      <c r="AR22" s="118">
        <f t="shared" si="1"/>
        <v>5</v>
      </c>
    </row>
    <row r="23" spans="44:56" x14ac:dyDescent="0.35">
      <c r="AR23" s="118">
        <f t="shared" si="1"/>
        <v>6</v>
      </c>
    </row>
    <row r="24" spans="44:56" x14ac:dyDescent="0.35">
      <c r="AR24" s="118"/>
    </row>
    <row r="42" spans="45:54" ht="43.5" x14ac:dyDescent="0.35">
      <c r="AS42" s="39" t="s">
        <v>384</v>
      </c>
      <c r="AT42" s="135" t="str">
        <f>AS4</f>
        <v>Hạt iSS01084G</v>
      </c>
      <c r="AU42" s="136" t="str">
        <f>AS5</f>
        <v>Hạt iSS01G</v>
      </c>
      <c r="AV42" s="136" t="str">
        <f>AS6</f>
        <v>Hạt WSS01G</v>
      </c>
      <c r="AW42" s="136" t="str">
        <f>AS7</f>
        <v>Hạt WSS03G</v>
      </c>
      <c r="AX42" s="136"/>
      <c r="AY42" s="136"/>
      <c r="AZ42" s="136"/>
      <c r="BA42" s="136"/>
      <c r="BB42" s="136"/>
    </row>
    <row r="43" spans="45:54" x14ac:dyDescent="0.35">
      <c r="AS43">
        <f>AS19</f>
        <v>2024</v>
      </c>
      <c r="AT43" s="116">
        <f>AT4</f>
        <v>3785943.2</v>
      </c>
    </row>
    <row r="44" spans="45:54" x14ac:dyDescent="0.35">
      <c r="AS44">
        <f>AS20</f>
        <v>2025</v>
      </c>
      <c r="AT44" s="116">
        <f>AU4</f>
        <v>6408593.9000000004</v>
      </c>
    </row>
    <row r="45" spans="45:54" x14ac:dyDescent="0.35">
      <c r="AS45">
        <f>AS21</f>
        <v>2026</v>
      </c>
      <c r="AT45" s="116">
        <f>AV4</f>
        <v>2666400</v>
      </c>
    </row>
  </sheetData>
  <mergeCells count="6">
    <mergeCell ref="B2:B4"/>
    <mergeCell ref="C2:C4"/>
    <mergeCell ref="D2:AP2"/>
    <mergeCell ref="D3:P3"/>
    <mergeCell ref="Q3:AC3"/>
    <mergeCell ref="AD3:AP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F028-9A1B-4791-9A86-631E2EBF4243}">
  <dimension ref="B3:M63"/>
  <sheetViews>
    <sheetView topLeftCell="O55" workbookViewId="0">
      <selection activeCell="Y72" sqref="Y72"/>
    </sheetView>
  </sheetViews>
  <sheetFormatPr defaultRowHeight="14.5" x14ac:dyDescent="0.35"/>
  <cols>
    <col min="3" max="3" width="12.83203125" bestFit="1" customWidth="1"/>
    <col min="4" max="4" width="12.5" bestFit="1" customWidth="1"/>
    <col min="5" max="5" width="10.58203125" bestFit="1" customWidth="1"/>
    <col min="6" max="6" width="10.6640625" bestFit="1" customWidth="1"/>
    <col min="7" max="7" width="13.08203125" bestFit="1" customWidth="1"/>
    <col min="8" max="8" width="9.33203125" customWidth="1"/>
    <col min="9" max="9" width="10.83203125" customWidth="1"/>
  </cols>
  <sheetData>
    <row r="3" spans="2:13" x14ac:dyDescent="0.35">
      <c r="B3" s="119" t="str">
        <f>Chart!$AR$2</f>
        <v>STT</v>
      </c>
      <c r="C3" s="67" t="str">
        <f>Chart!$AS$4</f>
        <v>Hạt iSS01084G</v>
      </c>
    </row>
    <row r="4" spans="2:13" x14ac:dyDescent="0.35">
      <c r="B4" s="138"/>
      <c r="C4" s="137"/>
      <c r="D4" s="38" t="s">
        <v>362</v>
      </c>
      <c r="E4" s="150" t="s">
        <v>363</v>
      </c>
      <c r="F4" s="151" t="s">
        <v>364</v>
      </c>
      <c r="G4" s="152" t="s">
        <v>365</v>
      </c>
      <c r="H4" s="154" t="s">
        <v>400</v>
      </c>
      <c r="I4" s="38" t="s">
        <v>362</v>
      </c>
      <c r="J4" s="150" t="s">
        <v>363</v>
      </c>
      <c r="K4" s="151" t="s">
        <v>364</v>
      </c>
      <c r="L4" s="152" t="s">
        <v>365</v>
      </c>
      <c r="M4" s="154" t="s">
        <v>400</v>
      </c>
    </row>
    <row r="5" spans="2:13" x14ac:dyDescent="0.35">
      <c r="B5" s="138">
        <v>1</v>
      </c>
      <c r="C5" s="63">
        <v>2024</v>
      </c>
      <c r="D5" s="153">
        <f>Chart!$AT$4</f>
        <v>3785943.2</v>
      </c>
      <c r="E5" s="153">
        <f>Chart!$AT$5</f>
        <v>4414400</v>
      </c>
      <c r="F5" s="153">
        <f>Chart!$AT$6</f>
        <v>19788700</v>
      </c>
      <c r="G5" s="153">
        <f>Chart!$AT$7</f>
        <v>1740225</v>
      </c>
      <c r="H5" s="153">
        <f>SUM(D5:G5)</f>
        <v>29729268.199999999</v>
      </c>
      <c r="I5" s="117">
        <f>D5/$H5</f>
        <v>0.12734733914506513</v>
      </c>
      <c r="J5" s="117">
        <f t="shared" ref="J5:L5" si="0">E5/$H5</f>
        <v>0.1484866687704072</v>
      </c>
      <c r="K5" s="117">
        <f t="shared" si="0"/>
        <v>0.6656302424558167</v>
      </c>
      <c r="L5" s="117">
        <f t="shared" si="0"/>
        <v>5.8535749628711012E-2</v>
      </c>
      <c r="M5" s="117">
        <f>H5/$H5</f>
        <v>1</v>
      </c>
    </row>
    <row r="6" spans="2:13" x14ac:dyDescent="0.35">
      <c r="B6" s="42">
        <v>2</v>
      </c>
      <c r="C6" s="63">
        <v>2025</v>
      </c>
      <c r="D6" s="153">
        <f>Chart!$AU$4</f>
        <v>6408593.9000000004</v>
      </c>
      <c r="E6" s="153">
        <f>Chart!$AU$5</f>
        <v>10827735.800000001</v>
      </c>
      <c r="F6" s="153">
        <f>Chart!$AU$6</f>
        <v>19703925</v>
      </c>
      <c r="G6" s="153">
        <f>Chart!$AU$7</f>
        <v>1235050</v>
      </c>
      <c r="H6" s="153">
        <f t="shared" ref="H6:H9" si="1">SUM(D6:G6)</f>
        <v>38175304.700000003</v>
      </c>
      <c r="I6" s="117">
        <f t="shared" ref="I6:I9" si="2">D6/$H6</f>
        <v>0.16787276356696637</v>
      </c>
      <c r="J6" s="117">
        <f t="shared" ref="J6:J9" si="3">E6/$H6</f>
        <v>0.28363194177727152</v>
      </c>
      <c r="K6" s="117">
        <f t="shared" ref="K6:K9" si="4">F6/$H6</f>
        <v>0.51614322805915935</v>
      </c>
      <c r="L6" s="117">
        <f t="shared" ref="L6:L9" si="5">G6/$H6</f>
        <v>3.2352066596602697E-2</v>
      </c>
      <c r="M6" s="117">
        <f t="shared" ref="M6:M9" si="6">H6/$H6</f>
        <v>1</v>
      </c>
    </row>
    <row r="7" spans="2:13" x14ac:dyDescent="0.35">
      <c r="B7" s="118">
        <f>B6+1</f>
        <v>3</v>
      </c>
      <c r="C7" s="63">
        <v>2026</v>
      </c>
      <c r="D7" s="153">
        <f>Chart!$AV$4</f>
        <v>2666400</v>
      </c>
      <c r="E7" s="153">
        <f>Chart!$AV$5</f>
        <v>1687500</v>
      </c>
      <c r="F7" s="153">
        <f>Chart!$AV$6</f>
        <v>8529600</v>
      </c>
      <c r="G7" s="153">
        <f>Chart!$AV$7</f>
        <v>1246450</v>
      </c>
      <c r="H7" s="153">
        <f t="shared" si="1"/>
        <v>14129950</v>
      </c>
      <c r="I7" s="117">
        <f t="shared" si="2"/>
        <v>0.18870555097505654</v>
      </c>
      <c r="J7" s="117">
        <f t="shared" si="3"/>
        <v>0.11942717419382234</v>
      </c>
      <c r="K7" s="117">
        <f t="shared" si="4"/>
        <v>0.60365394074289014</v>
      </c>
      <c r="L7" s="117">
        <f t="shared" si="5"/>
        <v>8.8213334088231024E-2</v>
      </c>
      <c r="M7" s="117">
        <f t="shared" si="6"/>
        <v>1</v>
      </c>
    </row>
    <row r="8" spans="2:13" x14ac:dyDescent="0.35">
      <c r="B8" s="118">
        <f t="shared" ref="B8:B10" si="7">B7+1</f>
        <v>4</v>
      </c>
      <c r="C8" s="63" t="s">
        <v>395</v>
      </c>
      <c r="D8" s="153">
        <f>D7/4*12</f>
        <v>7999200</v>
      </c>
      <c r="E8" s="153">
        <f>E7/4*12</f>
        <v>5062500</v>
      </c>
      <c r="F8" s="153">
        <f>F7/4*12</f>
        <v>25588800</v>
      </c>
      <c r="G8" s="153">
        <f>G7/4*12</f>
        <v>3739350</v>
      </c>
      <c r="H8" s="153">
        <f t="shared" si="1"/>
        <v>42389850</v>
      </c>
      <c r="I8" s="117">
        <f t="shared" si="2"/>
        <v>0.18870555097505654</v>
      </c>
      <c r="J8" s="117">
        <f t="shared" si="3"/>
        <v>0.11942717419382234</v>
      </c>
      <c r="K8" s="117">
        <f t="shared" si="4"/>
        <v>0.60365394074289014</v>
      </c>
      <c r="L8" s="117">
        <f t="shared" si="5"/>
        <v>8.8213334088231024E-2</v>
      </c>
      <c r="M8" s="117">
        <f t="shared" si="6"/>
        <v>1</v>
      </c>
    </row>
    <row r="9" spans="2:13" x14ac:dyDescent="0.35">
      <c r="B9" s="118">
        <f t="shared" si="7"/>
        <v>5</v>
      </c>
      <c r="C9" s="63" t="s">
        <v>396</v>
      </c>
      <c r="D9" s="153">
        <f>AVERAGE(D5:D6)</f>
        <v>5097268.5500000007</v>
      </c>
      <c r="E9" s="153">
        <f>AVERAGE(E5:E6)</f>
        <v>7621067.9000000004</v>
      </c>
      <c r="F9" s="153">
        <f>AVERAGE(F5:F6)</f>
        <v>19746312.5</v>
      </c>
      <c r="G9" s="153">
        <f>AVERAGE(G5:G6)</f>
        <v>1487637.5</v>
      </c>
      <c r="H9" s="153">
        <f t="shared" si="1"/>
        <v>33952286.450000003</v>
      </c>
      <c r="I9" s="117">
        <f t="shared" si="2"/>
        <v>0.15013034711245493</v>
      </c>
      <c r="J9" s="117">
        <f t="shared" si="3"/>
        <v>0.22446405520356347</v>
      </c>
      <c r="K9" s="117">
        <f t="shared" si="4"/>
        <v>0.5815900654902727</v>
      </c>
      <c r="L9" s="117">
        <f t="shared" si="5"/>
        <v>4.3815532193708852E-2</v>
      </c>
      <c r="M9" s="117">
        <f t="shared" si="6"/>
        <v>1</v>
      </c>
    </row>
    <row r="10" spans="2:13" x14ac:dyDescent="0.35">
      <c r="B10" s="118">
        <f t="shared" si="7"/>
        <v>6</v>
      </c>
      <c r="F10" s="143">
        <f>D10-E10</f>
        <v>0</v>
      </c>
    </row>
    <row r="28" spans="9:11" x14ac:dyDescent="0.35">
      <c r="I28" s="136"/>
      <c r="J28" s="136"/>
      <c r="K28" s="136"/>
    </row>
    <row r="39" spans="2:13" x14ac:dyDescent="0.35">
      <c r="B39" s="119" t="str">
        <f>Chart!$AR$2</f>
        <v>STT</v>
      </c>
      <c r="C39" s="67" t="str">
        <f>Chart!$AS$4</f>
        <v>Hạt iSS01084G</v>
      </c>
    </row>
    <row r="40" spans="2:13" x14ac:dyDescent="0.35">
      <c r="B40" s="138"/>
      <c r="C40" s="137"/>
      <c r="D40" s="38" t="s">
        <v>362</v>
      </c>
      <c r="E40" s="150" t="s">
        <v>363</v>
      </c>
      <c r="F40" s="151" t="s">
        <v>364</v>
      </c>
      <c r="G40" s="152" t="s">
        <v>365</v>
      </c>
      <c r="H40" s="154" t="s">
        <v>400</v>
      </c>
      <c r="I40" s="38" t="s">
        <v>362</v>
      </c>
      <c r="J40" s="150" t="s">
        <v>363</v>
      </c>
      <c r="K40" s="151" t="s">
        <v>364</v>
      </c>
      <c r="L40" s="152" t="s">
        <v>365</v>
      </c>
      <c r="M40" s="154" t="s">
        <v>400</v>
      </c>
    </row>
    <row r="41" spans="2:13" x14ac:dyDescent="0.35">
      <c r="B41" s="138">
        <v>1</v>
      </c>
      <c r="C41" s="63">
        <v>2024</v>
      </c>
      <c r="D41" s="153">
        <f>Chart!$AT$4</f>
        <v>3785943.2</v>
      </c>
      <c r="E41" s="153">
        <f>Chart!$AT$5</f>
        <v>4414400</v>
      </c>
      <c r="F41" s="153">
        <f>Chart!$AT$6</f>
        <v>19788700</v>
      </c>
      <c r="G41" s="153">
        <f>Chart!$AT$7</f>
        <v>1740225</v>
      </c>
      <c r="H41" s="153">
        <f>SUM(D41:G41)</f>
        <v>29729268.199999999</v>
      </c>
      <c r="I41" s="117">
        <f>D41/$H41</f>
        <v>0.12734733914506513</v>
      </c>
      <c r="J41" s="117">
        <f t="shared" ref="J41:J44" si="8">E41/$H41</f>
        <v>0.1484866687704072</v>
      </c>
      <c r="K41" s="117">
        <f t="shared" ref="K41:K44" si="9">F41/$H41</f>
        <v>0.6656302424558167</v>
      </c>
      <c r="L41" s="117">
        <f t="shared" ref="L41:L44" si="10">G41/$H41</f>
        <v>5.8535749628711012E-2</v>
      </c>
      <c r="M41" s="117">
        <f>H41/$H41</f>
        <v>1</v>
      </c>
    </row>
    <row r="42" spans="2:13" x14ac:dyDescent="0.35">
      <c r="B42" s="42">
        <v>2</v>
      </c>
      <c r="C42" s="63">
        <v>2025</v>
      </c>
      <c r="D42" s="153">
        <f>Chart!$AU$4</f>
        <v>6408593.9000000004</v>
      </c>
      <c r="E42" s="153">
        <f>Chart!$AU$5</f>
        <v>10827735.800000001</v>
      </c>
      <c r="F42" s="153">
        <f>Chart!$AU$6</f>
        <v>19703925</v>
      </c>
      <c r="G42" s="153">
        <f>Chart!$AU$7</f>
        <v>1235050</v>
      </c>
      <c r="H42" s="153">
        <f t="shared" ref="H42:H43" si="11">SUM(D42:G42)</f>
        <v>38175304.700000003</v>
      </c>
      <c r="I42" s="117">
        <f t="shared" ref="I42:I44" si="12">D42/$H42</f>
        <v>0.16787276356696637</v>
      </c>
      <c r="J42" s="117">
        <f t="shared" si="8"/>
        <v>0.28363194177727152</v>
      </c>
      <c r="K42" s="117">
        <f t="shared" si="9"/>
        <v>0.51614322805915935</v>
      </c>
      <c r="L42" s="117">
        <f t="shared" si="10"/>
        <v>3.2352066596602697E-2</v>
      </c>
      <c r="M42" s="117">
        <f t="shared" ref="M42:M44" si="13">H42/$H42</f>
        <v>1</v>
      </c>
    </row>
    <row r="43" spans="2:13" x14ac:dyDescent="0.35">
      <c r="B43" s="118">
        <f>B42+1</f>
        <v>3</v>
      </c>
      <c r="C43" s="63" t="s">
        <v>395</v>
      </c>
      <c r="D43" s="153">
        <f>'[1]Hảo_R&amp;D (Vảy sạch) (-PS)'!$BP$2*1000</f>
        <v>3666666.6666666665</v>
      </c>
      <c r="E43" s="153">
        <f>'[1]Hảo_R&amp;D (Vảy sạch) (-PS)'!$BP$3*1000</f>
        <v>7333333.333333333</v>
      </c>
      <c r="F43" s="153">
        <f>'[1]Hảo_R&amp;D (Vảy sạch) (-PS)'!$BP$4*1000</f>
        <v>14666666.666666666</v>
      </c>
      <c r="G43" s="153">
        <f>'[1]Hảo_R&amp;D (Vảy sạch) (-PS)'!$BP$5*1000</f>
        <v>3666666.6666666665</v>
      </c>
      <c r="H43" s="153">
        <f t="shared" si="11"/>
        <v>29333333.333333332</v>
      </c>
      <c r="I43" s="117">
        <f t="shared" si="12"/>
        <v>0.125</v>
      </c>
      <c r="J43" s="117">
        <f t="shared" si="8"/>
        <v>0.25</v>
      </c>
      <c r="K43" s="117">
        <f t="shared" si="9"/>
        <v>0.5</v>
      </c>
      <c r="L43" s="117">
        <f t="shared" si="10"/>
        <v>0.125</v>
      </c>
      <c r="M43" s="117">
        <f t="shared" si="13"/>
        <v>1</v>
      </c>
    </row>
    <row r="44" spans="2:13" x14ac:dyDescent="0.35">
      <c r="B44" s="118">
        <f t="shared" ref="B44:B45" si="14">B43+1</f>
        <v>4</v>
      </c>
      <c r="C44" s="63" t="s">
        <v>396</v>
      </c>
      <c r="D44" s="153">
        <f>D8</f>
        <v>7999200</v>
      </c>
      <c r="E44" s="153">
        <f t="shared" ref="E44:G44" si="15">E8</f>
        <v>5062500</v>
      </c>
      <c r="F44" s="153">
        <f t="shared" si="15"/>
        <v>25588800</v>
      </c>
      <c r="G44" s="153">
        <f t="shared" si="15"/>
        <v>3739350</v>
      </c>
      <c r="H44" s="153">
        <f>SUM(D44:G44)</f>
        <v>42389850</v>
      </c>
      <c r="I44" s="117">
        <f t="shared" si="12"/>
        <v>0.18870555097505654</v>
      </c>
      <c r="J44" s="117">
        <f t="shared" si="8"/>
        <v>0.11942717419382234</v>
      </c>
      <c r="K44" s="117">
        <f t="shared" si="9"/>
        <v>0.60365394074289014</v>
      </c>
      <c r="L44" s="117">
        <f t="shared" si="10"/>
        <v>8.8213334088231024E-2</v>
      </c>
      <c r="M44" s="117">
        <f t="shared" si="13"/>
        <v>1</v>
      </c>
    </row>
    <row r="45" spans="2:13" x14ac:dyDescent="0.35">
      <c r="B45" s="118">
        <f t="shared" si="14"/>
        <v>5</v>
      </c>
      <c r="F45" s="143">
        <f>D45-E45</f>
        <v>0</v>
      </c>
    </row>
    <row r="63" spans="9:11" x14ac:dyDescent="0.35">
      <c r="I63" s="136"/>
      <c r="J63" s="136"/>
      <c r="K63" s="13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D544-6A33-48AA-B842-749AFE3801B8}">
  <dimension ref="B1:BY124"/>
  <sheetViews>
    <sheetView topLeftCell="A44" zoomScale="85" zoomScaleNormal="85" workbookViewId="0">
      <selection activeCell="D8" sqref="D8"/>
    </sheetView>
  </sheetViews>
  <sheetFormatPr defaultRowHeight="14.5" x14ac:dyDescent="0.35"/>
  <cols>
    <col min="2" max="2" width="5.25" customWidth="1"/>
    <col min="3" max="3" width="15.5" customWidth="1"/>
    <col min="4" max="4" width="10.6640625" bestFit="1" customWidth="1"/>
    <col min="5" max="5" width="10.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43.5" x14ac:dyDescent="0.35">
      <c r="B5" s="138"/>
      <c r="C5" s="137"/>
      <c r="D5" s="147" t="s">
        <v>389</v>
      </c>
      <c r="E5" s="141" t="s">
        <v>382</v>
      </c>
      <c r="F5" s="144" t="s">
        <v>386</v>
      </c>
      <c r="G5" s="145" t="s">
        <v>390</v>
      </c>
      <c r="M5" s="138"/>
      <c r="N5" s="137"/>
      <c r="O5" s="147" t="s">
        <v>389</v>
      </c>
      <c r="P5" s="141" t="s">
        <v>382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389</v>
      </c>
      <c r="AA5" s="136" t="s">
        <v>382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P6/E$1*10^3</f>
        <v>1057.5121174293299</v>
      </c>
      <c r="F6" s="143">
        <f>D6-E6</f>
        <v>339.44718210078554</v>
      </c>
      <c r="G6" s="146">
        <f>F6/D6</f>
        <v>0.24299002999941574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 t="shared" ref="D7:D8" si="0">O7/D$1*10^3</f>
        <v>1395.5723211650477</v>
      </c>
      <c r="E7" s="142">
        <f t="shared" ref="E7:E8" si="1">P7/E$1*10^3</f>
        <v>1091.1469880868879</v>
      </c>
      <c r="F7" s="143">
        <f>D7-E7</f>
        <v>304.42533307815984</v>
      </c>
      <c r="G7" s="146">
        <f>F7/D7</f>
        <v>0.21813655119214484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 t="shared" si="0"/>
        <v>1255.0777540513418</v>
      </c>
      <c r="E8" s="142">
        <f t="shared" si="1"/>
        <v>1111.0455948014267</v>
      </c>
      <c r="F8" s="143">
        <f>D8-E8</f>
        <v>144.03215924991514</v>
      </c>
      <c r="G8" s="146">
        <f>F8/D8</f>
        <v>0.11475955078080619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2">B8+1</f>
        <v>4</v>
      </c>
      <c r="M9" s="118">
        <f t="shared" ref="M9:M11" si="3">M8+1</f>
        <v>4</v>
      </c>
      <c r="W9" s="118">
        <f t="shared" ref="W9:W11" si="4">W8+1</f>
        <v>4</v>
      </c>
    </row>
    <row r="10" spans="2:77" x14ac:dyDescent="0.35">
      <c r="B10" s="118">
        <f t="shared" si="2"/>
        <v>5</v>
      </c>
      <c r="M10" s="118">
        <f t="shared" si="3"/>
        <v>5</v>
      </c>
      <c r="W10" s="118">
        <f t="shared" si="4"/>
        <v>5</v>
      </c>
    </row>
    <row r="11" spans="2:77" x14ac:dyDescent="0.35">
      <c r="B11" s="118">
        <f t="shared" si="2"/>
        <v>6</v>
      </c>
      <c r="M11" s="118">
        <f t="shared" si="3"/>
        <v>6</v>
      </c>
      <c r="W11" s="118">
        <f t="shared" si="4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43.5" x14ac:dyDescent="0.35">
      <c r="B38" s="138"/>
      <c r="C38" s="137"/>
      <c r="D38" s="147" t="s">
        <v>389</v>
      </c>
      <c r="E38" s="141" t="s">
        <v>382</v>
      </c>
      <c r="F38" s="144" t="s">
        <v>386</v>
      </c>
      <c r="G38" s="145" t="s">
        <v>390</v>
      </c>
      <c r="M38" s="138"/>
      <c r="N38" s="137"/>
      <c r="O38" s="147" t="s">
        <v>389</v>
      </c>
      <c r="P38" s="141" t="s">
        <v>382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389</v>
      </c>
      <c r="AA38" s="136" t="s">
        <v>382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P39/E$1*10^3</f>
        <v>894.25382341573754</v>
      </c>
      <c r="F39" s="143">
        <f>D39-E39</f>
        <v>328.86991617098556</v>
      </c>
      <c r="G39" s="146">
        <f>F39/D39</f>
        <v>0.26887706086230184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 t="shared" ref="D40:D41" si="5">O40/D$1*10^3</f>
        <v>1284.3172818543751</v>
      </c>
      <c r="E40" s="142">
        <f t="shared" ref="E40:E41" si="6">P40/E$1*10^3</f>
        <v>999.30030458649674</v>
      </c>
      <c r="F40" s="143">
        <f>D40-E40</f>
        <v>285.01697726787836</v>
      </c>
      <c r="G40" s="146">
        <f>F40/D40</f>
        <v>0.22192100137152526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 t="shared" si="5"/>
        <v>1202.2725115748035</v>
      </c>
      <c r="E41" s="142">
        <f t="shared" si="6"/>
        <v>1025.6974485828932</v>
      </c>
      <c r="F41" s="143">
        <f>D41-E41</f>
        <v>176.57506299191027</v>
      </c>
      <c r="G41" s="146">
        <f>F41/D41</f>
        <v>0.14686775360157109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7">B41+1</f>
        <v>4</v>
      </c>
      <c r="C42" s="63" t="s">
        <v>394</v>
      </c>
      <c r="D42" s="148">
        <f>[1]Chart!$BF$14</f>
        <v>1284.4978583339707</v>
      </c>
      <c r="E42" s="142">
        <f>SUM([1]Chart!$BF$7:$BF$9)</f>
        <v>1044.4978583339707</v>
      </c>
      <c r="F42" s="143">
        <f>D42-E42</f>
        <v>240</v>
      </c>
      <c r="G42" s="146">
        <f>F42/D42</f>
        <v>0.18684344114928042</v>
      </c>
      <c r="M42" s="118">
        <f t="shared" ref="M42:M44" si="8">M41+1</f>
        <v>4</v>
      </c>
      <c r="N42" s="63" t="s">
        <v>394</v>
      </c>
      <c r="O42">
        <f>[1]Chart!$BF$17</f>
        <v>0</v>
      </c>
      <c r="W42" s="118">
        <f t="shared" ref="W42:W44" si="9">W41+1</f>
        <v>4</v>
      </c>
    </row>
    <row r="43" spans="2:44" x14ac:dyDescent="0.35">
      <c r="B43" s="118">
        <f t="shared" si="7"/>
        <v>5</v>
      </c>
      <c r="M43" s="118">
        <f t="shared" si="8"/>
        <v>5</v>
      </c>
      <c r="W43" s="118">
        <f t="shared" si="9"/>
        <v>5</v>
      </c>
    </row>
    <row r="44" spans="2:44" x14ac:dyDescent="0.35">
      <c r="B44" s="118">
        <f t="shared" si="7"/>
        <v>6</v>
      </c>
      <c r="M44" s="118">
        <f t="shared" si="8"/>
        <v>6</v>
      </c>
      <c r="W44" s="118">
        <f t="shared" si="9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43.5" x14ac:dyDescent="0.35">
      <c r="B69" s="138"/>
      <c r="C69" s="137"/>
      <c r="D69" s="147" t="s">
        <v>389</v>
      </c>
      <c r="E69" s="141" t="s">
        <v>382</v>
      </c>
      <c r="F69" s="144" t="s">
        <v>386</v>
      </c>
      <c r="G69" s="145" t="s">
        <v>390</v>
      </c>
      <c r="M69" s="138"/>
      <c r="N69" s="137"/>
      <c r="O69" s="147" t="s">
        <v>389</v>
      </c>
      <c r="P69" s="141" t="s">
        <v>382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389</v>
      </c>
      <c r="AA69" s="136" t="s">
        <v>382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P70/E$1*10^3</f>
        <v>946.1249985330254</v>
      </c>
      <c r="F70" s="143">
        <f>D70-E70</f>
        <v>278.14616946280842</v>
      </c>
      <c r="G70" s="146">
        <f>F70/D70</f>
        <v>0.22719326954186259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 t="shared" ref="D71:D72" si="10">O71/D$1*10^3</f>
        <v>1249.2972764950341</v>
      </c>
      <c r="E71" s="142">
        <f t="shared" ref="E71:E72" si="11">P71/E$1*10^3</f>
        <v>1037.2653185179495</v>
      </c>
      <c r="F71" s="143">
        <f>D71-E71</f>
        <v>212.03195797708463</v>
      </c>
      <c r="G71" s="146">
        <f>F71/D71</f>
        <v>0.16972097991916774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 t="shared" si="10"/>
        <v>1172.7982733847525</v>
      </c>
      <c r="E72" s="142">
        <f t="shared" si="11"/>
        <v>1018.7643348706455</v>
      </c>
      <c r="F72" s="143">
        <f>D72-E72</f>
        <v>154.03393851410704</v>
      </c>
      <c r="G72" s="146">
        <f>F72/D72</f>
        <v>0.13133881760377908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12">B72+1</f>
        <v>4</v>
      </c>
      <c r="M73" s="118">
        <f t="shared" ref="M73:M75" si="13">M72+1</f>
        <v>4</v>
      </c>
      <c r="W73" s="118">
        <f t="shared" ref="W73:W75" si="14">W72+1</f>
        <v>4</v>
      </c>
    </row>
    <row r="74" spans="2:44" x14ac:dyDescent="0.35">
      <c r="B74" s="118">
        <f t="shared" si="12"/>
        <v>5</v>
      </c>
      <c r="M74" s="118">
        <f t="shared" si="13"/>
        <v>5</v>
      </c>
      <c r="W74" s="118">
        <f t="shared" si="14"/>
        <v>5</v>
      </c>
    </row>
    <row r="75" spans="2:44" x14ac:dyDescent="0.35">
      <c r="B75" s="118">
        <f t="shared" si="12"/>
        <v>6</v>
      </c>
      <c r="M75" s="118">
        <f t="shared" si="13"/>
        <v>6</v>
      </c>
      <c r="W75" s="118">
        <f t="shared" si="14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43.5" x14ac:dyDescent="0.35">
      <c r="B100" s="138"/>
      <c r="C100" s="137"/>
      <c r="D100" s="147" t="s">
        <v>389</v>
      </c>
      <c r="E100" s="141" t="s">
        <v>382</v>
      </c>
      <c r="F100" s="144" t="s">
        <v>386</v>
      </c>
      <c r="G100" s="145" t="s">
        <v>390</v>
      </c>
      <c r="M100" s="138"/>
      <c r="N100" s="137"/>
      <c r="O100" s="147" t="s">
        <v>389</v>
      </c>
      <c r="P100" s="141" t="s">
        <v>382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389</v>
      </c>
      <c r="AA100" s="136" t="s">
        <v>382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P101/E$1*10^3</f>
        <v>1133.4912786680072</v>
      </c>
      <c r="F101" s="143">
        <f>D101-E101</f>
        <v>-64.499619517827114</v>
      </c>
      <c r="G101" s="146">
        <f>F101/D101</f>
        <v>-6.0336878183972542E-2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 t="shared" ref="D102:D103" si="15">O102/D$1*10^3</f>
        <v>1131.822916772503</v>
      </c>
      <c r="E102" s="142">
        <f t="shared" ref="E102:E103" si="16">P102/E$1*10^3</f>
        <v>998.10586743427757</v>
      </c>
      <c r="F102" s="143">
        <f>D102-E102</f>
        <v>133.71704933822548</v>
      </c>
      <c r="G102" s="146">
        <f>F102/D102</f>
        <v>0.11814308347769802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 t="shared" si="15"/>
        <v>1163.5204117498827</v>
      </c>
      <c r="E103" s="142">
        <f t="shared" si="16"/>
        <v>1055.1503658259592</v>
      </c>
      <c r="F103" s="143">
        <f>D103-E103</f>
        <v>108.3700459239235</v>
      </c>
      <c r="G103" s="146">
        <f>F103/D103</f>
        <v>9.3139789237508777E-2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7">B103+1</f>
        <v>4</v>
      </c>
      <c r="M104" s="118">
        <f t="shared" ref="M104:M106" si="18">M103+1</f>
        <v>4</v>
      </c>
      <c r="W104" s="118">
        <f t="shared" ref="W104:W106" si="19">W103+1</f>
        <v>4</v>
      </c>
    </row>
    <row r="105" spans="2:29" x14ac:dyDescent="0.35">
      <c r="B105" s="118">
        <f t="shared" si="17"/>
        <v>5</v>
      </c>
      <c r="M105" s="118">
        <f t="shared" si="18"/>
        <v>5</v>
      </c>
      <c r="W105" s="118">
        <f t="shared" si="19"/>
        <v>5</v>
      </c>
    </row>
    <row r="106" spans="2:29" x14ac:dyDescent="0.35">
      <c r="B106" s="118">
        <f t="shared" si="17"/>
        <v>6</v>
      </c>
      <c r="M106" s="118">
        <f t="shared" si="18"/>
        <v>6</v>
      </c>
      <c r="W106" s="118">
        <f t="shared" si="19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E251-BF05-40CA-B3E3-F9C9DDC0B10E}">
  <dimension ref="B1:BY124"/>
  <sheetViews>
    <sheetView topLeftCell="B41" zoomScale="81" zoomScaleNormal="81" workbookViewId="0">
      <selection activeCell="D39" sqref="D39"/>
    </sheetView>
  </sheetViews>
  <sheetFormatPr defaultRowHeight="14.5" x14ac:dyDescent="0.35"/>
  <cols>
    <col min="2" max="2" width="5.25" customWidth="1"/>
    <col min="3" max="3" width="15.5" customWidth="1"/>
    <col min="4" max="4" width="10.6640625" bestFit="1" customWidth="1"/>
    <col min="5" max="5" width="10.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43.5" x14ac:dyDescent="0.35">
      <c r="B5" s="138"/>
      <c r="C5" s="137"/>
      <c r="D5" s="147" t="s">
        <v>389</v>
      </c>
      <c r="E5" s="141" t="s">
        <v>382</v>
      </c>
      <c r="F5" s="144" t="s">
        <v>386</v>
      </c>
      <c r="G5" s="145" t="s">
        <v>390</v>
      </c>
      <c r="M5" s="138"/>
      <c r="N5" s="137"/>
      <c r="O5" s="147" t="s">
        <v>389</v>
      </c>
      <c r="P5" s="141" t="s">
        <v>382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389</v>
      </c>
      <c r="AA5" s="136" t="s">
        <v>382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P6/E$1*10^3</f>
        <v>1057.5121174293299</v>
      </c>
      <c r="F6" s="143">
        <f>D6-E6</f>
        <v>339.44718210078554</v>
      </c>
      <c r="G6" s="146">
        <f>F6/D6</f>
        <v>0.24299002999941574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 t="shared" ref="D7:E8" si="0">O7/D$1*10^3</f>
        <v>1395.5723211650477</v>
      </c>
      <c r="E7" s="142">
        <f t="shared" si="0"/>
        <v>1091.1469880868879</v>
      </c>
      <c r="F7" s="143">
        <f>D7-E7</f>
        <v>304.42533307815984</v>
      </c>
      <c r="G7" s="146">
        <f>F7/D7</f>
        <v>0.21813655119214484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 t="shared" si="0"/>
        <v>1255.0777540513418</v>
      </c>
      <c r="E8" s="142">
        <f t="shared" si="0"/>
        <v>1111.0455948014267</v>
      </c>
      <c r="F8" s="143">
        <f>D8-E8</f>
        <v>144.03215924991514</v>
      </c>
      <c r="G8" s="146">
        <f>F8/D8</f>
        <v>0.11475955078080619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1">B8+1</f>
        <v>4</v>
      </c>
      <c r="C9" s="63" t="s">
        <v>395</v>
      </c>
      <c r="D9" s="148">
        <f>[1]Chart!$BF$14</f>
        <v>1284.4978583339707</v>
      </c>
      <c r="E9" s="142">
        <f>SUM([1]Chart!$BF$7:$BF$9)</f>
        <v>1044.4978583339707</v>
      </c>
      <c r="F9" s="143">
        <f>D9-E9</f>
        <v>240</v>
      </c>
      <c r="G9" s="146">
        <f>F9/D9</f>
        <v>0.18684344114928042</v>
      </c>
      <c r="M9" s="118">
        <f t="shared" ref="M9:M11" si="2">M8+1</f>
        <v>4</v>
      </c>
      <c r="N9" s="63" t="s">
        <v>395</v>
      </c>
      <c r="O9" s="148">
        <f>[1]Chart!$BF$14</f>
        <v>1284.4978583339707</v>
      </c>
      <c r="P9" s="142">
        <f>SUM([1]Chart!$BF$7:$BF$9)</f>
        <v>1044.4978583339707</v>
      </c>
      <c r="Q9" s="143">
        <f>O9-P9</f>
        <v>240</v>
      </c>
      <c r="R9" s="146">
        <f>Q9/O9</f>
        <v>0.18684344114928042</v>
      </c>
      <c r="W9" s="118">
        <f t="shared" ref="W9:W11" si="3">W8+1</f>
        <v>4</v>
      </c>
    </row>
    <row r="10" spans="2:77" x14ac:dyDescent="0.35">
      <c r="B10" s="118">
        <f t="shared" si="1"/>
        <v>5</v>
      </c>
      <c r="M10" s="118">
        <f t="shared" si="2"/>
        <v>5</v>
      </c>
      <c r="W10" s="118">
        <f t="shared" si="3"/>
        <v>5</v>
      </c>
    </row>
    <row r="11" spans="2:77" x14ac:dyDescent="0.35">
      <c r="B11" s="118">
        <f t="shared" si="1"/>
        <v>6</v>
      </c>
      <c r="M11" s="118">
        <f t="shared" si="2"/>
        <v>6</v>
      </c>
      <c r="W11" s="118">
        <f t="shared" si="3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43.5" x14ac:dyDescent="0.35">
      <c r="B38" s="138"/>
      <c r="C38" s="137"/>
      <c r="D38" s="147" t="s">
        <v>389</v>
      </c>
      <c r="E38" s="141" t="s">
        <v>382</v>
      </c>
      <c r="F38" s="144" t="s">
        <v>386</v>
      </c>
      <c r="G38" s="145" t="s">
        <v>390</v>
      </c>
      <c r="M38" s="138"/>
      <c r="N38" s="137"/>
      <c r="O38" s="147" t="s">
        <v>389</v>
      </c>
      <c r="P38" s="141" t="s">
        <v>382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389</v>
      </c>
      <c r="AA38" s="136" t="s">
        <v>382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P39/E$1*10^3</f>
        <v>894.25382341573754</v>
      </c>
      <c r="F39" s="143">
        <f>D39-E39</f>
        <v>328.86991617098556</v>
      </c>
      <c r="G39" s="146">
        <f>F39/D39</f>
        <v>0.26887706086230184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 t="shared" ref="D40:E41" si="4">O40/D$1*10^3</f>
        <v>1284.3172818543751</v>
      </c>
      <c r="E40" s="142">
        <f t="shared" si="4"/>
        <v>999.30030458649674</v>
      </c>
      <c r="F40" s="143">
        <f>D40-E40</f>
        <v>285.01697726787836</v>
      </c>
      <c r="G40" s="146">
        <f>F40/D40</f>
        <v>0.22192100137152526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 t="shared" si="4"/>
        <v>1202.2725115748035</v>
      </c>
      <c r="E41" s="142">
        <f t="shared" si="4"/>
        <v>1025.6974485828932</v>
      </c>
      <c r="F41" s="143">
        <f>D41-E41</f>
        <v>176.57506299191027</v>
      </c>
      <c r="G41" s="146">
        <f>F41/D41</f>
        <v>0.14686775360157109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5">B41+1</f>
        <v>4</v>
      </c>
      <c r="C42" s="63" t="s">
        <v>395</v>
      </c>
      <c r="D42" s="148">
        <f>[1]Chart!$BF$53</f>
        <v>1234.6977895342607</v>
      </c>
      <c r="E42" s="142">
        <f>SUM([1]Chart!$BF$46:$BF$48)</f>
        <v>1024.6977895342609</v>
      </c>
      <c r="F42" s="143">
        <f>D42-E42</f>
        <v>209.99999999999977</v>
      </c>
      <c r="G42" s="146">
        <f>F42/D42</f>
        <v>0.17008210574282612</v>
      </c>
      <c r="M42" s="118">
        <f t="shared" ref="M42:M44" si="6">M41+1</f>
        <v>4</v>
      </c>
      <c r="N42" s="63" t="s">
        <v>394</v>
      </c>
      <c r="O42">
        <f>[1]Chart!$BF$17</f>
        <v>0</v>
      </c>
      <c r="W42" s="118">
        <f t="shared" ref="W42:W44" si="7">W41+1</f>
        <v>4</v>
      </c>
    </row>
    <row r="43" spans="2:44" x14ac:dyDescent="0.35">
      <c r="B43" s="118">
        <f t="shared" si="5"/>
        <v>5</v>
      </c>
      <c r="M43" s="118">
        <f t="shared" si="6"/>
        <v>5</v>
      </c>
      <c r="W43" s="118">
        <f t="shared" si="7"/>
        <v>5</v>
      </c>
    </row>
    <row r="44" spans="2:44" x14ac:dyDescent="0.35">
      <c r="B44" s="118">
        <f t="shared" si="5"/>
        <v>6</v>
      </c>
      <c r="M44" s="118">
        <f t="shared" si="6"/>
        <v>6</v>
      </c>
      <c r="W44" s="118">
        <f t="shared" si="7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43.5" x14ac:dyDescent="0.35">
      <c r="B69" s="138"/>
      <c r="C69" s="137"/>
      <c r="D69" s="147" t="s">
        <v>389</v>
      </c>
      <c r="E69" s="141" t="s">
        <v>382</v>
      </c>
      <c r="F69" s="144" t="s">
        <v>386</v>
      </c>
      <c r="G69" s="145" t="s">
        <v>390</v>
      </c>
      <c r="M69" s="138"/>
      <c r="N69" s="137"/>
      <c r="O69" s="147" t="s">
        <v>389</v>
      </c>
      <c r="P69" s="141" t="s">
        <v>382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389</v>
      </c>
      <c r="AA69" s="136" t="s">
        <v>382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P70/E$1*10^3</f>
        <v>946.1249985330254</v>
      </c>
      <c r="F70" s="143">
        <f>D70-E70</f>
        <v>278.14616946280842</v>
      </c>
      <c r="G70" s="146">
        <f>F70/D70</f>
        <v>0.22719326954186259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 t="shared" ref="D71:E72" si="8">O71/D$1*10^3</f>
        <v>1249.2972764950341</v>
      </c>
      <c r="E71" s="142">
        <f t="shared" si="8"/>
        <v>1037.2653185179495</v>
      </c>
      <c r="F71" s="143">
        <f>D71-E71</f>
        <v>212.03195797708463</v>
      </c>
      <c r="G71" s="146">
        <f>F71/D71</f>
        <v>0.16972097991916774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 t="shared" si="8"/>
        <v>1172.7982733847525</v>
      </c>
      <c r="E72" s="142">
        <f t="shared" si="8"/>
        <v>1018.7643348706455</v>
      </c>
      <c r="F72" s="143">
        <f>D72-E72</f>
        <v>154.03393851410704</v>
      </c>
      <c r="G72" s="146">
        <f>F72/D72</f>
        <v>0.13133881760377908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9">B72+1</f>
        <v>4</v>
      </c>
      <c r="C73" s="63" t="s">
        <v>395</v>
      </c>
      <c r="D73" s="148">
        <f>[1]Chart!$BF$89</f>
        <v>1156.6078351092156</v>
      </c>
      <c r="E73" s="142">
        <f>SUM([1]Chart!$BF$82:$BF$84)</f>
        <v>966.60783510921567</v>
      </c>
      <c r="F73" s="143">
        <f>D73-E73</f>
        <v>189.99999999999989</v>
      </c>
      <c r="G73" s="146">
        <f>F73/D73</f>
        <v>0.16427348512822296</v>
      </c>
      <c r="M73" s="118">
        <f t="shared" ref="M73:M75" si="10">M72+1</f>
        <v>4</v>
      </c>
      <c r="W73" s="118">
        <f t="shared" ref="W73:W75" si="11">W72+1</f>
        <v>4</v>
      </c>
    </row>
    <row r="74" spans="2:44" x14ac:dyDescent="0.35">
      <c r="B74" s="118">
        <f t="shared" si="9"/>
        <v>5</v>
      </c>
      <c r="M74" s="118">
        <f t="shared" si="10"/>
        <v>5</v>
      </c>
      <c r="W74" s="118">
        <f t="shared" si="11"/>
        <v>5</v>
      </c>
    </row>
    <row r="75" spans="2:44" x14ac:dyDescent="0.35">
      <c r="B75" s="118">
        <f t="shared" si="9"/>
        <v>6</v>
      </c>
      <c r="M75" s="118">
        <f t="shared" si="10"/>
        <v>6</v>
      </c>
      <c r="W75" s="118">
        <f t="shared" si="11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43.5" x14ac:dyDescent="0.35">
      <c r="B100" s="138"/>
      <c r="C100" s="137"/>
      <c r="D100" s="147" t="s">
        <v>389</v>
      </c>
      <c r="E100" s="141" t="s">
        <v>382</v>
      </c>
      <c r="F100" s="144" t="s">
        <v>386</v>
      </c>
      <c r="G100" s="145" t="s">
        <v>390</v>
      </c>
      <c r="M100" s="138"/>
      <c r="N100" s="137"/>
      <c r="O100" s="147" t="s">
        <v>389</v>
      </c>
      <c r="P100" s="141" t="s">
        <v>382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389</v>
      </c>
      <c r="AA100" s="136" t="s">
        <v>382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P101/E$1*10^3</f>
        <v>1133.4912786680072</v>
      </c>
      <c r="F101" s="143">
        <f>D101-E101</f>
        <v>-64.499619517827114</v>
      </c>
      <c r="G101" s="146">
        <f>F101/D101</f>
        <v>-6.0336878183972542E-2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 t="shared" ref="D102:E103" si="12">O102/D$1*10^3</f>
        <v>1131.822916772503</v>
      </c>
      <c r="E102" s="142">
        <f t="shared" si="12"/>
        <v>998.10586743427757</v>
      </c>
      <c r="F102" s="143">
        <f>D102-E102</f>
        <v>133.71704933822548</v>
      </c>
      <c r="G102" s="146">
        <f>F102/D102</f>
        <v>0.11814308347769802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 t="shared" si="12"/>
        <v>1163.5204117498827</v>
      </c>
      <c r="E103" s="142">
        <f t="shared" si="12"/>
        <v>1055.1503658259592</v>
      </c>
      <c r="F103" s="143">
        <f>D103-E103</f>
        <v>108.3700459239235</v>
      </c>
      <c r="G103" s="146">
        <f>F103/D103</f>
        <v>9.3139789237508777E-2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3">B103+1</f>
        <v>4</v>
      </c>
      <c r="C104" s="63" t="s">
        <v>395</v>
      </c>
      <c r="D104" s="148">
        <f>[1]Chart!$BF$134</f>
        <v>1134.590999848426</v>
      </c>
      <c r="E104" s="142">
        <f>SUM([1]Chart!$BF$127:$BF$129)</f>
        <v>944.59099984842601</v>
      </c>
      <c r="F104" s="143">
        <f>D104-E104</f>
        <v>190</v>
      </c>
      <c r="G104" s="146">
        <f>F104/D104</f>
        <v>0.16746122613821435</v>
      </c>
      <c r="M104" s="118">
        <f t="shared" ref="M104:M106" si="14">M103+1</f>
        <v>4</v>
      </c>
      <c r="W104" s="118">
        <f t="shared" ref="W104:W106" si="15">W103+1</f>
        <v>4</v>
      </c>
    </row>
    <row r="105" spans="2:29" x14ac:dyDescent="0.35">
      <c r="B105" s="118">
        <f t="shared" si="13"/>
        <v>5</v>
      </c>
      <c r="M105" s="118">
        <f t="shared" si="14"/>
        <v>5</v>
      </c>
      <c r="W105" s="118">
        <f t="shared" si="15"/>
        <v>5</v>
      </c>
    </row>
    <row r="106" spans="2:29" x14ac:dyDescent="0.35">
      <c r="B106" s="118">
        <f t="shared" si="13"/>
        <v>6</v>
      </c>
      <c r="M106" s="118">
        <f t="shared" si="14"/>
        <v>6</v>
      </c>
      <c r="W106" s="118">
        <f t="shared" si="15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AE30-8545-40CC-990C-2E5997E98030}">
  <dimension ref="B1:BY124"/>
  <sheetViews>
    <sheetView topLeftCell="A9" zoomScale="85" zoomScaleNormal="85" workbookViewId="0">
      <selection activeCell="G7" sqref="G7"/>
    </sheetView>
  </sheetViews>
  <sheetFormatPr defaultRowHeight="14.5" x14ac:dyDescent="0.35"/>
  <cols>
    <col min="2" max="2" width="5.25" customWidth="1"/>
    <col min="3" max="3" width="15.5" customWidth="1"/>
    <col min="4" max="4" width="10.6640625" bestFit="1" customWidth="1"/>
    <col min="5" max="5" width="10.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43.5" x14ac:dyDescent="0.35">
      <c r="B5" s="138"/>
      <c r="C5" s="137"/>
      <c r="D5" s="147" t="s">
        <v>389</v>
      </c>
      <c r="E5" s="141" t="s">
        <v>382</v>
      </c>
      <c r="F5" s="144" t="s">
        <v>386</v>
      </c>
      <c r="G5" s="145" t="s">
        <v>390</v>
      </c>
      <c r="M5" s="138"/>
      <c r="N5" s="137"/>
      <c r="O5" s="147" t="s">
        <v>389</v>
      </c>
      <c r="P5" s="141" t="s">
        <v>382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389</v>
      </c>
      <c r="AA5" s="136" t="s">
        <v>382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P6/E$1*10^3</f>
        <v>1057.5121174293299</v>
      </c>
      <c r="F6" s="143">
        <f>D6-E6</f>
        <v>339.44718210078554</v>
      </c>
      <c r="G6" s="146">
        <f>F6/D6</f>
        <v>0.24299002999941574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Chart!$BR$4</f>
        <v>0.21468931229240062</v>
      </c>
      <c r="AB6" s="114">
        <f>Z6-AA6</f>
        <v>34726.4910660975</v>
      </c>
      <c r="AC6" s="117">
        <f>AB6/Z6</f>
        <v>0.99999381774609419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 t="shared" ref="D7:E8" si="0">O7/D$1*10^3</f>
        <v>1395.5723211650477</v>
      </c>
      <c r="E7" s="142">
        <f t="shared" si="0"/>
        <v>1091.1469880868879</v>
      </c>
      <c r="F7" s="143">
        <f>D7-E7</f>
        <v>304.42533307815984</v>
      </c>
      <c r="G7" s="146">
        <f>F7/D7</f>
        <v>0.21813655119214484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 t="shared" si="0"/>
        <v>1255.0777540513418</v>
      </c>
      <c r="E8" s="142">
        <f t="shared" si="0"/>
        <v>1111.0455948014267</v>
      </c>
      <c r="F8" s="143">
        <f>D8-E8</f>
        <v>144.03215924991514</v>
      </c>
      <c r="G8" s="146">
        <f>F8/D8</f>
        <v>0.11475955078080619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1">B8+1</f>
        <v>4</v>
      </c>
      <c r="C9" s="63" t="s">
        <v>396</v>
      </c>
      <c r="D9" s="148">
        <f>[1]Chart!$BR$14</f>
        <v>1470</v>
      </c>
      <c r="E9" s="142">
        <f>SUM([1]Chart!$BR$7:$BR$9)</f>
        <v>1044.4978583339707</v>
      </c>
      <c r="F9" s="143">
        <f>D9-E9</f>
        <v>425.50214166602927</v>
      </c>
      <c r="G9" s="146">
        <f>F9/D9</f>
        <v>0.28945723922859135</v>
      </c>
      <c r="M9" s="118">
        <f t="shared" ref="M9:M11" si="2">M8+1</f>
        <v>4</v>
      </c>
      <c r="W9" s="118">
        <f t="shared" ref="W9:W11" si="3">W8+1</f>
        <v>4</v>
      </c>
    </row>
    <row r="10" spans="2:77" x14ac:dyDescent="0.35">
      <c r="B10" s="118">
        <f t="shared" si="1"/>
        <v>5</v>
      </c>
      <c r="M10" s="118">
        <f t="shared" si="2"/>
        <v>5</v>
      </c>
      <c r="W10" s="118">
        <f t="shared" si="3"/>
        <v>5</v>
      </c>
    </row>
    <row r="11" spans="2:77" x14ac:dyDescent="0.35">
      <c r="B11" s="118">
        <f t="shared" si="1"/>
        <v>6</v>
      </c>
      <c r="M11" s="118">
        <f t="shared" si="2"/>
        <v>6</v>
      </c>
      <c r="W11" s="118">
        <f t="shared" si="3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43.5" x14ac:dyDescent="0.35">
      <c r="B38" s="138"/>
      <c r="C38" s="137"/>
      <c r="D38" s="147" t="s">
        <v>389</v>
      </c>
      <c r="E38" s="141" t="s">
        <v>382</v>
      </c>
      <c r="F38" s="144" t="s">
        <v>386</v>
      </c>
      <c r="G38" s="145" t="s">
        <v>390</v>
      </c>
      <c r="M38" s="138"/>
      <c r="N38" s="137"/>
      <c r="O38" s="147" t="s">
        <v>389</v>
      </c>
      <c r="P38" s="141" t="s">
        <v>382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389</v>
      </c>
      <c r="AA38" s="136" t="s">
        <v>382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P39/E$1*10^3</f>
        <v>894.25382341573754</v>
      </c>
      <c r="F39" s="143">
        <f>D39-E39</f>
        <v>328.86991617098556</v>
      </c>
      <c r="G39" s="146">
        <f>F39/D39</f>
        <v>0.26887706086230184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Chart!$BR$5</f>
        <v>0.24154412638371991</v>
      </c>
      <c r="AB39" s="114">
        <f>Z39-AA39</f>
        <v>30405.124039088256</v>
      </c>
      <c r="AC39" s="117">
        <f>AB39/Z39</f>
        <v>0.99999205587166107</v>
      </c>
    </row>
    <row r="40" spans="2:44" x14ac:dyDescent="0.35">
      <c r="B40" s="42">
        <v>2</v>
      </c>
      <c r="C40" s="63">
        <v>2025</v>
      </c>
      <c r="D40" s="148">
        <f t="shared" ref="D40:E41" si="4">O40/D$1*10^3</f>
        <v>1284.3172818543751</v>
      </c>
      <c r="E40" s="142">
        <f t="shared" si="4"/>
        <v>999.30030458649674</v>
      </c>
      <c r="F40" s="143">
        <f>D40-E40</f>
        <v>285.01697726787836</v>
      </c>
      <c r="G40" s="146">
        <f>F40/D40</f>
        <v>0.22192100137152526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 t="shared" si="4"/>
        <v>1202.2725115748035</v>
      </c>
      <c r="E41" s="142">
        <f t="shared" si="4"/>
        <v>1025.6974485828932</v>
      </c>
      <c r="F41" s="143">
        <f>D41-E41</f>
        <v>176.57506299191027</v>
      </c>
      <c r="G41" s="146">
        <f>F41/D41</f>
        <v>0.14686775360157109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5">B41+1</f>
        <v>4</v>
      </c>
      <c r="C42" s="63" t="s">
        <v>396</v>
      </c>
      <c r="D42" s="148">
        <f>[1]Chart!$BR$53</f>
        <v>1410</v>
      </c>
      <c r="E42" s="142">
        <f>SUM([1]Chart!$BR$46:$BR$48)</f>
        <v>1024.6977895342609</v>
      </c>
      <c r="F42" s="143">
        <f>D42-E42</f>
        <v>385.30221046573911</v>
      </c>
      <c r="G42" s="146">
        <f>F42/D42</f>
        <v>0.27326397905371569</v>
      </c>
      <c r="M42" s="118">
        <f t="shared" ref="M42:M44" si="6">M41+1</f>
        <v>4</v>
      </c>
      <c r="N42" s="63" t="s">
        <v>394</v>
      </c>
      <c r="O42">
        <f>[1]Chart!$BR$17</f>
        <v>0</v>
      </c>
      <c r="W42" s="118">
        <f t="shared" ref="W42:W44" si="7">W41+1</f>
        <v>4</v>
      </c>
    </row>
    <row r="43" spans="2:44" x14ac:dyDescent="0.35">
      <c r="B43" s="118">
        <f t="shared" si="5"/>
        <v>5</v>
      </c>
      <c r="M43" s="118">
        <f t="shared" si="6"/>
        <v>5</v>
      </c>
      <c r="W43" s="118">
        <f t="shared" si="7"/>
        <v>5</v>
      </c>
    </row>
    <row r="44" spans="2:44" x14ac:dyDescent="0.35">
      <c r="B44" s="118">
        <f t="shared" si="5"/>
        <v>6</v>
      </c>
      <c r="M44" s="118">
        <f t="shared" si="6"/>
        <v>6</v>
      </c>
      <c r="W44" s="118">
        <f t="shared" si="7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Chart!$BR$2</f>
        <v>% BIÊN  LG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Chart!$BR$4</f>
        <v>0.21468931229240062</v>
      </c>
      <c r="AL66" s="116">
        <f>Chart!$BR$5</f>
        <v>0.24154412638371991</v>
      </c>
      <c r="AM66" s="116">
        <f>Chart!$BR$6</f>
        <v>0.19830199203232035</v>
      </c>
      <c r="AN66" s="116">
        <f>Chart!$BR$7</f>
        <v>-9.9977432275749178E-2</v>
      </c>
      <c r="AO66" s="116">
        <f>Chart!$BR$8</f>
        <v>-0.17446070291654459</v>
      </c>
      <c r="AP66" s="116">
        <f>Chart!$BR$9</f>
        <v>-0.30591295252115147</v>
      </c>
      <c r="AQ66" s="116">
        <f>Chart!$BR$10</f>
        <v>0</v>
      </c>
      <c r="AR66" s="116">
        <f>Chart!$BR$11</f>
        <v>-0.3890293231123918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43.5" x14ac:dyDescent="0.35">
      <c r="B69" s="138"/>
      <c r="C69" s="137"/>
      <c r="D69" s="147" t="s">
        <v>389</v>
      </c>
      <c r="E69" s="141" t="s">
        <v>382</v>
      </c>
      <c r="F69" s="144" t="s">
        <v>386</v>
      </c>
      <c r="G69" s="145" t="s">
        <v>390</v>
      </c>
      <c r="M69" s="138"/>
      <c r="N69" s="137"/>
      <c r="O69" s="147" t="s">
        <v>389</v>
      </c>
      <c r="P69" s="141" t="s">
        <v>382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389</v>
      </c>
      <c r="AA69" s="136" t="s">
        <v>382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P70/E$1*10^3</f>
        <v>946.1249985330254</v>
      </c>
      <c r="F70" s="143">
        <f>D70-E70</f>
        <v>278.14616946280842</v>
      </c>
      <c r="G70" s="146">
        <f>F70/D70</f>
        <v>0.22719326954186259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Chart!$BR$6</f>
        <v>0.19830199203232035</v>
      </c>
      <c r="AB70" s="114">
        <f>Z70-AA70</f>
        <v>30433.690953137735</v>
      </c>
      <c r="AC70" s="117">
        <f>AB70/Z70</f>
        <v>0.99999348417185951</v>
      </c>
    </row>
    <row r="71" spans="2:44" x14ac:dyDescent="0.35">
      <c r="B71" s="42">
        <v>2</v>
      </c>
      <c r="C71" s="63">
        <v>2025</v>
      </c>
      <c r="D71" s="148">
        <f t="shared" ref="D71:E72" si="8">O71/D$1*10^3</f>
        <v>1249.2972764950341</v>
      </c>
      <c r="E71" s="142">
        <f t="shared" si="8"/>
        <v>1037.2653185179495</v>
      </c>
      <c r="F71" s="143">
        <f>D71-E71</f>
        <v>212.03195797708463</v>
      </c>
      <c r="G71" s="146">
        <f>F71/D71</f>
        <v>0.16972097991916774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 t="shared" si="8"/>
        <v>1172.7982733847525</v>
      </c>
      <c r="E72" s="142">
        <f t="shared" si="8"/>
        <v>1018.7643348706455</v>
      </c>
      <c r="F72" s="143">
        <f>D72-E72</f>
        <v>154.03393851410704</v>
      </c>
      <c r="G72" s="146">
        <f>F72/D72</f>
        <v>0.13133881760377908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9">B72+1</f>
        <v>4</v>
      </c>
      <c r="C73" s="63" t="s">
        <v>396</v>
      </c>
      <c r="D73" s="148">
        <f>[1]Chart!$BR$89</f>
        <v>1380</v>
      </c>
      <c r="E73" s="142">
        <f>SUM([1]Chart!$BR$82:$BR$84)</f>
        <v>966.60783510921567</v>
      </c>
      <c r="F73" s="143">
        <f>D73-E73</f>
        <v>413.39216489078433</v>
      </c>
      <c r="G73" s="146">
        <f>F73/D73</f>
        <v>0.29955953977593069</v>
      </c>
      <c r="M73" s="118">
        <f t="shared" ref="M73:M75" si="10">M72+1</f>
        <v>4</v>
      </c>
      <c r="W73" s="118">
        <f t="shared" ref="W73:W75" si="11">W72+1</f>
        <v>4</v>
      </c>
    </row>
    <row r="74" spans="2:44" x14ac:dyDescent="0.35">
      <c r="B74" s="118">
        <f t="shared" si="9"/>
        <v>5</v>
      </c>
      <c r="M74" s="118">
        <f t="shared" si="10"/>
        <v>5</v>
      </c>
      <c r="W74" s="118">
        <f t="shared" si="11"/>
        <v>5</v>
      </c>
    </row>
    <row r="75" spans="2:44" x14ac:dyDescent="0.35">
      <c r="B75" s="118">
        <f t="shared" si="9"/>
        <v>6</v>
      </c>
      <c r="M75" s="118">
        <f t="shared" si="10"/>
        <v>6</v>
      </c>
      <c r="W75" s="118">
        <f t="shared" si="11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43.5" x14ac:dyDescent="0.35">
      <c r="B100" s="138"/>
      <c r="C100" s="137"/>
      <c r="D100" s="147" t="s">
        <v>389</v>
      </c>
      <c r="E100" s="141" t="s">
        <v>382</v>
      </c>
      <c r="F100" s="144" t="s">
        <v>386</v>
      </c>
      <c r="G100" s="145" t="s">
        <v>390</v>
      </c>
      <c r="M100" s="138"/>
      <c r="N100" s="137"/>
      <c r="O100" s="147" t="s">
        <v>389</v>
      </c>
      <c r="P100" s="141" t="s">
        <v>382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389</v>
      </c>
      <c r="AA100" s="136" t="s">
        <v>382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P101/E$1*10^3</f>
        <v>1133.4912786680072</v>
      </c>
      <c r="F101" s="143">
        <f>D101-E101</f>
        <v>-64.499619517827114</v>
      </c>
      <c r="G101" s="146">
        <f>F101/D101</f>
        <v>-6.0336878183972542E-2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Chart!$BR$7</f>
        <v>-9.9977432275749178E-2</v>
      </c>
      <c r="AB101" s="114">
        <f>Z101-AA101</f>
        <v>26573.929876973551</v>
      </c>
      <c r="AC101" s="117">
        <f>AB101/Z101</f>
        <v>1.000003762251533</v>
      </c>
    </row>
    <row r="102" spans="2:29" x14ac:dyDescent="0.35">
      <c r="B102" s="42">
        <v>2</v>
      </c>
      <c r="C102" s="63">
        <v>2025</v>
      </c>
      <c r="D102" s="148">
        <f t="shared" ref="D102:E103" si="12">O102/D$1*10^3</f>
        <v>1131.822916772503</v>
      </c>
      <c r="E102" s="142">
        <f t="shared" si="12"/>
        <v>998.10586743427757</v>
      </c>
      <c r="F102" s="143">
        <f>D102-E102</f>
        <v>133.71704933822548</v>
      </c>
      <c r="G102" s="146">
        <f>F102/D102</f>
        <v>0.11814308347769802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 t="shared" si="12"/>
        <v>1163.5204117498827</v>
      </c>
      <c r="E103" s="142">
        <f t="shared" si="12"/>
        <v>1055.1503658259592</v>
      </c>
      <c r="F103" s="143">
        <f>D103-E103</f>
        <v>108.3700459239235</v>
      </c>
      <c r="G103" s="146">
        <f>F103/D103</f>
        <v>9.3139789237508777E-2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3">B103+1</f>
        <v>4</v>
      </c>
      <c r="C104" s="63" t="s">
        <v>396</v>
      </c>
      <c r="D104" s="148">
        <f>[1]Chart!$BR$134</f>
        <v>1310</v>
      </c>
      <c r="E104" s="142">
        <f>SUM([1]Chart!$BR$127:$BR$129)</f>
        <v>944.59099984842601</v>
      </c>
      <c r="F104" s="143">
        <f>D104-E104</f>
        <v>365.40900015157399</v>
      </c>
      <c r="G104" s="146">
        <f>F104/D104</f>
        <v>0.27893816805463661</v>
      </c>
      <c r="M104" s="118">
        <f t="shared" ref="M104:M106" si="14">M103+1</f>
        <v>4</v>
      </c>
      <c r="W104" s="118">
        <f t="shared" ref="W104:W106" si="15">W103+1</f>
        <v>4</v>
      </c>
    </row>
    <row r="105" spans="2:29" x14ac:dyDescent="0.35">
      <c r="B105" s="118">
        <f t="shared" si="13"/>
        <v>5</v>
      </c>
      <c r="M105" s="118">
        <f t="shared" si="14"/>
        <v>5</v>
      </c>
      <c r="W105" s="118">
        <f t="shared" si="15"/>
        <v>5</v>
      </c>
    </row>
    <row r="106" spans="2:29" x14ac:dyDescent="0.35">
      <c r="B106" s="118">
        <f t="shared" si="13"/>
        <v>6</v>
      </c>
      <c r="M106" s="118">
        <f t="shared" si="14"/>
        <v>6</v>
      </c>
      <c r="W106" s="118">
        <f t="shared" si="15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52FA-981E-4514-BC07-A1FE7E580DC2}">
  <dimension ref="B1:BY187"/>
  <sheetViews>
    <sheetView topLeftCell="A22" zoomScaleNormal="100" workbookViewId="0">
      <selection activeCell="J9" sqref="J9"/>
    </sheetView>
  </sheetViews>
  <sheetFormatPr defaultRowHeight="14.5" x14ac:dyDescent="0.35"/>
  <cols>
    <col min="2" max="2" width="5.25" customWidth="1"/>
    <col min="3" max="3" width="15.5" customWidth="1"/>
    <col min="4" max="4" width="9.08203125" customWidth="1"/>
    <col min="5" max="5" width="9.914062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19" max="22" width="13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28" max="28" width="8.9140625" bestFit="1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29" x14ac:dyDescent="0.35">
      <c r="B5" s="138"/>
      <c r="C5" s="137"/>
      <c r="D5" s="147" t="s">
        <v>398</v>
      </c>
      <c r="E5" s="141" t="s">
        <v>399</v>
      </c>
      <c r="F5" s="144" t="s">
        <v>386</v>
      </c>
      <c r="G5" s="145" t="s">
        <v>390</v>
      </c>
      <c r="M5" s="138"/>
      <c r="N5" s="137"/>
      <c r="O5" s="147" t="s">
        <v>392</v>
      </c>
      <c r="P5" s="141" t="s">
        <v>397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392</v>
      </c>
      <c r="AA5" s="136" t="s">
        <v>397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P6/D$1*10^3</f>
        <v>1097.0470682135215</v>
      </c>
      <c r="F6" s="143">
        <f t="shared" ref="F6:F11" si="0">D6-E6</f>
        <v>299.91223131659399</v>
      </c>
      <c r="G6" s="146">
        <f>F6/D6</f>
        <v>0.21468931229240049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>O7/E$1*10^3</f>
        <v>1345.2792347226514</v>
      </c>
      <c r="E7" s="142">
        <f t="shared" ref="E7" si="1">P7/E$1*10^3</f>
        <v>1091.1469880868879</v>
      </c>
      <c r="F7" s="143">
        <f t="shared" si="0"/>
        <v>254.13224663576352</v>
      </c>
      <c r="G7" s="146">
        <f>F7/D7</f>
        <v>0.1889066894637354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>O8/F$1*10^3</f>
        <v>1191.5563229628797</v>
      </c>
      <c r="E8" s="142">
        <f>P8/F$1*10^3</f>
        <v>1094.2479311948205</v>
      </c>
      <c r="F8" s="143">
        <f t="shared" si="0"/>
        <v>97.308391768059209</v>
      </c>
      <c r="G8" s="146">
        <f>F8/D8</f>
        <v>8.166495355091212E-2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2">B8+1</f>
        <v>4</v>
      </c>
      <c r="C9" s="63" t="s">
        <v>395</v>
      </c>
      <c r="D9" s="148">
        <f>[1]Chart!$BF$14</f>
        <v>1284.4978583339707</v>
      </c>
      <c r="E9" s="142">
        <f>SUM([1]Chart!$BF$7:$BF$9)</f>
        <v>1044.4978583339707</v>
      </c>
      <c r="F9" s="143">
        <f t="shared" si="0"/>
        <v>240</v>
      </c>
      <c r="G9" s="146">
        <f>F9/D9</f>
        <v>0.18684344114928042</v>
      </c>
      <c r="M9" s="118">
        <f t="shared" ref="M9:M11" si="3">M8+1</f>
        <v>4</v>
      </c>
      <c r="N9" s="63" t="s">
        <v>395</v>
      </c>
      <c r="O9" s="148">
        <f>D9*26.5</f>
        <v>34039.193245850227</v>
      </c>
      <c r="P9" s="142">
        <f>E9*26.5</f>
        <v>27679.193245850223</v>
      </c>
      <c r="Q9" s="143">
        <f t="shared" ref="Q9:Q10" si="4">O9-P9</f>
        <v>6360.0000000000036</v>
      </c>
      <c r="R9" s="146">
        <f t="shared" ref="R9:R10" si="5">Q9/O9</f>
        <v>0.1868434411492805</v>
      </c>
      <c r="W9" s="118">
        <f t="shared" ref="W9:W11" si="6">W8+1</f>
        <v>4</v>
      </c>
    </row>
    <row r="10" spans="2:77" x14ac:dyDescent="0.35">
      <c r="B10" s="118">
        <f t="shared" si="2"/>
        <v>5</v>
      </c>
      <c r="C10" s="63" t="s">
        <v>396</v>
      </c>
      <c r="D10" s="148">
        <f>[1]Chart!$BR$14</f>
        <v>1470</v>
      </c>
      <c r="E10" s="142">
        <v>1033</v>
      </c>
      <c r="F10" s="143">
        <f t="shared" si="0"/>
        <v>437</v>
      </c>
      <c r="G10" s="146">
        <f>F10/D10</f>
        <v>0.29727891156462583</v>
      </c>
      <c r="M10" s="118">
        <f t="shared" si="3"/>
        <v>5</v>
      </c>
      <c r="N10" s="63" t="s">
        <v>396</v>
      </c>
      <c r="O10" s="148">
        <f>D10*26.5</f>
        <v>38955</v>
      </c>
      <c r="P10" s="142">
        <f>E10*26.5</f>
        <v>27374.5</v>
      </c>
      <c r="Q10" s="143">
        <f t="shared" si="4"/>
        <v>11580.5</v>
      </c>
      <c r="R10" s="146">
        <f t="shared" si="5"/>
        <v>0.29727891156462583</v>
      </c>
      <c r="W10" s="118">
        <f t="shared" si="6"/>
        <v>5</v>
      </c>
    </row>
    <row r="11" spans="2:77" x14ac:dyDescent="0.35">
      <c r="B11" s="118">
        <f t="shared" si="2"/>
        <v>6</v>
      </c>
      <c r="C11" s="63" t="s">
        <v>424</v>
      </c>
      <c r="F11" s="143">
        <f t="shared" si="0"/>
        <v>0</v>
      </c>
      <c r="M11" s="118">
        <f t="shared" si="3"/>
        <v>6</v>
      </c>
      <c r="W11" s="118">
        <f t="shared" si="6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29" x14ac:dyDescent="0.35">
      <c r="B38" s="138"/>
      <c r="C38" s="137"/>
      <c r="D38" s="147" t="s">
        <v>392</v>
      </c>
      <c r="E38" s="141" t="s">
        <v>397</v>
      </c>
      <c r="F38" s="144" t="s">
        <v>386</v>
      </c>
      <c r="G38" s="145" t="s">
        <v>390</v>
      </c>
      <c r="M38" s="138"/>
      <c r="N38" s="137"/>
      <c r="O38" s="147" t="s">
        <v>392</v>
      </c>
      <c r="P38" s="141" t="s">
        <v>397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392</v>
      </c>
      <c r="AA38" s="136" t="s">
        <v>397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P39/D$1*10^3</f>
        <v>927.6853844490596</v>
      </c>
      <c r="F39" s="143">
        <f>D39-E39</f>
        <v>295.43835513766351</v>
      </c>
      <c r="G39" s="146">
        <f>F39/D39</f>
        <v>0.24154412638371986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>O40/E$1*10^3</f>
        <v>1238.0335607629145</v>
      </c>
      <c r="E40" s="142">
        <f>P40/E$1*10^3</f>
        <v>999.30030458649674</v>
      </c>
      <c r="F40" s="143">
        <f>D40-E40</f>
        <v>238.73325617641774</v>
      </c>
      <c r="G40" s="146">
        <f>F40/D40</f>
        <v>0.19283262081304398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>O41/F$1*10^3</f>
        <v>1141.4236356808344</v>
      </c>
      <c r="E41" s="142">
        <f>P41/F$1*10^3</f>
        <v>1010.1901455666484</v>
      </c>
      <c r="F41" s="143">
        <f>D41-E41</f>
        <v>131.233490114186</v>
      </c>
      <c r="G41" s="146">
        <f>F41/D41</f>
        <v>0.11497351729177052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7">B41+1</f>
        <v>4</v>
      </c>
      <c r="C42" s="63" t="s">
        <v>395</v>
      </c>
      <c r="D42" s="148">
        <f>[1]Chart!$BF$53</f>
        <v>1234.6977895342607</v>
      </c>
      <c r="E42" s="142">
        <f>SUM([1]Chart!$BF$46:$BF$48)</f>
        <v>1024.6977895342609</v>
      </c>
      <c r="F42" s="143">
        <f>D42-E42</f>
        <v>209.99999999999977</v>
      </c>
      <c r="G42" s="146">
        <f>F42/D42</f>
        <v>0.17008210574282612</v>
      </c>
      <c r="M42" s="118">
        <f t="shared" ref="M42:M44" si="8">M41+1</f>
        <v>4</v>
      </c>
      <c r="N42" s="63" t="s">
        <v>395</v>
      </c>
      <c r="O42" s="148">
        <f>D42*26.5</f>
        <v>32719.491422657906</v>
      </c>
      <c r="P42" s="142">
        <f>E42*26.5</f>
        <v>27154.491422657913</v>
      </c>
      <c r="Q42" s="143">
        <f t="shared" ref="Q42:Q43" si="9">O42-P42</f>
        <v>5564.9999999999927</v>
      </c>
      <c r="R42" s="146">
        <f t="shared" ref="R42:R43" si="10">Q42/O42</f>
        <v>0.17008210574282606</v>
      </c>
      <c r="W42" s="118">
        <f t="shared" ref="W42:W44" si="11">W41+1</f>
        <v>4</v>
      </c>
    </row>
    <row r="43" spans="2:44" x14ac:dyDescent="0.35">
      <c r="B43" s="118">
        <f t="shared" si="7"/>
        <v>5</v>
      </c>
      <c r="C43" s="63" t="s">
        <v>396</v>
      </c>
      <c r="D43" s="148">
        <f>[1]Chart!$BR$53</f>
        <v>1410</v>
      </c>
      <c r="E43" s="142">
        <v>1020</v>
      </c>
      <c r="F43" s="143">
        <f>D43-E43</f>
        <v>390</v>
      </c>
      <c r="G43" s="146">
        <f>F43/D43</f>
        <v>0.27659574468085107</v>
      </c>
      <c r="M43" s="118">
        <f t="shared" si="8"/>
        <v>5</v>
      </c>
      <c r="N43" s="63" t="s">
        <v>396</v>
      </c>
      <c r="O43" s="148">
        <f>D43*26.5</f>
        <v>37365</v>
      </c>
      <c r="P43" s="142">
        <f>E43*26.5</f>
        <v>27030</v>
      </c>
      <c r="Q43" s="143">
        <f t="shared" si="9"/>
        <v>10335</v>
      </c>
      <c r="R43" s="146">
        <f t="shared" si="10"/>
        <v>0.27659574468085107</v>
      </c>
      <c r="W43" s="118">
        <f t="shared" si="11"/>
        <v>5</v>
      </c>
    </row>
    <row r="44" spans="2:44" x14ac:dyDescent="0.35">
      <c r="B44" s="118">
        <f t="shared" si="7"/>
        <v>6</v>
      </c>
      <c r="M44" s="118">
        <f t="shared" si="8"/>
        <v>6</v>
      </c>
      <c r="W44" s="118">
        <f t="shared" si="11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29" x14ac:dyDescent="0.35">
      <c r="B69" s="138"/>
      <c r="C69" s="137"/>
      <c r="D69" s="147" t="s">
        <v>392</v>
      </c>
      <c r="E69" s="141" t="s">
        <v>397</v>
      </c>
      <c r="F69" s="144" t="s">
        <v>386</v>
      </c>
      <c r="G69" s="145" t="s">
        <v>390</v>
      </c>
      <c r="M69" s="138"/>
      <c r="N69" s="137"/>
      <c r="O69" s="147" t="s">
        <v>392</v>
      </c>
      <c r="P69" s="141" t="s">
        <v>397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392</v>
      </c>
      <c r="AA69" s="136" t="s">
        <v>397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P70/D$1*10^3</f>
        <v>981.49575659452444</v>
      </c>
      <c r="F70" s="143">
        <f>D70-E70</f>
        <v>242.77541140130938</v>
      </c>
      <c r="G70" s="146">
        <f>F70/D70</f>
        <v>0.19830199203232035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>O71/E$1*10^3</f>
        <v>1204.2755925836173</v>
      </c>
      <c r="E71" s="142">
        <f>P71/E$1*10^3</f>
        <v>1037.2653185179495</v>
      </c>
      <c r="F71" s="143">
        <f>D71-E71</f>
        <v>167.01027406566777</v>
      </c>
      <c r="G71" s="146">
        <f>F71/D71</f>
        <v>0.13868110845572224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>O72/F$1*10^3</f>
        <v>1113.441134384399</v>
      </c>
      <c r="E72" s="142">
        <f>P72/F$1*10^3</f>
        <v>1003.3618521357912</v>
      </c>
      <c r="F72" s="143">
        <f>D72-E72</f>
        <v>110.0792822486078</v>
      </c>
      <c r="G72" s="146">
        <f>F72/D72</f>
        <v>9.8864034073492896E-2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12">B72+1</f>
        <v>4</v>
      </c>
      <c r="C73" s="63" t="s">
        <v>395</v>
      </c>
      <c r="D73" s="148">
        <f>[1]Chart!$BF$89</f>
        <v>1156.6078351092156</v>
      </c>
      <c r="E73" s="142">
        <f>SUM([1]Chart!$BF$82:$BF$84)</f>
        <v>966.60783510921567</v>
      </c>
      <c r="F73" s="143">
        <f>D73-E73</f>
        <v>189.99999999999989</v>
      </c>
      <c r="G73" s="146">
        <f>F73/D73</f>
        <v>0.16427348512822296</v>
      </c>
      <c r="M73" s="118">
        <f t="shared" ref="M73:M75" si="13">M72+1</f>
        <v>4</v>
      </c>
      <c r="N73" s="63" t="s">
        <v>395</v>
      </c>
      <c r="O73" s="148">
        <f>D73*26.5</f>
        <v>30650.107630394214</v>
      </c>
      <c r="P73" s="142">
        <f>E73*26.5</f>
        <v>25615.107630394214</v>
      </c>
      <c r="Q73" s="143">
        <f t="shared" ref="Q73:Q74" si="14">O73-P73</f>
        <v>5035</v>
      </c>
      <c r="R73" s="146">
        <f t="shared" ref="R73:R74" si="15">Q73/O73</f>
        <v>0.16427348512822307</v>
      </c>
      <c r="W73" s="118">
        <f t="shared" ref="W73:W75" si="16">W72+1</f>
        <v>4</v>
      </c>
    </row>
    <row r="74" spans="2:44" x14ac:dyDescent="0.35">
      <c r="B74" s="118">
        <f t="shared" si="12"/>
        <v>5</v>
      </c>
      <c r="C74" s="63" t="s">
        <v>396</v>
      </c>
      <c r="D74" s="148">
        <f>[1]Chart!$BR$89</f>
        <v>1380</v>
      </c>
      <c r="E74" s="142">
        <v>1012</v>
      </c>
      <c r="F74" s="143">
        <f>D74-E74</f>
        <v>368</v>
      </c>
      <c r="G74" s="146">
        <f>F74/D74</f>
        <v>0.26666666666666666</v>
      </c>
      <c r="M74" s="118">
        <f t="shared" si="13"/>
        <v>5</v>
      </c>
      <c r="N74" s="63" t="s">
        <v>396</v>
      </c>
      <c r="O74" s="148">
        <f>D74*26.5</f>
        <v>36570</v>
      </c>
      <c r="P74" s="142">
        <f>E74*26.5</f>
        <v>26818</v>
      </c>
      <c r="Q74" s="143">
        <f t="shared" si="14"/>
        <v>9752</v>
      </c>
      <c r="R74" s="146">
        <f t="shared" si="15"/>
        <v>0.26666666666666666</v>
      </c>
      <c r="W74" s="118">
        <f t="shared" si="16"/>
        <v>5</v>
      </c>
    </row>
    <row r="75" spans="2:44" x14ac:dyDescent="0.35">
      <c r="B75" s="118">
        <f t="shared" si="12"/>
        <v>6</v>
      </c>
      <c r="M75" s="118">
        <f t="shared" si="13"/>
        <v>6</v>
      </c>
      <c r="W75" s="118">
        <f t="shared" si="16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29" x14ac:dyDescent="0.35">
      <c r="B100" s="138"/>
      <c r="C100" s="137"/>
      <c r="D100" s="147" t="s">
        <v>392</v>
      </c>
      <c r="E100" s="141" t="s">
        <v>397</v>
      </c>
      <c r="F100" s="144" t="s">
        <v>386</v>
      </c>
      <c r="G100" s="145" t="s">
        <v>390</v>
      </c>
      <c r="M100" s="138"/>
      <c r="N100" s="137"/>
      <c r="O100" s="147" t="s">
        <v>392</v>
      </c>
      <c r="P100" s="141" t="s">
        <v>397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392</v>
      </c>
      <c r="AA100" s="136" t="s">
        <v>397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P101/D$1*10^3</f>
        <v>1175.8667003562077</v>
      </c>
      <c r="F101" s="143">
        <f>D101-E101</f>
        <v>-106.87504120602762</v>
      </c>
      <c r="G101" s="146">
        <f>F101/D101</f>
        <v>-9.9977432275748929E-2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>O102/E$1*10^3</f>
        <v>1091.0347276350142</v>
      </c>
      <c r="E102" s="142">
        <f>P102/E$1*10^3</f>
        <v>998.10586743427757</v>
      </c>
      <c r="F102" s="143">
        <f>D102-E102</f>
        <v>92.928860200736608</v>
      </c>
      <c r="G102" s="146">
        <f>F102/D102</f>
        <v>8.5174979170621112E-2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>O103/F$1*10^3</f>
        <v>1104.632839711883</v>
      </c>
      <c r="E103" s="142">
        <f>P103/F$1*10^3</f>
        <v>1039.1977703767152</v>
      </c>
      <c r="F103" s="143">
        <f>D103-E103</f>
        <v>65.435069335167782</v>
      </c>
      <c r="G103" s="146">
        <f>F103/D103</f>
        <v>5.9236940078872681E-2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7">B103+1</f>
        <v>4</v>
      </c>
      <c r="C104" s="63" t="s">
        <v>395</v>
      </c>
      <c r="D104" s="148">
        <f>[1]Chart!$BF$134</f>
        <v>1134.590999848426</v>
      </c>
      <c r="E104" s="142">
        <f>SUM([1]Chart!$BF$127:$BF$129)</f>
        <v>944.59099984842601</v>
      </c>
      <c r="F104" s="143">
        <f>D104-E104</f>
        <v>190</v>
      </c>
      <c r="G104" s="146">
        <f>F104/D104</f>
        <v>0.16746122613821435</v>
      </c>
      <c r="M104" s="118">
        <f t="shared" ref="M104:M106" si="18">M103+1</f>
        <v>4</v>
      </c>
      <c r="N104" s="63" t="s">
        <v>395</v>
      </c>
      <c r="O104" s="148">
        <f>D104*26.5</f>
        <v>30066.661495983288</v>
      </c>
      <c r="P104" s="142">
        <f>E104*26.5</f>
        <v>25031.661495983288</v>
      </c>
      <c r="Q104" s="143">
        <f t="shared" ref="Q104:Q105" si="19">O104-P104</f>
        <v>5035</v>
      </c>
      <c r="R104" s="146">
        <f t="shared" ref="R104:R105" si="20">Q104/O104</f>
        <v>0.16746122613821438</v>
      </c>
      <c r="W104" s="118">
        <f t="shared" ref="W104:W106" si="21">W103+1</f>
        <v>4</v>
      </c>
    </row>
    <row r="105" spans="2:29" x14ac:dyDescent="0.35">
      <c r="B105" s="118">
        <f t="shared" si="17"/>
        <v>5</v>
      </c>
      <c r="C105" s="63" t="s">
        <v>396</v>
      </c>
      <c r="D105" s="148">
        <f>[1]Chart!$BR$134</f>
        <v>1310</v>
      </c>
      <c r="E105" s="142">
        <f>SUM([1]Chart!$BR$127:$BR$129)</f>
        <v>944.59099984842601</v>
      </c>
      <c r="F105" s="143">
        <f>D105-E105</f>
        <v>365.40900015157399</v>
      </c>
      <c r="G105" s="146">
        <f>F105/D105</f>
        <v>0.27893816805463661</v>
      </c>
      <c r="M105" s="118">
        <f t="shared" si="18"/>
        <v>5</v>
      </c>
      <c r="N105" s="63" t="s">
        <v>396</v>
      </c>
      <c r="O105" s="148">
        <f>D105*26.5</f>
        <v>34715</v>
      </c>
      <c r="P105" s="142">
        <f>E105*26.5</f>
        <v>25031.661495983288</v>
      </c>
      <c r="Q105" s="143">
        <f t="shared" si="19"/>
        <v>9683.3385040167122</v>
      </c>
      <c r="R105" s="146">
        <f t="shared" si="20"/>
        <v>0.27893816805463667</v>
      </c>
      <c r="W105" s="118">
        <f t="shared" si="21"/>
        <v>5</v>
      </c>
    </row>
    <row r="106" spans="2:29" x14ac:dyDescent="0.35">
      <c r="B106" s="118">
        <f t="shared" si="17"/>
        <v>6</v>
      </c>
      <c r="M106" s="118">
        <f t="shared" si="18"/>
        <v>6</v>
      </c>
      <c r="W106" s="118">
        <f t="shared" si="21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  <row r="130" spans="2:29" x14ac:dyDescent="0.35">
      <c r="B130" s="119" t="str">
        <f>Chart!$AR$2</f>
        <v>STT</v>
      </c>
      <c r="C130" s="67" t="str">
        <f>Chart!$AS$14</f>
        <v>Hạt WSS03NC</v>
      </c>
      <c r="M130" s="119" t="str">
        <f>Chart!$AR$2</f>
        <v>STT</v>
      </c>
      <c r="N130" s="67" t="str">
        <f>Chart!$AS$14</f>
        <v>Hạt WSS03NC</v>
      </c>
      <c r="W130" s="119" t="str">
        <f>Chart!$AR$2</f>
        <v>STT</v>
      </c>
      <c r="X130" s="67" t="str">
        <f>Chart!$AS$7</f>
        <v>Hạt WSS03G</v>
      </c>
    </row>
    <row r="131" spans="2:29" ht="29" x14ac:dyDescent="0.35">
      <c r="B131" s="138"/>
      <c r="C131" s="137"/>
      <c r="D131" s="147" t="s">
        <v>392</v>
      </c>
      <c r="E131" s="141" t="s">
        <v>397</v>
      </c>
      <c r="F131" s="144" t="s">
        <v>386</v>
      </c>
      <c r="G131" s="145" t="s">
        <v>390</v>
      </c>
      <c r="M131" s="138"/>
      <c r="N131" s="137"/>
      <c r="O131" s="147" t="s">
        <v>392</v>
      </c>
      <c r="P131" s="141" t="s">
        <v>397</v>
      </c>
      <c r="Q131" s="144" t="s">
        <v>386</v>
      </c>
      <c r="R131" s="145" t="s">
        <v>390</v>
      </c>
      <c r="W131" s="138"/>
      <c r="X131" s="137"/>
      <c r="Y131" s="135" t="s">
        <v>384</v>
      </c>
      <c r="Z131" s="136" t="s">
        <v>392</v>
      </c>
      <c r="AA131" s="136" t="s">
        <v>397</v>
      </c>
      <c r="AB131" s="136" t="s">
        <v>386</v>
      </c>
      <c r="AC131" s="136" t="s">
        <v>390</v>
      </c>
    </row>
    <row r="132" spans="2:29" x14ac:dyDescent="0.35">
      <c r="B132" s="138">
        <v>1</v>
      </c>
      <c r="C132" s="63">
        <v>2024</v>
      </c>
      <c r="D132" s="148">
        <f>O132/D$1*10^3</f>
        <v>1068.9916591501801</v>
      </c>
      <c r="E132" s="142">
        <f>P132/D$1*10^3</f>
        <v>1175.8667003562077</v>
      </c>
      <c r="F132" s="143">
        <f>D132-E132</f>
        <v>-106.87504120602762</v>
      </c>
      <c r="G132" s="146">
        <f>F132/D132</f>
        <v>-9.9977432275748929E-2</v>
      </c>
      <c r="M132" s="138">
        <v>1</v>
      </c>
      <c r="N132" s="63">
        <v>2024</v>
      </c>
      <c r="O132" s="148">
        <f>Chart!$BB$7</f>
        <v>26573.829899541273</v>
      </c>
      <c r="P132" s="142">
        <f>Chart!$BF$7</f>
        <v>29230.613178629941</v>
      </c>
      <c r="Q132" s="143">
        <f>O132-P132</f>
        <v>-2656.7832790886678</v>
      </c>
      <c r="R132" s="146">
        <f>Q132/O132</f>
        <v>-9.9977432275749234E-2</v>
      </c>
      <c r="W132" s="138">
        <v>1</v>
      </c>
      <c r="X132" s="63">
        <v>2024</v>
      </c>
      <c r="Y132" s="116">
        <f>Chart!$AT$7</f>
        <v>1740225</v>
      </c>
      <c r="Z132" s="114">
        <f>Chart!$BB$7</f>
        <v>26573.829899541273</v>
      </c>
      <c r="AA132" s="114">
        <f>Chart!$BF$7</f>
        <v>29230.613178629941</v>
      </c>
      <c r="AB132" s="114">
        <f>Z132-AA132</f>
        <v>-2656.7832790886678</v>
      </c>
      <c r="AC132" s="117">
        <f>AB132/Z132</f>
        <v>-9.9977432275749234E-2</v>
      </c>
    </row>
    <row r="133" spans="2:29" x14ac:dyDescent="0.35">
      <c r="B133" s="42">
        <v>2</v>
      </c>
      <c r="C133" s="63">
        <v>2025</v>
      </c>
      <c r="D133" s="148">
        <f>O133/E$1*10^3</f>
        <v>1091.0347276350142</v>
      </c>
      <c r="E133" s="142">
        <f>P133/E$1*10^3</f>
        <v>998.10586743427757</v>
      </c>
      <c r="F133" s="143">
        <f>D133-E133</f>
        <v>92.928860200736608</v>
      </c>
      <c r="G133" s="146">
        <f>F133/D133</f>
        <v>8.5174979170621112E-2</v>
      </c>
      <c r="M133" s="42">
        <v>2</v>
      </c>
      <c r="N133" s="63">
        <v>2025</v>
      </c>
      <c r="O133" s="148">
        <f>Chart!$BC$7</f>
        <v>28135.7383935301</v>
      </c>
      <c r="P133" s="142">
        <f>Chart!$BG$7</f>
        <v>25739.27746191113</v>
      </c>
      <c r="Q133" s="143">
        <f>O133-P133</f>
        <v>2396.4609316189708</v>
      </c>
      <c r="R133" s="146">
        <f>Q133/O133</f>
        <v>8.5174979170621098E-2</v>
      </c>
      <c r="W133" s="42">
        <v>2</v>
      </c>
      <c r="X133" s="63">
        <v>2025</v>
      </c>
      <c r="Y133" s="116">
        <f>Chart!$AU$7</f>
        <v>1235050</v>
      </c>
      <c r="Z133" s="114">
        <f>Chart!$BC$7</f>
        <v>28135.7383935301</v>
      </c>
      <c r="AA133" s="114">
        <f>Chart!$BG$7</f>
        <v>25739.27746191113</v>
      </c>
      <c r="AB133" s="114">
        <f>Z133-AA133</f>
        <v>2396.4609316189708</v>
      </c>
      <c r="AC133" s="117">
        <f>AB133/Z133</f>
        <v>8.5174979170621098E-2</v>
      </c>
    </row>
    <row r="134" spans="2:29" x14ac:dyDescent="0.35">
      <c r="B134" s="118">
        <f>B133+1</f>
        <v>3</v>
      </c>
      <c r="C134" s="63">
        <v>2026</v>
      </c>
      <c r="D134" s="148">
        <f>O134/F$1*10^3</f>
        <v>1104.632839711883</v>
      </c>
      <c r="E134" s="142">
        <f>P134/F$1*10^3</f>
        <v>1039.1977703767152</v>
      </c>
      <c r="F134" s="143">
        <f>D134-E134</f>
        <v>65.435069335167782</v>
      </c>
      <c r="G134" s="146">
        <f>F134/D134</f>
        <v>5.9236940078872681E-2</v>
      </c>
      <c r="M134" s="118">
        <f>M133+1</f>
        <v>3</v>
      </c>
      <c r="N134" s="63">
        <v>2026</v>
      </c>
      <c r="O134" s="148">
        <f>Chart!$BD$7</f>
        <v>28923.699489915147</v>
      </c>
      <c r="P134" s="142">
        <f>Chart!$BH$7</f>
        <v>27210.348036371728</v>
      </c>
      <c r="Q134" s="143">
        <f>O134-P134</f>
        <v>1713.3514535434188</v>
      </c>
      <c r="R134" s="146">
        <f>Q134/O134</f>
        <v>5.9236940078872501E-2</v>
      </c>
      <c r="W134" s="118">
        <f>W133+1</f>
        <v>3</v>
      </c>
      <c r="X134" s="63">
        <v>2026</v>
      </c>
      <c r="Y134" s="116">
        <f>Chart!$AV$7</f>
        <v>1246450</v>
      </c>
      <c r="Z134" s="114">
        <f>Chart!$BD$7</f>
        <v>28923.699489915147</v>
      </c>
      <c r="AA134" s="114">
        <f>Chart!$BH$7</f>
        <v>27210.348036371728</v>
      </c>
      <c r="AB134" s="114">
        <f>Z134-AA134</f>
        <v>1713.3514535434188</v>
      </c>
      <c r="AC134" s="117">
        <f>AB134/Z134</f>
        <v>5.9236940078872501E-2</v>
      </c>
    </row>
    <row r="135" spans="2:29" x14ac:dyDescent="0.35">
      <c r="B135" s="118">
        <f t="shared" ref="B135:B137" si="22">B134+1</f>
        <v>4</v>
      </c>
      <c r="C135" s="63" t="s">
        <v>395</v>
      </c>
      <c r="D135" s="148">
        <f>[1]Chart!$BF$269</f>
        <v>1137.5909577436139</v>
      </c>
      <c r="E135" s="142">
        <f>SUM([1]Chart!$BF$262:$BF$264)</f>
        <v>947.5909577436139</v>
      </c>
      <c r="F135" s="143">
        <f>D135-E135</f>
        <v>190</v>
      </c>
      <c r="G135" s="146">
        <f>F135/D135</f>
        <v>0.16701961166855681</v>
      </c>
      <c r="M135" s="118">
        <f t="shared" ref="M135:M137" si="23">M134+1</f>
        <v>4</v>
      </c>
      <c r="N135" s="63" t="s">
        <v>395</v>
      </c>
      <c r="O135" s="148">
        <f>D135*26.5</f>
        <v>30146.160380205769</v>
      </c>
      <c r="P135" s="142">
        <f>E135*26.5</f>
        <v>25111.160380205769</v>
      </c>
      <c r="Q135" s="143">
        <f t="shared" ref="Q135:Q136" si="24">O135-P135</f>
        <v>5035</v>
      </c>
      <c r="R135" s="146">
        <f t="shared" ref="R135:R136" si="25">Q135/O135</f>
        <v>0.16701961166855681</v>
      </c>
      <c r="W135" s="118">
        <f t="shared" ref="W135:W137" si="26">W134+1</f>
        <v>4</v>
      </c>
    </row>
    <row r="136" spans="2:29" x14ac:dyDescent="0.35">
      <c r="B136" s="118">
        <f t="shared" si="22"/>
        <v>5</v>
      </c>
      <c r="C136" s="63" t="s">
        <v>396</v>
      </c>
      <c r="D136" s="148">
        <f>[1]Chart!$BR$269</f>
        <v>1250</v>
      </c>
      <c r="E136" s="142">
        <v>945</v>
      </c>
      <c r="F136" s="143">
        <f>D136-E136</f>
        <v>305</v>
      </c>
      <c r="G136" s="146">
        <f>F136/D136</f>
        <v>0.24399999999999999</v>
      </c>
      <c r="M136" s="118">
        <f t="shared" si="23"/>
        <v>5</v>
      </c>
      <c r="N136" s="63" t="s">
        <v>396</v>
      </c>
      <c r="O136" s="148">
        <f>D136*26.5</f>
        <v>33125</v>
      </c>
      <c r="P136" s="142">
        <f>E136*26.5</f>
        <v>25042.5</v>
      </c>
      <c r="Q136" s="143">
        <f t="shared" si="24"/>
        <v>8082.5</v>
      </c>
      <c r="R136" s="146">
        <f t="shared" si="25"/>
        <v>0.24399999999999999</v>
      </c>
      <c r="W136" s="118">
        <f t="shared" si="26"/>
        <v>5</v>
      </c>
    </row>
    <row r="137" spans="2:29" x14ac:dyDescent="0.35">
      <c r="B137" s="118">
        <f t="shared" si="22"/>
        <v>6</v>
      </c>
      <c r="M137" s="118">
        <f t="shared" si="23"/>
        <v>6</v>
      </c>
      <c r="W137" s="118">
        <f t="shared" si="26"/>
        <v>6</v>
      </c>
    </row>
    <row r="155" spans="8:31" x14ac:dyDescent="0.35">
      <c r="H155" s="136"/>
      <c r="I155" s="136"/>
      <c r="S155" s="136"/>
      <c r="T155" s="136"/>
      <c r="AD155" s="136"/>
      <c r="AE155" s="136"/>
    </row>
    <row r="163" spans="2:29" x14ac:dyDescent="0.35">
      <c r="B163" s="119" t="str">
        <f>Chart!$AR$2</f>
        <v>STT</v>
      </c>
      <c r="C163" s="67" t="str">
        <f>Chart!$AS$10</f>
        <v>Vảy FPET201-Out</v>
      </c>
      <c r="M163" s="119" t="str">
        <f>Chart!$AR$2</f>
        <v>STT</v>
      </c>
      <c r="N163" s="67" t="str">
        <f>Chart!$AS$10</f>
        <v>Vảy FPET201-Out</v>
      </c>
      <c r="W163" s="119" t="str">
        <f>Chart!$AR$2</f>
        <v>STT</v>
      </c>
      <c r="X163" s="67" t="str">
        <f>Chart!$AS$10</f>
        <v>Vảy FPET201-Out</v>
      </c>
    </row>
    <row r="164" spans="2:29" ht="29" x14ac:dyDescent="0.35">
      <c r="B164" s="138"/>
      <c r="C164" s="137"/>
      <c r="D164" s="147" t="s">
        <v>392</v>
      </c>
      <c r="E164" s="141" t="s">
        <v>397</v>
      </c>
      <c r="F164" s="144" t="s">
        <v>386</v>
      </c>
      <c r="G164" s="145" t="s">
        <v>390</v>
      </c>
      <c r="M164" s="138"/>
      <c r="N164" s="137"/>
      <c r="O164" s="147" t="s">
        <v>392</v>
      </c>
      <c r="P164" s="141" t="s">
        <v>397</v>
      </c>
      <c r="Q164" s="144" t="s">
        <v>386</v>
      </c>
      <c r="R164" s="145" t="s">
        <v>390</v>
      </c>
      <c r="W164" s="138"/>
      <c r="X164" s="137"/>
      <c r="Y164" s="147" t="s">
        <v>384</v>
      </c>
      <c r="Z164" s="147" t="s">
        <v>392</v>
      </c>
      <c r="AA164" s="141" t="s">
        <v>397</v>
      </c>
      <c r="AB164" s="144" t="s">
        <v>386</v>
      </c>
      <c r="AC164" s="145" t="s">
        <v>390</v>
      </c>
    </row>
    <row r="165" spans="2:29" x14ac:dyDescent="0.35">
      <c r="B165" s="42">
        <v>1</v>
      </c>
      <c r="C165" s="63">
        <v>2025</v>
      </c>
      <c r="D165" s="148">
        <f>O165/E$1*10^3</f>
        <v>913.20265886074719</v>
      </c>
      <c r="E165" s="142">
        <f>P165/E$1*10^3</f>
        <v>1005.3079594153063</v>
      </c>
      <c r="F165" s="143">
        <f>D165-E165</f>
        <v>-92.105300554559108</v>
      </c>
      <c r="G165" s="146">
        <f>F165/D165</f>
        <v>-0.10085965000306038</v>
      </c>
      <c r="M165" s="42">
        <v>1</v>
      </c>
      <c r="N165" s="63">
        <v>2025</v>
      </c>
      <c r="O165" s="148">
        <f>Chart!$BC$10</f>
        <v>23549.783026317593</v>
      </c>
      <c r="P165" s="142">
        <f>Chart!$BG$10</f>
        <v>25925.0059</v>
      </c>
      <c r="Q165" s="143">
        <f>O165-P165</f>
        <v>-2375.2228736824072</v>
      </c>
      <c r="R165" s="146">
        <f>Q165/O165</f>
        <v>-0.10085965000306049</v>
      </c>
      <c r="W165" s="42">
        <v>2</v>
      </c>
      <c r="X165" s="63">
        <v>2025</v>
      </c>
      <c r="Y165" s="148">
        <f>Chart!$AU$10</f>
        <v>20000</v>
      </c>
      <c r="Z165" s="148">
        <f>Chart!$BC$10</f>
        <v>23549.783026317593</v>
      </c>
      <c r="AA165" s="142">
        <f>Chart!$BG$10</f>
        <v>25925.0059</v>
      </c>
      <c r="AB165" s="143">
        <f>Z165-AA165</f>
        <v>-2375.2228736824072</v>
      </c>
      <c r="AC165" s="146">
        <f>AB165/Z165</f>
        <v>-0.10085965000306049</v>
      </c>
    </row>
    <row r="166" spans="2:29" x14ac:dyDescent="0.35">
      <c r="B166" s="118">
        <f>B165+1</f>
        <v>2</v>
      </c>
      <c r="C166" s="63">
        <v>2026</v>
      </c>
      <c r="D166" s="148">
        <f>O166/F$1*10^3</f>
        <v>766.66666666666674</v>
      </c>
      <c r="E166" s="142">
        <f>P166/F$1*10^3</f>
        <v>779.29288064204979</v>
      </c>
      <c r="F166" s="143">
        <f>D166-E166</f>
        <v>-12.626213975383052</v>
      </c>
      <c r="G166" s="146">
        <f>F166/D166</f>
        <v>-1.6468974750499632E-2</v>
      </c>
      <c r="M166" s="118">
        <f>M165+1</f>
        <v>2</v>
      </c>
      <c r="N166" s="63">
        <v>2026</v>
      </c>
      <c r="O166" s="148">
        <f>Chart!$BD$10</f>
        <v>20074.395290823864</v>
      </c>
      <c r="P166" s="142">
        <f>Chart!$BH$10</f>
        <v>20404.999999999993</v>
      </c>
      <c r="Q166" s="143">
        <f>O166-P166</f>
        <v>-330.60470917612838</v>
      </c>
      <c r="R166" s="146">
        <f>Q166/O166</f>
        <v>-1.6468974750499705E-2</v>
      </c>
      <c r="W166" s="118">
        <f>W165+1</f>
        <v>3</v>
      </c>
      <c r="X166" s="63">
        <v>2026</v>
      </c>
      <c r="Y166" s="148">
        <f>Chart!$AV$10</f>
        <v>660000</v>
      </c>
      <c r="Z166" s="148">
        <f>Chart!$BD$10</f>
        <v>20074.395290823864</v>
      </c>
      <c r="AA166" s="142">
        <f>Chart!$BH$10</f>
        <v>20404.999999999993</v>
      </c>
      <c r="AB166" s="143">
        <f>Z166-AA166</f>
        <v>-330.60470917612838</v>
      </c>
      <c r="AC166" s="146">
        <f>AB166/Z166</f>
        <v>-1.6468974750499705E-2</v>
      </c>
    </row>
    <row r="167" spans="2:29" x14ac:dyDescent="0.35">
      <c r="B167" s="118">
        <f t="shared" ref="B167:B169" si="27">B166+1</f>
        <v>3</v>
      </c>
      <c r="C167" s="63" t="s">
        <v>395</v>
      </c>
      <c r="D167" s="148">
        <f>[1]Chart!$BF$226</f>
        <v>1018.1303078181913</v>
      </c>
      <c r="E167" s="142">
        <f>SUM([1]Chart!$BF$219:$BF$221)</f>
        <v>828.13030781819134</v>
      </c>
      <c r="F167" s="143">
        <f>D167-E167</f>
        <v>190</v>
      </c>
      <c r="G167" s="146">
        <f>F167/D167</f>
        <v>0.18661658389009328</v>
      </c>
      <c r="M167" s="118">
        <f t="shared" ref="M167:M169" si="28">M166+1</f>
        <v>3</v>
      </c>
      <c r="N167" s="63" t="s">
        <v>395</v>
      </c>
      <c r="O167" s="148">
        <f>D167*26.5</f>
        <v>26980.45315718207</v>
      </c>
      <c r="P167" s="142">
        <f>E167*26.5</f>
        <v>21945.45315718207</v>
      </c>
      <c r="Q167" s="143">
        <f t="shared" ref="Q167:Q168" si="29">O167-P167</f>
        <v>5035</v>
      </c>
      <c r="R167" s="146">
        <f t="shared" ref="R167:R168" si="30">Q167/O167</f>
        <v>0.18661658389009328</v>
      </c>
      <c r="W167" s="118">
        <f t="shared" ref="W167:W169" si="31">W166+1</f>
        <v>4</v>
      </c>
    </row>
    <row r="168" spans="2:29" x14ac:dyDescent="0.35">
      <c r="B168" s="118">
        <f t="shared" si="27"/>
        <v>4</v>
      </c>
      <c r="C168" s="63" t="s">
        <v>396</v>
      </c>
      <c r="D168" s="148">
        <f>'[2]Trình bày'!$H$17</f>
        <v>1060</v>
      </c>
      <c r="E168" s="142">
        <v>804</v>
      </c>
      <c r="F168" s="143">
        <f>D168-E168</f>
        <v>256</v>
      </c>
      <c r="G168" s="146">
        <f>F168/D168</f>
        <v>0.24150943396226415</v>
      </c>
      <c r="M168" s="118">
        <f t="shared" si="28"/>
        <v>4</v>
      </c>
      <c r="N168" s="63" t="s">
        <v>396</v>
      </c>
      <c r="O168" s="148">
        <f>D168*26.5</f>
        <v>28090</v>
      </c>
      <c r="P168" s="142">
        <f>E168*26.5</f>
        <v>21306</v>
      </c>
      <c r="Q168" s="143">
        <f t="shared" si="29"/>
        <v>6784</v>
      </c>
      <c r="R168" s="146">
        <f t="shared" si="30"/>
        <v>0.24150943396226415</v>
      </c>
      <c r="W168" s="118">
        <f t="shared" si="31"/>
        <v>5</v>
      </c>
    </row>
    <row r="169" spans="2:29" x14ac:dyDescent="0.35">
      <c r="B169" s="118">
        <f t="shared" si="27"/>
        <v>5</v>
      </c>
      <c r="M169" s="118">
        <f t="shared" si="28"/>
        <v>5</v>
      </c>
      <c r="W169" s="118">
        <f t="shared" si="31"/>
        <v>6</v>
      </c>
    </row>
    <row r="187" spans="8:31" x14ac:dyDescent="0.35">
      <c r="H187" s="136"/>
      <c r="I187" s="136"/>
      <c r="S187" s="136"/>
      <c r="T187" s="136"/>
      <c r="AD187" s="136"/>
      <c r="AE187" s="136"/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F88D-3366-48EB-9048-F077E71E9269}">
  <dimension ref="B1:BY187"/>
  <sheetViews>
    <sheetView tabSelected="1" topLeftCell="C6" zoomScale="98" zoomScaleNormal="98" workbookViewId="0">
      <selection activeCell="K9" sqref="K9"/>
    </sheetView>
  </sheetViews>
  <sheetFormatPr defaultRowHeight="14.5" x14ac:dyDescent="0.35"/>
  <cols>
    <col min="2" max="2" width="5.25" customWidth="1"/>
    <col min="3" max="3" width="17.1640625" customWidth="1"/>
    <col min="4" max="4" width="9.08203125" customWidth="1"/>
    <col min="5" max="5" width="9.914062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19" max="22" width="13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28" max="28" width="8.9140625" bestFit="1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29" x14ac:dyDescent="0.35">
      <c r="B5" s="138"/>
      <c r="C5" s="137"/>
      <c r="D5" s="147" t="s">
        <v>398</v>
      </c>
      <c r="E5" s="141" t="s">
        <v>399</v>
      </c>
      <c r="F5" s="144" t="s">
        <v>386</v>
      </c>
      <c r="G5" s="145" t="s">
        <v>390</v>
      </c>
      <c r="M5" s="138"/>
      <c r="N5" s="137"/>
      <c r="O5" s="147" t="s">
        <v>392</v>
      </c>
      <c r="P5" s="141" t="s">
        <v>397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392</v>
      </c>
      <c r="AA5" s="136" t="s">
        <v>397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1435.3074176613347</v>
      </c>
      <c r="E6" s="142">
        <f>P6/D$1*10^3</f>
        <v>1130.6681049490453</v>
      </c>
      <c r="F6" s="143">
        <f t="shared" ref="F6:F11" si="0">D6-E6</f>
        <v>304.63931271228944</v>
      </c>
      <c r="G6" s="146">
        <f>F6/D6</f>
        <v>0.21224673471601191</v>
      </c>
      <c r="M6" s="138">
        <v>1</v>
      </c>
      <c r="N6" s="63">
        <v>2024</v>
      </c>
      <c r="O6" s="148">
        <f>'Chart (Suntory)'!$BB$4</f>
        <v>35679.993238491428</v>
      </c>
      <c r="P6" s="142">
        <f>'Chart (Suntory)'!$BF$4</f>
        <v>28107.031178932233</v>
      </c>
      <c r="Q6" s="143">
        <f>O6-P6</f>
        <v>7572.962059559195</v>
      </c>
      <c r="R6" s="146">
        <f>Q6/O6</f>
        <v>0.21224673471601208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>O7/E$1*10^3</f>
        <v>1343.1036911458054</v>
      </c>
      <c r="E7" s="142">
        <f t="shared" ref="E7" si="1">P7/E$1*10^3</f>
        <v>1102.2569239211898</v>
      </c>
      <c r="F7" s="143">
        <f t="shared" si="0"/>
        <v>240.84676722461563</v>
      </c>
      <c r="G7" s="146">
        <f>F7/D7</f>
        <v>0.17932105228535899</v>
      </c>
      <c r="M7" s="42">
        <v>2</v>
      </c>
      <c r="N7" s="63">
        <v>2025</v>
      </c>
      <c r="O7" s="148">
        <f>'Chart (Suntory)'!$BC$4</f>
        <v>34636.123976893912</v>
      </c>
      <c r="P7" s="142">
        <f>'Chart (Suntory)'!$BG$4</f>
        <v>28425.137778271146</v>
      </c>
      <c r="Q7" s="143">
        <f>O7-P7</f>
        <v>6210.9861986227661</v>
      </c>
      <c r="R7" s="146">
        <f>Q7/O7</f>
        <v>0.17932105228535888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>O8/F$1*10^3</f>
        <v>1170.8511370028</v>
      </c>
      <c r="E8" s="142">
        <f>P8/F$1*10^3</f>
        <v>1092.5096914536655</v>
      </c>
      <c r="F8" s="143">
        <f t="shared" si="0"/>
        <v>78.341445549134505</v>
      </c>
      <c r="G8" s="146">
        <f>F8/D8</f>
        <v>6.6909825744096416E-2</v>
      </c>
      <c r="M8" s="118">
        <f>M7+1</f>
        <v>3</v>
      </c>
      <c r="N8" s="63">
        <v>2026</v>
      </c>
      <c r="O8" s="148">
        <f>'Chart (Suntory)'!$BD$4</f>
        <v>30657.558979441008</v>
      </c>
      <c r="P8" s="142">
        <f>'Chart (Suntory)'!$BH$4</f>
        <v>28606.26705038725</v>
      </c>
      <c r="Q8" s="143">
        <f>O8-P8</f>
        <v>2051.2919290537575</v>
      </c>
      <c r="R8" s="146">
        <f>Q8/O8</f>
        <v>6.6909825744096457E-2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2">B8+1</f>
        <v>4</v>
      </c>
      <c r="C9" s="63" t="s">
        <v>425</v>
      </c>
      <c r="D9" s="148">
        <f>[5]Chart!$BF$14</f>
        <v>1312.6138381546739</v>
      </c>
      <c r="E9" s="142">
        <f>SUM([5]Chart!$BF$7:$BF$9)</f>
        <v>1072.6138381546739</v>
      </c>
      <c r="F9" s="143">
        <f t="shared" si="0"/>
        <v>240</v>
      </c>
      <c r="G9" s="146">
        <f>F9/D9</f>
        <v>0.18284128433188074</v>
      </c>
      <c r="M9" s="118">
        <f t="shared" ref="M9:M11" si="3">M8+1</f>
        <v>4</v>
      </c>
      <c r="N9" s="63" t="str">
        <f>C9</f>
        <v>2026 WF_TT 11.8</v>
      </c>
      <c r="O9" s="148">
        <f>D9*26.5</f>
        <v>34784.266711098855</v>
      </c>
      <c r="P9" s="142">
        <f>E9*26.5</f>
        <v>28424.266711098859</v>
      </c>
      <c r="Q9" s="143">
        <f t="shared" ref="Q9:Q10" si="4">O9-P9</f>
        <v>6359.9999999999964</v>
      </c>
      <c r="R9" s="146">
        <f t="shared" ref="R9:R10" si="5">Q9/O9</f>
        <v>0.18284128433188063</v>
      </c>
      <c r="W9" s="118">
        <f t="shared" ref="W9:W11" si="6">W8+1</f>
        <v>4</v>
      </c>
    </row>
    <row r="10" spans="2:77" x14ac:dyDescent="0.35">
      <c r="B10" s="118">
        <f t="shared" si="2"/>
        <v>5</v>
      </c>
      <c r="C10" s="63" t="s">
        <v>396</v>
      </c>
      <c r="D10" s="148">
        <f>[1]Chart!$BR$14</f>
        <v>1470</v>
      </c>
      <c r="E10" s="142">
        <v>1033</v>
      </c>
      <c r="F10" s="143">
        <f t="shared" si="0"/>
        <v>437</v>
      </c>
      <c r="G10" s="146">
        <f>F10/D10</f>
        <v>0.29727891156462583</v>
      </c>
      <c r="M10" s="118">
        <f t="shared" si="3"/>
        <v>5</v>
      </c>
      <c r="N10" s="63" t="str">
        <f>C10</f>
        <v>2026 WF_KTQT</v>
      </c>
      <c r="O10" s="148">
        <f>D10*26.5</f>
        <v>38955</v>
      </c>
      <c r="P10" s="142">
        <f>E10*26.5</f>
        <v>27374.5</v>
      </c>
      <c r="Q10" s="143">
        <f t="shared" si="4"/>
        <v>11580.5</v>
      </c>
      <c r="R10" s="146">
        <f t="shared" si="5"/>
        <v>0.29727891156462583</v>
      </c>
      <c r="W10" s="118">
        <f t="shared" si="6"/>
        <v>5</v>
      </c>
    </row>
    <row r="11" spans="2:77" x14ac:dyDescent="0.35">
      <c r="B11" s="118">
        <f t="shared" si="2"/>
        <v>6</v>
      </c>
      <c r="C11" s="63" t="s">
        <v>426</v>
      </c>
      <c r="D11" s="181">
        <f>D10*0.94-55</f>
        <v>1326.8</v>
      </c>
      <c r="E11" s="182">
        <f>E9</f>
        <v>1072.6138381546739</v>
      </c>
      <c r="F11" s="143">
        <f t="shared" si="0"/>
        <v>254.18616184532607</v>
      </c>
      <c r="G11" s="146">
        <f>F11/D11</f>
        <v>0.19157835532508749</v>
      </c>
      <c r="M11" s="118">
        <f t="shared" si="3"/>
        <v>6</v>
      </c>
      <c r="N11" s="63" t="str">
        <f>C11</f>
        <v xml:space="preserve">2026 Offer_Suntory </v>
      </c>
      <c r="O11" s="148">
        <f>D11*26.5</f>
        <v>35160.199999999997</v>
      </c>
      <c r="P11" s="142">
        <f>E11*26.5</f>
        <v>28424.266711098859</v>
      </c>
      <c r="Q11" s="143">
        <f t="shared" ref="Q11" si="7">O11-P11</f>
        <v>6735.9332889011384</v>
      </c>
      <c r="R11" s="146">
        <f t="shared" ref="R11" si="8">Q11/O11</f>
        <v>0.19157835532508743</v>
      </c>
      <c r="W11" s="118">
        <f t="shared" si="6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29" x14ac:dyDescent="0.35">
      <c r="B38" s="138"/>
      <c r="C38" s="137"/>
      <c r="D38" s="147" t="s">
        <v>392</v>
      </c>
      <c r="E38" s="141" t="s">
        <v>397</v>
      </c>
      <c r="F38" s="144" t="s">
        <v>386</v>
      </c>
      <c r="G38" s="145" t="s">
        <v>390</v>
      </c>
      <c r="M38" s="138"/>
      <c r="N38" s="137"/>
      <c r="O38" s="147" t="s">
        <v>392</v>
      </c>
      <c r="P38" s="141" t="s">
        <v>397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392</v>
      </c>
      <c r="AA38" s="136" t="s">
        <v>397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1125.8677708226983</v>
      </c>
      <c r="E39" s="142">
        <f>P39/D$1*10^3</f>
        <v>927.6853844490596</v>
      </c>
      <c r="F39" s="143">
        <f>D39-E39</f>
        <v>198.18238637363868</v>
      </c>
      <c r="G39" s="146">
        <f>F39/D39</f>
        <v>0.17602634297704614</v>
      </c>
      <c r="M39" s="138">
        <v>1</v>
      </c>
      <c r="N39" s="63">
        <v>2024</v>
      </c>
      <c r="O39" s="148">
        <f>'Chart (Suntory)'!$BB$5</f>
        <v>27987.700722569352</v>
      </c>
      <c r="P39" s="142">
        <f>Chart!$BF$5</f>
        <v>23061.128116039436</v>
      </c>
      <c r="Q39" s="143">
        <f>O39-P39</f>
        <v>4926.5726065299168</v>
      </c>
      <c r="R39" s="146">
        <f>Q39/O39</f>
        <v>0.1760263429770462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>O40/E$1*10^3</f>
        <v>1392.9913447960555</v>
      </c>
      <c r="E40" s="142">
        <f>P40/E$1*10^3</f>
        <v>999.30030458649674</v>
      </c>
      <c r="F40" s="143">
        <f>D40-E40</f>
        <v>393.69104020955876</v>
      </c>
      <c r="G40" s="146">
        <f>F40/D40</f>
        <v>0.28262274685360528</v>
      </c>
      <c r="M40" s="42">
        <v>2</v>
      </c>
      <c r="N40" s="63">
        <v>2025</v>
      </c>
      <c r="O40" s="148">
        <f>'Chart (Suntory)'!$BC$5</f>
        <v>35922.632954672328</v>
      </c>
      <c r="P40" s="142">
        <f>Chart!$BG$5</f>
        <v>25770.07975480899</v>
      </c>
      <c r="Q40" s="143">
        <f>O40-P40</f>
        <v>10152.553199863338</v>
      </c>
      <c r="R40" s="146">
        <f>Q40/O40</f>
        <v>0.28262274685360533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>O41/F$1*10^3</f>
        <v>0</v>
      </c>
      <c r="E41" s="142">
        <f>P41/F$1*10^3</f>
        <v>1010.1901455666484</v>
      </c>
      <c r="F41" s="143">
        <f>D41-E41</f>
        <v>-1010.1901455666484</v>
      </c>
      <c r="G41" s="146" t="e">
        <f>F41/D41</f>
        <v>#DIV/0!</v>
      </c>
      <c r="M41" s="118">
        <f>M40+1</f>
        <v>3</v>
      </c>
      <c r="N41" s="63">
        <v>2026</v>
      </c>
      <c r="O41" s="148">
        <f>'Chart (Suntory)'!$BD$5</f>
        <v>0</v>
      </c>
      <c r="P41" s="142">
        <f>Chart!$BH$5</f>
        <v>26450.812566521479</v>
      </c>
      <c r="Q41" s="143">
        <f>O41-P41</f>
        <v>-26450.812566521479</v>
      </c>
      <c r="R41" s="146" t="e">
        <f>Q41/O41</f>
        <v>#DIV/0!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9">B41+1</f>
        <v>4</v>
      </c>
      <c r="C42" s="63" t="s">
        <v>425</v>
      </c>
      <c r="D42" s="148">
        <f>[5]Chart!$BF$53</f>
        <v>1262.6620277764632</v>
      </c>
      <c r="E42" s="142">
        <f>SUM([5]Chart!$BF$46:$BF$48)</f>
        <v>1052.6620277764634</v>
      </c>
      <c r="F42" s="143">
        <f>D42-E42</f>
        <v>209.99999999999977</v>
      </c>
      <c r="G42" s="146">
        <f>F42/D42</f>
        <v>0.16631528895329808</v>
      </c>
      <c r="M42" s="118">
        <f t="shared" ref="M42:M44" si="10">M41+1</f>
        <v>4</v>
      </c>
      <c r="N42" s="63" t="str">
        <f>C42</f>
        <v>2026 WF_TT 11.8</v>
      </c>
      <c r="O42" s="148">
        <f>D42*26.5</f>
        <v>33460.543736076273</v>
      </c>
      <c r="P42" s="142">
        <f>E42*26.5</f>
        <v>27895.543736076281</v>
      </c>
      <c r="Q42" s="143">
        <f t="shared" ref="Q42:Q43" si="11">O42-P42</f>
        <v>5564.9999999999927</v>
      </c>
      <c r="R42" s="146">
        <f t="shared" ref="R42:R43" si="12">Q42/O42</f>
        <v>0.16631528895329806</v>
      </c>
      <c r="W42" s="118">
        <f t="shared" ref="W42:W44" si="13">W41+1</f>
        <v>4</v>
      </c>
    </row>
    <row r="43" spans="2:44" x14ac:dyDescent="0.35">
      <c r="B43" s="118">
        <f t="shared" si="9"/>
        <v>5</v>
      </c>
      <c r="C43" s="63" t="s">
        <v>396</v>
      </c>
      <c r="D43" s="148">
        <f>[1]Chart!$BR$53</f>
        <v>1410</v>
      </c>
      <c r="E43" s="142">
        <v>1020</v>
      </c>
      <c r="F43" s="143">
        <f>D43-E43</f>
        <v>390</v>
      </c>
      <c r="G43" s="146">
        <f>F43/D43</f>
        <v>0.27659574468085107</v>
      </c>
      <c r="M43" s="118">
        <f t="shared" si="10"/>
        <v>5</v>
      </c>
      <c r="N43" s="63" t="str">
        <f>C43</f>
        <v>2026 WF_KTQT</v>
      </c>
      <c r="O43" s="148">
        <f>D43*26.5</f>
        <v>37365</v>
      </c>
      <c r="P43" s="142">
        <f>E43*26.5</f>
        <v>27030</v>
      </c>
      <c r="Q43" s="143">
        <f t="shared" si="11"/>
        <v>10335</v>
      </c>
      <c r="R43" s="146">
        <f t="shared" si="12"/>
        <v>0.27659574468085107</v>
      </c>
      <c r="W43" s="118">
        <f t="shared" si="13"/>
        <v>5</v>
      </c>
    </row>
    <row r="44" spans="2:44" x14ac:dyDescent="0.35">
      <c r="B44" s="118">
        <f t="shared" si="9"/>
        <v>6</v>
      </c>
      <c r="M44" s="118">
        <f t="shared" si="10"/>
        <v>6</v>
      </c>
      <c r="W44" s="118">
        <f t="shared" si="13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29" x14ac:dyDescent="0.35">
      <c r="B69" s="138"/>
      <c r="C69" s="137"/>
      <c r="D69" s="147" t="s">
        <v>392</v>
      </c>
      <c r="E69" s="141" t="s">
        <v>397</v>
      </c>
      <c r="F69" s="144" t="s">
        <v>386</v>
      </c>
      <c r="G69" s="145" t="s">
        <v>390</v>
      </c>
      <c r="M69" s="138"/>
      <c r="N69" s="137"/>
      <c r="O69" s="147" t="s">
        <v>392</v>
      </c>
      <c r="P69" s="141" t="s">
        <v>397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392</v>
      </c>
      <c r="AA69" s="136" t="s">
        <v>397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P70/D$1*10^3</f>
        <v>981.49575659452444</v>
      </c>
      <c r="F70" s="143">
        <f>D70-E70</f>
        <v>242.77541140130938</v>
      </c>
      <c r="G70" s="146">
        <f>F70/D70</f>
        <v>0.19830199203232035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>O71/E$1*10^3</f>
        <v>1204.2755925836173</v>
      </c>
      <c r="E71" s="142">
        <f>P71/E$1*10^3</f>
        <v>1037.2653185179495</v>
      </c>
      <c r="F71" s="143">
        <f>D71-E71</f>
        <v>167.01027406566777</v>
      </c>
      <c r="G71" s="146">
        <f>F71/D71</f>
        <v>0.13868110845572224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>O72/F$1*10^3</f>
        <v>1113.441134384399</v>
      </c>
      <c r="E72" s="142">
        <f>P72/F$1*10^3</f>
        <v>1003.3618521357912</v>
      </c>
      <c r="F72" s="143">
        <f>D72-E72</f>
        <v>110.0792822486078</v>
      </c>
      <c r="G72" s="146">
        <f>F72/D72</f>
        <v>9.8864034073492896E-2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14">B72+1</f>
        <v>4</v>
      </c>
      <c r="C73" s="63" t="s">
        <v>395</v>
      </c>
      <c r="D73" s="148">
        <f>[1]Chart!$BF$89</f>
        <v>1156.6078351092156</v>
      </c>
      <c r="E73" s="142">
        <f>SUM([1]Chart!$BF$82:$BF$84)</f>
        <v>966.60783510921567</v>
      </c>
      <c r="F73" s="143">
        <f>D73-E73</f>
        <v>189.99999999999989</v>
      </c>
      <c r="G73" s="146">
        <f>F73/D73</f>
        <v>0.16427348512822296</v>
      </c>
      <c r="M73" s="118">
        <f t="shared" ref="M73:M75" si="15">M72+1</f>
        <v>4</v>
      </c>
      <c r="N73" s="63" t="s">
        <v>395</v>
      </c>
      <c r="O73" s="148">
        <f>D73*26.5</f>
        <v>30650.107630394214</v>
      </c>
      <c r="P73" s="142">
        <f>E73*26.5</f>
        <v>25615.107630394214</v>
      </c>
      <c r="Q73" s="143">
        <f t="shared" ref="Q73:Q74" si="16">O73-P73</f>
        <v>5035</v>
      </c>
      <c r="R73" s="146">
        <f t="shared" ref="R73:R74" si="17">Q73/O73</f>
        <v>0.16427348512822307</v>
      </c>
      <c r="W73" s="118">
        <f t="shared" ref="W73:W75" si="18">W72+1</f>
        <v>4</v>
      </c>
    </row>
    <row r="74" spans="2:44" x14ac:dyDescent="0.35">
      <c r="B74" s="118">
        <f t="shared" si="14"/>
        <v>5</v>
      </c>
      <c r="C74" s="63" t="s">
        <v>396</v>
      </c>
      <c r="D74" s="148">
        <f>[1]Chart!$BR$89</f>
        <v>1380</v>
      </c>
      <c r="E74" s="142">
        <v>1012</v>
      </c>
      <c r="F74" s="143">
        <f>D74-E74</f>
        <v>368</v>
      </c>
      <c r="G74" s="146">
        <f>F74/D74</f>
        <v>0.26666666666666666</v>
      </c>
      <c r="M74" s="118">
        <f t="shared" si="15"/>
        <v>5</v>
      </c>
      <c r="N74" s="63" t="s">
        <v>396</v>
      </c>
      <c r="O74" s="148">
        <f>D74*26.5</f>
        <v>36570</v>
      </c>
      <c r="P74" s="142">
        <f>E74*26.5</f>
        <v>26818</v>
      </c>
      <c r="Q74" s="143">
        <f t="shared" si="16"/>
        <v>9752</v>
      </c>
      <c r="R74" s="146">
        <f t="shared" si="17"/>
        <v>0.26666666666666666</v>
      </c>
      <c r="W74" s="118">
        <f t="shared" si="18"/>
        <v>5</v>
      </c>
    </row>
    <row r="75" spans="2:44" x14ac:dyDescent="0.35">
      <c r="B75" s="118">
        <f t="shared" si="14"/>
        <v>6</v>
      </c>
      <c r="M75" s="118">
        <f t="shared" si="15"/>
        <v>6</v>
      </c>
      <c r="W75" s="118">
        <f t="shared" si="18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29" x14ac:dyDescent="0.35">
      <c r="B100" s="138"/>
      <c r="C100" s="137"/>
      <c r="D100" s="147" t="s">
        <v>392</v>
      </c>
      <c r="E100" s="141" t="s">
        <v>397</v>
      </c>
      <c r="F100" s="144" t="s">
        <v>386</v>
      </c>
      <c r="G100" s="145" t="s">
        <v>390</v>
      </c>
      <c r="M100" s="138"/>
      <c r="N100" s="137"/>
      <c r="O100" s="147" t="s">
        <v>392</v>
      </c>
      <c r="P100" s="141" t="s">
        <v>397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392</v>
      </c>
      <c r="AA100" s="136" t="s">
        <v>397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P101/D$1*10^3</f>
        <v>1175.8667003562077</v>
      </c>
      <c r="F101" s="143">
        <f>D101-E101</f>
        <v>-106.87504120602762</v>
      </c>
      <c r="G101" s="146">
        <f>F101/D101</f>
        <v>-9.9977432275748929E-2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>O102/E$1*10^3</f>
        <v>1091.0347276350142</v>
      </c>
      <c r="E102" s="142">
        <f>P102/E$1*10^3</f>
        <v>998.10586743427757</v>
      </c>
      <c r="F102" s="143">
        <f>D102-E102</f>
        <v>92.928860200736608</v>
      </c>
      <c r="G102" s="146">
        <f>F102/D102</f>
        <v>8.5174979170621112E-2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>O103/F$1*10^3</f>
        <v>1104.632839711883</v>
      </c>
      <c r="E103" s="142">
        <f>P103/F$1*10^3</f>
        <v>1039.1977703767152</v>
      </c>
      <c r="F103" s="143">
        <f>D103-E103</f>
        <v>65.435069335167782</v>
      </c>
      <c r="G103" s="146">
        <f>F103/D103</f>
        <v>5.9236940078872681E-2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9">B103+1</f>
        <v>4</v>
      </c>
      <c r="C104" s="63" t="s">
        <v>395</v>
      </c>
      <c r="D104" s="148">
        <f>[1]Chart!$BF$134</f>
        <v>1134.590999848426</v>
      </c>
      <c r="E104" s="142">
        <f>SUM([1]Chart!$BF$127:$BF$129)</f>
        <v>944.59099984842601</v>
      </c>
      <c r="F104" s="143">
        <f>D104-E104</f>
        <v>190</v>
      </c>
      <c r="G104" s="146">
        <f>F104/D104</f>
        <v>0.16746122613821435</v>
      </c>
      <c r="M104" s="118">
        <f t="shared" ref="M104:M106" si="20">M103+1</f>
        <v>4</v>
      </c>
      <c r="N104" s="63" t="s">
        <v>395</v>
      </c>
      <c r="O104" s="148">
        <f>D104*26.5</f>
        <v>30066.661495983288</v>
      </c>
      <c r="P104" s="142">
        <f>E104*26.5</f>
        <v>25031.661495983288</v>
      </c>
      <c r="Q104" s="143">
        <f t="shared" ref="Q104:Q105" si="21">O104-P104</f>
        <v>5035</v>
      </c>
      <c r="R104" s="146">
        <f t="shared" ref="R104:R105" si="22">Q104/O104</f>
        <v>0.16746122613821438</v>
      </c>
      <c r="W104" s="118">
        <f t="shared" ref="W104:W106" si="23">W103+1</f>
        <v>4</v>
      </c>
    </row>
    <row r="105" spans="2:29" x14ac:dyDescent="0.35">
      <c r="B105" s="118">
        <f t="shared" si="19"/>
        <v>5</v>
      </c>
      <c r="C105" s="63" t="s">
        <v>396</v>
      </c>
      <c r="D105" s="148">
        <f>[1]Chart!$BR$134</f>
        <v>1310</v>
      </c>
      <c r="E105" s="142">
        <f>SUM([1]Chart!$BR$127:$BR$129)</f>
        <v>944.59099984842601</v>
      </c>
      <c r="F105" s="143">
        <f>D105-E105</f>
        <v>365.40900015157399</v>
      </c>
      <c r="G105" s="146">
        <f>F105/D105</f>
        <v>0.27893816805463661</v>
      </c>
      <c r="M105" s="118">
        <f t="shared" si="20"/>
        <v>5</v>
      </c>
      <c r="N105" s="63" t="s">
        <v>396</v>
      </c>
      <c r="O105" s="148">
        <f>D105*26.5</f>
        <v>34715</v>
      </c>
      <c r="P105" s="142">
        <f>E105*26.5</f>
        <v>25031.661495983288</v>
      </c>
      <c r="Q105" s="143">
        <f t="shared" si="21"/>
        <v>9683.3385040167122</v>
      </c>
      <c r="R105" s="146">
        <f t="shared" si="22"/>
        <v>0.27893816805463667</v>
      </c>
      <c r="W105" s="118">
        <f t="shared" si="23"/>
        <v>5</v>
      </c>
    </row>
    <row r="106" spans="2:29" x14ac:dyDescent="0.35">
      <c r="B106" s="118">
        <f t="shared" si="19"/>
        <v>6</v>
      </c>
      <c r="M106" s="118">
        <f t="shared" si="20"/>
        <v>6</v>
      </c>
      <c r="W106" s="118">
        <f t="shared" si="23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  <row r="130" spans="2:29" x14ac:dyDescent="0.35">
      <c r="B130" s="119" t="str">
        <f>Chart!$AR$2</f>
        <v>STT</v>
      </c>
      <c r="C130" s="67" t="str">
        <f>Chart!$AS$14</f>
        <v>Hạt WSS03NC</v>
      </c>
      <c r="M130" s="119" t="str">
        <f>Chart!$AR$2</f>
        <v>STT</v>
      </c>
      <c r="N130" s="67" t="str">
        <f>Chart!$AS$14</f>
        <v>Hạt WSS03NC</v>
      </c>
      <c r="W130" s="119" t="str">
        <f>Chart!$AR$2</f>
        <v>STT</v>
      </c>
      <c r="X130" s="67" t="str">
        <f>Chart!$AS$7</f>
        <v>Hạt WSS03G</v>
      </c>
    </row>
    <row r="131" spans="2:29" ht="29" x14ac:dyDescent="0.35">
      <c r="B131" s="138"/>
      <c r="C131" s="137"/>
      <c r="D131" s="147" t="s">
        <v>392</v>
      </c>
      <c r="E131" s="141" t="s">
        <v>397</v>
      </c>
      <c r="F131" s="144" t="s">
        <v>386</v>
      </c>
      <c r="G131" s="145" t="s">
        <v>390</v>
      </c>
      <c r="M131" s="138"/>
      <c r="N131" s="137"/>
      <c r="O131" s="147" t="s">
        <v>392</v>
      </c>
      <c r="P131" s="141" t="s">
        <v>397</v>
      </c>
      <c r="Q131" s="144" t="s">
        <v>386</v>
      </c>
      <c r="R131" s="145" t="s">
        <v>390</v>
      </c>
      <c r="W131" s="138"/>
      <c r="X131" s="137"/>
      <c r="Y131" s="135" t="s">
        <v>384</v>
      </c>
      <c r="Z131" s="136" t="s">
        <v>392</v>
      </c>
      <c r="AA131" s="136" t="s">
        <v>397</v>
      </c>
      <c r="AB131" s="136" t="s">
        <v>386</v>
      </c>
      <c r="AC131" s="136" t="s">
        <v>390</v>
      </c>
    </row>
    <row r="132" spans="2:29" x14ac:dyDescent="0.35">
      <c r="B132" s="138">
        <v>1</v>
      </c>
      <c r="C132" s="63">
        <v>2024</v>
      </c>
      <c r="D132" s="148">
        <f>O132/D$1*10^3</f>
        <v>1068.9916591501801</v>
      </c>
      <c r="E132" s="142">
        <f>P132/D$1*10^3</f>
        <v>1175.8667003562077</v>
      </c>
      <c r="F132" s="143">
        <f>D132-E132</f>
        <v>-106.87504120602762</v>
      </c>
      <c r="G132" s="146">
        <f>F132/D132</f>
        <v>-9.9977432275748929E-2</v>
      </c>
      <c r="M132" s="138">
        <v>1</v>
      </c>
      <c r="N132" s="63">
        <v>2024</v>
      </c>
      <c r="O132" s="148">
        <f>Chart!$BB$7</f>
        <v>26573.829899541273</v>
      </c>
      <c r="P132" s="142">
        <f>Chart!$BF$7</f>
        <v>29230.613178629941</v>
      </c>
      <c r="Q132" s="143">
        <f>O132-P132</f>
        <v>-2656.7832790886678</v>
      </c>
      <c r="R132" s="146">
        <f>Q132/O132</f>
        <v>-9.9977432275749234E-2</v>
      </c>
      <c r="W132" s="138">
        <v>1</v>
      </c>
      <c r="X132" s="63">
        <v>2024</v>
      </c>
      <c r="Y132" s="116">
        <f>Chart!$AT$7</f>
        <v>1740225</v>
      </c>
      <c r="Z132" s="114">
        <f>Chart!$BB$7</f>
        <v>26573.829899541273</v>
      </c>
      <c r="AA132" s="114">
        <f>Chart!$BF$7</f>
        <v>29230.613178629941</v>
      </c>
      <c r="AB132" s="114">
        <f>Z132-AA132</f>
        <v>-2656.7832790886678</v>
      </c>
      <c r="AC132" s="117">
        <f>AB132/Z132</f>
        <v>-9.9977432275749234E-2</v>
      </c>
    </row>
    <row r="133" spans="2:29" x14ac:dyDescent="0.35">
      <c r="B133" s="42">
        <v>2</v>
      </c>
      <c r="C133" s="63">
        <v>2025</v>
      </c>
      <c r="D133" s="148">
        <f>O133/E$1*10^3</f>
        <v>1091.0347276350142</v>
      </c>
      <c r="E133" s="142">
        <f>P133/E$1*10^3</f>
        <v>998.10586743427757</v>
      </c>
      <c r="F133" s="143">
        <f>D133-E133</f>
        <v>92.928860200736608</v>
      </c>
      <c r="G133" s="146">
        <f>F133/D133</f>
        <v>8.5174979170621112E-2</v>
      </c>
      <c r="M133" s="42">
        <v>2</v>
      </c>
      <c r="N133" s="63">
        <v>2025</v>
      </c>
      <c r="O133" s="148">
        <f>Chart!$BC$7</f>
        <v>28135.7383935301</v>
      </c>
      <c r="P133" s="142">
        <f>Chart!$BG$7</f>
        <v>25739.27746191113</v>
      </c>
      <c r="Q133" s="143">
        <f>O133-P133</f>
        <v>2396.4609316189708</v>
      </c>
      <c r="R133" s="146">
        <f>Q133/O133</f>
        <v>8.5174979170621098E-2</v>
      </c>
      <c r="W133" s="42">
        <v>2</v>
      </c>
      <c r="X133" s="63">
        <v>2025</v>
      </c>
      <c r="Y133" s="116">
        <f>Chart!$AU$7</f>
        <v>1235050</v>
      </c>
      <c r="Z133" s="114">
        <f>Chart!$BC$7</f>
        <v>28135.7383935301</v>
      </c>
      <c r="AA133" s="114">
        <f>Chart!$BG$7</f>
        <v>25739.27746191113</v>
      </c>
      <c r="AB133" s="114">
        <f>Z133-AA133</f>
        <v>2396.4609316189708</v>
      </c>
      <c r="AC133" s="117">
        <f>AB133/Z133</f>
        <v>8.5174979170621098E-2</v>
      </c>
    </row>
    <row r="134" spans="2:29" x14ac:dyDescent="0.35">
      <c r="B134" s="118">
        <f>B133+1</f>
        <v>3</v>
      </c>
      <c r="C134" s="63">
        <v>2026</v>
      </c>
      <c r="D134" s="148">
        <f>O134/F$1*10^3</f>
        <v>1104.632839711883</v>
      </c>
      <c r="E134" s="142">
        <f>P134/F$1*10^3</f>
        <v>1039.1977703767152</v>
      </c>
      <c r="F134" s="143">
        <f>D134-E134</f>
        <v>65.435069335167782</v>
      </c>
      <c r="G134" s="146">
        <f>F134/D134</f>
        <v>5.9236940078872681E-2</v>
      </c>
      <c r="M134" s="118">
        <f>M133+1</f>
        <v>3</v>
      </c>
      <c r="N134" s="63">
        <v>2026</v>
      </c>
      <c r="O134" s="148">
        <f>Chart!$BD$7</f>
        <v>28923.699489915147</v>
      </c>
      <c r="P134" s="142">
        <f>Chart!$BH$7</f>
        <v>27210.348036371728</v>
      </c>
      <c r="Q134" s="143">
        <f>O134-P134</f>
        <v>1713.3514535434188</v>
      </c>
      <c r="R134" s="146">
        <f>Q134/O134</f>
        <v>5.9236940078872501E-2</v>
      </c>
      <c r="W134" s="118">
        <f>W133+1</f>
        <v>3</v>
      </c>
      <c r="X134" s="63">
        <v>2026</v>
      </c>
      <c r="Y134" s="116">
        <f>Chart!$AV$7</f>
        <v>1246450</v>
      </c>
      <c r="Z134" s="114">
        <f>Chart!$BD$7</f>
        <v>28923.699489915147</v>
      </c>
      <c r="AA134" s="114">
        <f>Chart!$BH$7</f>
        <v>27210.348036371728</v>
      </c>
      <c r="AB134" s="114">
        <f>Z134-AA134</f>
        <v>1713.3514535434188</v>
      </c>
      <c r="AC134" s="117">
        <f>AB134/Z134</f>
        <v>5.9236940078872501E-2</v>
      </c>
    </row>
    <row r="135" spans="2:29" x14ac:dyDescent="0.35">
      <c r="B135" s="118">
        <f t="shared" ref="B135:B137" si="24">B134+1</f>
        <v>4</v>
      </c>
      <c r="C135" s="63" t="s">
        <v>395</v>
      </c>
      <c r="D135" s="148">
        <f>[1]Chart!$BF$269</f>
        <v>1137.5909577436139</v>
      </c>
      <c r="E135" s="142">
        <f>SUM([1]Chart!$BF$262:$BF$264)</f>
        <v>947.5909577436139</v>
      </c>
      <c r="F135" s="143">
        <f>D135-E135</f>
        <v>190</v>
      </c>
      <c r="G135" s="146">
        <f>F135/D135</f>
        <v>0.16701961166855681</v>
      </c>
      <c r="M135" s="118">
        <f t="shared" ref="M135:M137" si="25">M134+1</f>
        <v>4</v>
      </c>
      <c r="N135" s="63" t="s">
        <v>395</v>
      </c>
      <c r="O135" s="148">
        <f>D135*26.5</f>
        <v>30146.160380205769</v>
      </c>
      <c r="P135" s="142">
        <f>E135*26.5</f>
        <v>25111.160380205769</v>
      </c>
      <c r="Q135" s="143">
        <f t="shared" ref="Q135:Q136" si="26">O135-P135</f>
        <v>5035</v>
      </c>
      <c r="R135" s="146">
        <f t="shared" ref="R135:R136" si="27">Q135/O135</f>
        <v>0.16701961166855681</v>
      </c>
      <c r="W135" s="118">
        <f t="shared" ref="W135:W137" si="28">W134+1</f>
        <v>4</v>
      </c>
    </row>
    <row r="136" spans="2:29" x14ac:dyDescent="0.35">
      <c r="B136" s="118">
        <f t="shared" si="24"/>
        <v>5</v>
      </c>
      <c r="C136" s="63" t="s">
        <v>396</v>
      </c>
      <c r="D136" s="148">
        <f>[1]Chart!$BR$269</f>
        <v>1250</v>
      </c>
      <c r="E136" s="142">
        <v>945</v>
      </c>
      <c r="F136" s="143">
        <f>D136-E136</f>
        <v>305</v>
      </c>
      <c r="G136" s="146">
        <f>F136/D136</f>
        <v>0.24399999999999999</v>
      </c>
      <c r="M136" s="118">
        <f t="shared" si="25"/>
        <v>5</v>
      </c>
      <c r="N136" s="63" t="s">
        <v>396</v>
      </c>
      <c r="O136" s="148">
        <f>D136*26.5</f>
        <v>33125</v>
      </c>
      <c r="P136" s="142">
        <f>E136*26.5</f>
        <v>25042.5</v>
      </c>
      <c r="Q136" s="143">
        <f t="shared" si="26"/>
        <v>8082.5</v>
      </c>
      <c r="R136" s="146">
        <f t="shared" si="27"/>
        <v>0.24399999999999999</v>
      </c>
      <c r="W136" s="118">
        <f t="shared" si="28"/>
        <v>5</v>
      </c>
    </row>
    <row r="137" spans="2:29" x14ac:dyDescent="0.35">
      <c r="B137" s="118">
        <f t="shared" si="24"/>
        <v>6</v>
      </c>
      <c r="M137" s="118">
        <f t="shared" si="25"/>
        <v>6</v>
      </c>
      <c r="W137" s="118">
        <f t="shared" si="28"/>
        <v>6</v>
      </c>
    </row>
    <row r="155" spans="8:31" x14ac:dyDescent="0.35">
      <c r="H155" s="136"/>
      <c r="I155" s="136"/>
      <c r="S155" s="136"/>
      <c r="T155" s="136"/>
      <c r="AD155" s="136"/>
      <c r="AE155" s="136"/>
    </row>
    <row r="163" spans="2:29" x14ac:dyDescent="0.35">
      <c r="B163" s="119" t="str">
        <f>Chart!$AR$2</f>
        <v>STT</v>
      </c>
      <c r="C163" s="67" t="str">
        <f>Chart!$AS$10</f>
        <v>Vảy FPET201-Out</v>
      </c>
      <c r="M163" s="119" t="str">
        <f>Chart!$AR$2</f>
        <v>STT</v>
      </c>
      <c r="N163" s="67" t="str">
        <f>Chart!$AS$10</f>
        <v>Vảy FPET201-Out</v>
      </c>
      <c r="W163" s="119" t="str">
        <f>Chart!$AR$2</f>
        <v>STT</v>
      </c>
      <c r="X163" s="67" t="str">
        <f>Chart!$AS$10</f>
        <v>Vảy FPET201-Out</v>
      </c>
    </row>
    <row r="164" spans="2:29" ht="29" x14ac:dyDescent="0.35">
      <c r="B164" s="138"/>
      <c r="C164" s="137"/>
      <c r="D164" s="147" t="s">
        <v>392</v>
      </c>
      <c r="E164" s="141" t="s">
        <v>397</v>
      </c>
      <c r="F164" s="144" t="s">
        <v>386</v>
      </c>
      <c r="G164" s="145" t="s">
        <v>390</v>
      </c>
      <c r="M164" s="138"/>
      <c r="N164" s="137"/>
      <c r="O164" s="147" t="s">
        <v>392</v>
      </c>
      <c r="P164" s="141" t="s">
        <v>397</v>
      </c>
      <c r="Q164" s="144" t="s">
        <v>386</v>
      </c>
      <c r="R164" s="145" t="s">
        <v>390</v>
      </c>
      <c r="W164" s="138"/>
      <c r="X164" s="137"/>
      <c r="Y164" s="147" t="s">
        <v>384</v>
      </c>
      <c r="Z164" s="147" t="s">
        <v>392</v>
      </c>
      <c r="AA164" s="141" t="s">
        <v>397</v>
      </c>
      <c r="AB164" s="144" t="s">
        <v>386</v>
      </c>
      <c r="AC164" s="145" t="s">
        <v>390</v>
      </c>
    </row>
    <row r="165" spans="2:29" x14ac:dyDescent="0.35">
      <c r="B165" s="42">
        <v>1</v>
      </c>
      <c r="C165" s="63">
        <v>2025</v>
      </c>
      <c r="D165" s="148">
        <f>O165/E$1*10^3</f>
        <v>913.20265886074719</v>
      </c>
      <c r="E165" s="142">
        <f>P165/E$1*10^3</f>
        <v>1005.3079594153063</v>
      </c>
      <c r="F165" s="143">
        <f>D165-E165</f>
        <v>-92.105300554559108</v>
      </c>
      <c r="G165" s="146">
        <f>F165/D165</f>
        <v>-0.10085965000306038</v>
      </c>
      <c r="M165" s="42">
        <v>1</v>
      </c>
      <c r="N165" s="63">
        <v>2025</v>
      </c>
      <c r="O165" s="148">
        <f>Chart!$BC$10</f>
        <v>23549.783026317593</v>
      </c>
      <c r="P165" s="142">
        <f>Chart!$BG$10</f>
        <v>25925.0059</v>
      </c>
      <c r="Q165" s="143">
        <f>O165-P165</f>
        <v>-2375.2228736824072</v>
      </c>
      <c r="R165" s="146">
        <f>Q165/O165</f>
        <v>-0.10085965000306049</v>
      </c>
      <c r="W165" s="42">
        <v>2</v>
      </c>
      <c r="X165" s="63">
        <v>2025</v>
      </c>
      <c r="Y165" s="148">
        <f>Chart!$AU$10</f>
        <v>20000</v>
      </c>
      <c r="Z165" s="148">
        <f>Chart!$BC$10</f>
        <v>23549.783026317593</v>
      </c>
      <c r="AA165" s="142">
        <f>Chart!$BG$10</f>
        <v>25925.0059</v>
      </c>
      <c r="AB165" s="143">
        <f>Z165-AA165</f>
        <v>-2375.2228736824072</v>
      </c>
      <c r="AC165" s="146">
        <f>AB165/Z165</f>
        <v>-0.10085965000306049</v>
      </c>
    </row>
    <row r="166" spans="2:29" x14ac:dyDescent="0.35">
      <c r="B166" s="118">
        <f>B165+1</f>
        <v>2</v>
      </c>
      <c r="C166" s="63">
        <v>2026</v>
      </c>
      <c r="D166" s="148">
        <f>O166/F$1*10^3</f>
        <v>766.66666666666674</v>
      </c>
      <c r="E166" s="142">
        <f>P166/F$1*10^3</f>
        <v>779.29288064204979</v>
      </c>
      <c r="F166" s="143">
        <f>D166-E166</f>
        <v>-12.626213975383052</v>
      </c>
      <c r="G166" s="146">
        <f>F166/D166</f>
        <v>-1.6468974750499632E-2</v>
      </c>
      <c r="M166" s="118">
        <f>M165+1</f>
        <v>2</v>
      </c>
      <c r="N166" s="63">
        <v>2026</v>
      </c>
      <c r="O166" s="148">
        <f>Chart!$BD$10</f>
        <v>20074.395290823864</v>
      </c>
      <c r="P166" s="142">
        <f>Chart!$BH$10</f>
        <v>20404.999999999993</v>
      </c>
      <c r="Q166" s="143">
        <f>O166-P166</f>
        <v>-330.60470917612838</v>
      </c>
      <c r="R166" s="146">
        <f>Q166/O166</f>
        <v>-1.6468974750499705E-2</v>
      </c>
      <c r="W166" s="118">
        <f>W165+1</f>
        <v>3</v>
      </c>
      <c r="X166" s="63">
        <v>2026</v>
      </c>
      <c r="Y166" s="148">
        <f>Chart!$AV$10</f>
        <v>660000</v>
      </c>
      <c r="Z166" s="148">
        <f>Chart!$BD$10</f>
        <v>20074.395290823864</v>
      </c>
      <c r="AA166" s="142">
        <f>Chart!$BH$10</f>
        <v>20404.999999999993</v>
      </c>
      <c r="AB166" s="143">
        <f>Z166-AA166</f>
        <v>-330.60470917612838</v>
      </c>
      <c r="AC166" s="146">
        <f>AB166/Z166</f>
        <v>-1.6468974750499705E-2</v>
      </c>
    </row>
    <row r="167" spans="2:29" x14ac:dyDescent="0.35">
      <c r="B167" s="118">
        <f t="shared" ref="B167:B169" si="29">B166+1</f>
        <v>3</v>
      </c>
      <c r="C167" s="63" t="s">
        <v>395</v>
      </c>
      <c r="D167" s="148">
        <f>[1]Chart!$BF$226</f>
        <v>1018.1303078181913</v>
      </c>
      <c r="E167" s="142">
        <f>SUM([1]Chart!$BF$219:$BF$221)</f>
        <v>828.13030781819134</v>
      </c>
      <c r="F167" s="143">
        <f>D167-E167</f>
        <v>190</v>
      </c>
      <c r="G167" s="146">
        <f>F167/D167</f>
        <v>0.18661658389009328</v>
      </c>
      <c r="M167" s="118">
        <f t="shared" ref="M167:M169" si="30">M166+1</f>
        <v>3</v>
      </c>
      <c r="N167" s="63" t="s">
        <v>395</v>
      </c>
      <c r="O167" s="148">
        <f>D167*26.5</f>
        <v>26980.45315718207</v>
      </c>
      <c r="P167" s="142">
        <f>E167*26.5</f>
        <v>21945.45315718207</v>
      </c>
      <c r="Q167" s="143">
        <f t="shared" ref="Q167:Q168" si="31">O167-P167</f>
        <v>5035</v>
      </c>
      <c r="R167" s="146">
        <f t="shared" ref="R167:R168" si="32">Q167/O167</f>
        <v>0.18661658389009328</v>
      </c>
      <c r="W167" s="118">
        <f t="shared" ref="W167:W169" si="33">W166+1</f>
        <v>4</v>
      </c>
    </row>
    <row r="168" spans="2:29" x14ac:dyDescent="0.35">
      <c r="B168" s="118">
        <f t="shared" si="29"/>
        <v>4</v>
      </c>
      <c r="C168" s="63" t="s">
        <v>396</v>
      </c>
      <c r="D168" s="148">
        <f>'[2]Trình bày'!$H$17</f>
        <v>1060</v>
      </c>
      <c r="E168" s="142">
        <v>804</v>
      </c>
      <c r="F168" s="143">
        <f>D168-E168</f>
        <v>256</v>
      </c>
      <c r="G168" s="146">
        <f>F168/D168</f>
        <v>0.24150943396226415</v>
      </c>
      <c r="M168" s="118">
        <f t="shared" si="30"/>
        <v>4</v>
      </c>
      <c r="N168" s="63" t="s">
        <v>396</v>
      </c>
      <c r="O168" s="148">
        <f>D168*26.5</f>
        <v>28090</v>
      </c>
      <c r="P168" s="142">
        <f>E168*26.5</f>
        <v>21306</v>
      </c>
      <c r="Q168" s="143">
        <f t="shared" si="31"/>
        <v>6784</v>
      </c>
      <c r="R168" s="146">
        <f t="shared" si="32"/>
        <v>0.24150943396226415</v>
      </c>
      <c r="W168" s="118">
        <f t="shared" si="33"/>
        <v>5</v>
      </c>
    </row>
    <row r="169" spans="2:29" x14ac:dyDescent="0.35">
      <c r="B169" s="118">
        <f t="shared" si="29"/>
        <v>5</v>
      </c>
      <c r="M169" s="118">
        <f t="shared" si="30"/>
        <v>5</v>
      </c>
      <c r="W169" s="118">
        <f t="shared" si="33"/>
        <v>6</v>
      </c>
    </row>
    <row r="187" spans="8:31" x14ac:dyDescent="0.35">
      <c r="H187" s="136"/>
      <c r="I187" s="136"/>
      <c r="S187" s="136"/>
      <c r="T187" s="136"/>
      <c r="AD187" s="136"/>
      <c r="AE187" s="136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1679-020C-4220-808F-F51896C4D050}">
  <dimension ref="B1:CA187"/>
  <sheetViews>
    <sheetView zoomScaleNormal="100" workbookViewId="0">
      <selection activeCell="D4" sqref="D4:D10"/>
    </sheetView>
  </sheetViews>
  <sheetFormatPr defaultRowHeight="14.5" x14ac:dyDescent="0.35"/>
  <cols>
    <col min="2" max="2" width="5.25" customWidth="1"/>
    <col min="3" max="3" width="15.5" customWidth="1"/>
    <col min="4" max="4" width="9.4140625" customWidth="1"/>
    <col min="5" max="5" width="9.08203125" customWidth="1"/>
    <col min="6" max="6" width="9.9140625" customWidth="1"/>
    <col min="14" max="14" width="5.25" customWidth="1"/>
    <col min="15" max="15" width="15.5" customWidth="1"/>
    <col min="16" max="16" width="9.4140625" customWidth="1"/>
    <col min="17" max="17" width="10.6640625" bestFit="1" customWidth="1"/>
    <col min="18" max="18" width="10.5" customWidth="1"/>
    <col min="21" max="24" width="13.5" customWidth="1"/>
    <col min="25" max="25" width="5.25" customWidth="1"/>
    <col min="26" max="26" width="15.5" customWidth="1"/>
    <col min="27" max="27" width="10.83203125" bestFit="1" customWidth="1"/>
    <col min="28" max="28" width="10.6640625" bestFit="1" customWidth="1"/>
    <col min="29" max="29" width="10.5" customWidth="1"/>
    <col min="30" max="30" width="8.9140625" bestFit="1" customWidth="1"/>
    <col min="37" max="37" width="3.4140625" bestFit="1" customWidth="1"/>
    <col min="38" max="38" width="9.6640625" customWidth="1"/>
    <col min="39" max="39" width="7.5" customWidth="1"/>
    <col min="40" max="40" width="8.9140625" customWidth="1"/>
    <col min="41" max="41" width="7.83203125" customWidth="1"/>
    <col min="42" max="42" width="10.83203125" customWidth="1"/>
    <col min="43" max="43" width="11.33203125" bestFit="1" customWidth="1"/>
    <col min="44" max="44" width="8.75" bestFit="1" customWidth="1"/>
    <col min="45" max="45" width="8.1640625" bestFit="1" customWidth="1"/>
    <col min="46" max="46" width="6.5" bestFit="1" customWidth="1"/>
  </cols>
  <sheetData>
    <row r="1" spans="2:79" x14ac:dyDescent="0.35">
      <c r="E1" s="113" t="e" cm="1">
        <f t="array" ref="E1">Chart [3]FC!BB1</f>
        <v>#NAME?</v>
      </c>
      <c r="F1" s="113">
        <f>Chart!BC1</f>
        <v>25788.123586605394</v>
      </c>
      <c r="G1" s="113">
        <f>Chart!BD1</f>
        <v>26183.993857596342</v>
      </c>
    </row>
    <row r="3" spans="2:79" x14ac:dyDescent="0.35">
      <c r="AL3" s="39" t="str">
        <f>Chart!$AT$2</f>
        <v>SẢN LƯỢNG (Tấn)</v>
      </c>
      <c r="BC3" s="39" t="str">
        <f>Chart!$AT$2</f>
        <v>SẢN LƯỢNG (Tấn)</v>
      </c>
      <c r="BS3" s="39" t="str">
        <f>Chart!$AT$2</f>
        <v>SẢN LƯỢNG (Tấn)</v>
      </c>
    </row>
    <row r="4" spans="2:79" ht="43.5" x14ac:dyDescent="0.35">
      <c r="B4" s="119" t="str">
        <f>Chart!$AR$2</f>
        <v>STT</v>
      </c>
      <c r="C4" s="67" t="str">
        <f>Chart!$AS$4</f>
        <v>Hạt iSS01084G</v>
      </c>
      <c r="N4" s="119" t="str">
        <f>Chart!$AR$2</f>
        <v>STT</v>
      </c>
      <c r="O4" s="67" t="str">
        <f>Chart!$AS$4</f>
        <v>Hạt iSS01084G</v>
      </c>
      <c r="Y4" s="119" t="str">
        <f>Chart!$AR$2</f>
        <v>STT</v>
      </c>
      <c r="Z4" s="67" t="str">
        <f>Chart!$AS$4</f>
        <v>Hạt iSS01084G</v>
      </c>
      <c r="AK4" t="s">
        <v>370</v>
      </c>
      <c r="AL4" s="139" t="s">
        <v>391</v>
      </c>
      <c r="AM4" s="135" t="str">
        <f>Chart!$AS$4</f>
        <v>Hạt iSS01084G</v>
      </c>
      <c r="AN4" s="136" t="str">
        <f>Chart!$AS$5</f>
        <v>Hạt iSS01G</v>
      </c>
      <c r="AO4" s="136" t="str">
        <f>Chart!$AS$6</f>
        <v>Hạt WSS01G</v>
      </c>
      <c r="AP4" s="136" t="str">
        <f>Chart!$AS$7</f>
        <v>Hạt WSS03G</v>
      </c>
      <c r="AQ4" s="136" t="str">
        <f>Chart!$AS$8</f>
        <v>Hạt WSS03G-PW</v>
      </c>
      <c r="AR4" s="136" t="str">
        <f>Chart!$AS$9</f>
        <v>Hạt WSS05SB (sợi ngắn)</v>
      </c>
      <c r="AS4" s="136" t="str">
        <f>Chart!$AS$10</f>
        <v>Vảy FPET201-Out</v>
      </c>
      <c r="AT4" s="136" t="str">
        <f>Chart!$AS$11</f>
        <v>Dây Đai</v>
      </c>
      <c r="BB4" t="s">
        <v>370</v>
      </c>
      <c r="BC4" s="139" t="s">
        <v>391</v>
      </c>
      <c r="BD4" s="135" t="str">
        <f>Chart!$AS$4</f>
        <v>Hạt iSS01084G</v>
      </c>
      <c r="BE4" s="136" t="str">
        <f>Chart!$AS$5</f>
        <v>Hạt iSS01G</v>
      </c>
      <c r="BF4" s="136" t="str">
        <f>Chart!$AS$6</f>
        <v>Hạt WSS01G</v>
      </c>
      <c r="BG4" s="136" t="str">
        <f>Chart!$AS$7</f>
        <v>Hạt WSS03G</v>
      </c>
      <c r="BH4" s="136" t="str">
        <f>Chart!$AS$8</f>
        <v>Hạt WSS03G-PW</v>
      </c>
      <c r="BI4" s="136" t="str">
        <f>Chart!$AS$9</f>
        <v>Hạt WSS05SB (sợi ngắn)</v>
      </c>
      <c r="BJ4" s="136" t="str">
        <f>Chart!$AS$10</f>
        <v>Vảy FPET201-Out</v>
      </c>
      <c r="BK4" s="136" t="str">
        <f>Chart!$AS$11</f>
        <v>Dây Đai</v>
      </c>
      <c r="BR4" t="s">
        <v>370</v>
      </c>
      <c r="BS4" s="139" t="s">
        <v>391</v>
      </c>
      <c r="BT4" s="135" t="str">
        <f>Chart!$AS$4</f>
        <v>Hạt iSS01084G</v>
      </c>
      <c r="BU4" s="136" t="str">
        <f>Chart!$AS$5</f>
        <v>Hạt iSS01G</v>
      </c>
      <c r="BV4" s="136" t="str">
        <f>Chart!$AS$6</f>
        <v>Hạt WSS01G</v>
      </c>
      <c r="BW4" s="136" t="str">
        <f>Chart!$AS$7</f>
        <v>Hạt WSS03G</v>
      </c>
      <c r="BX4" s="136" t="str">
        <f>Chart!$AS$8</f>
        <v>Hạt WSS03G-PW</v>
      </c>
      <c r="BY4" s="136" t="str">
        <f>Chart!$AS$9</f>
        <v>Hạt WSS05SB (sợi ngắn)</v>
      </c>
      <c r="BZ4" s="136" t="str">
        <f>Chart!$AS$10</f>
        <v>Vảy FPET201-Out</v>
      </c>
      <c r="CA4" s="136" t="str">
        <f>Chart!$AS$11</f>
        <v>Dây Đai</v>
      </c>
    </row>
    <row r="5" spans="2:79" ht="43.5" x14ac:dyDescent="0.35">
      <c r="B5" s="138"/>
      <c r="C5" s="137"/>
      <c r="D5" s="147" t="s">
        <v>415</v>
      </c>
      <c r="E5" s="147" t="s">
        <v>398</v>
      </c>
      <c r="F5" s="141" t="s">
        <v>399</v>
      </c>
      <c r="G5" s="144" t="s">
        <v>386</v>
      </c>
      <c r="H5" s="145" t="s">
        <v>390</v>
      </c>
      <c r="N5" s="138"/>
      <c r="O5" s="137"/>
      <c r="P5" s="147" t="s">
        <v>415</v>
      </c>
      <c r="Q5" s="147" t="s">
        <v>392</v>
      </c>
      <c r="R5" s="141" t="s">
        <v>397</v>
      </c>
      <c r="S5" s="144" t="s">
        <v>386</v>
      </c>
      <c r="T5" s="145" t="s">
        <v>390</v>
      </c>
      <c r="Y5" s="138"/>
      <c r="Z5" s="137"/>
      <c r="AA5" s="135" t="s">
        <v>384</v>
      </c>
      <c r="AB5" s="136" t="s">
        <v>392</v>
      </c>
      <c r="AC5" s="136" t="s">
        <v>397</v>
      </c>
      <c r="AD5" s="136" t="s">
        <v>386</v>
      </c>
      <c r="AE5" s="136" t="s">
        <v>390</v>
      </c>
      <c r="AK5">
        <v>1</v>
      </c>
      <c r="AL5" s="140">
        <f>$Z$6</f>
        <v>2024</v>
      </c>
      <c r="AM5" s="116">
        <f>Chart!$AT$4</f>
        <v>3785943.2</v>
      </c>
      <c r="AN5" s="116">
        <f>Chart!$AT$5</f>
        <v>4414400</v>
      </c>
      <c r="AO5" s="116">
        <f>Chart!$AT$6</f>
        <v>19788700</v>
      </c>
      <c r="AP5" s="116">
        <f>Chart!$AT$7</f>
        <v>1740225</v>
      </c>
      <c r="AQ5" s="116">
        <f>Chart!$AT$8</f>
        <v>2418500</v>
      </c>
      <c r="AR5" s="116">
        <f>Chart!$AT$9</f>
        <v>1362900</v>
      </c>
      <c r="AS5" s="116">
        <f>Chart!$AT$10</f>
        <v>0</v>
      </c>
      <c r="AT5" s="116">
        <f>Chart!$AT$11</f>
        <v>1961000</v>
      </c>
      <c r="BB5">
        <v>1</v>
      </c>
      <c r="BC5" s="140">
        <f>$Z$6</f>
        <v>2024</v>
      </c>
      <c r="BD5" s="116">
        <f>Chart!$AT$4/12</f>
        <v>315495.26666666666</v>
      </c>
      <c r="BE5" s="116">
        <f>Chart!$AT$5/12</f>
        <v>367866.66666666669</v>
      </c>
      <c r="BF5" s="116">
        <f>Chart!$AT$6/12</f>
        <v>1649058.3333333333</v>
      </c>
      <c r="BG5" s="116">
        <f>Chart!$AT$7/12</f>
        <v>145018.75</v>
      </c>
      <c r="BH5" s="116">
        <f>Chart!$AT$8/12</f>
        <v>201541.66666666666</v>
      </c>
      <c r="BI5" s="116">
        <f>Chart!$AT$9/12</f>
        <v>113575</v>
      </c>
      <c r="BJ5" s="116">
        <f>Chart!$AT$10/12</f>
        <v>0</v>
      </c>
      <c r="BK5" s="116">
        <f>Chart!$AT$11/12</f>
        <v>163416.66666666666</v>
      </c>
      <c r="BR5">
        <v>1</v>
      </c>
      <c r="BS5" s="140">
        <f>$Z$6</f>
        <v>2024</v>
      </c>
      <c r="BT5" s="116">
        <f>Chart!$AT$4</f>
        <v>3785943.2</v>
      </c>
      <c r="BU5" s="116">
        <f>Chart!$AT$5</f>
        <v>4414400</v>
      </c>
      <c r="BV5" s="116">
        <f>Chart!$AT$6</f>
        <v>19788700</v>
      </c>
      <c r="BW5" s="116">
        <f>Chart!$AT$7</f>
        <v>1740225</v>
      </c>
      <c r="BX5" s="116">
        <f>Chart!$AT$8</f>
        <v>2418500</v>
      </c>
      <c r="BY5" s="116">
        <f>Chart!$AT$9</f>
        <v>1362900</v>
      </c>
      <c r="BZ5" s="116">
        <f>Chart!$AT$10</f>
        <v>0</v>
      </c>
      <c r="CA5" s="116">
        <f>Chart!$AT$11</f>
        <v>1961000</v>
      </c>
    </row>
    <row r="6" spans="2:79" x14ac:dyDescent="0.35">
      <c r="B6" s="138">
        <v>1</v>
      </c>
      <c r="C6" s="63" t="s">
        <v>410</v>
      </c>
      <c r="D6" s="148" t="e">
        <f>O6/D$1*10^3</f>
        <v>#DIV/0!</v>
      </c>
      <c r="E6" s="148" t="e">
        <f>Q6/E$1*10^3</f>
        <v>#NAME?</v>
      </c>
      <c r="F6" s="142" t="e">
        <f>R6/E$1*10^3</f>
        <v>#NAME?</v>
      </c>
      <c r="G6" s="143" t="e">
        <f t="shared" ref="G6:G11" si="0">E6-F6</f>
        <v>#NAME?</v>
      </c>
      <c r="H6" s="146" t="e">
        <f>G6/E6</f>
        <v>#NAME?</v>
      </c>
      <c r="N6" s="138">
        <v>1</v>
      </c>
      <c r="O6" s="63">
        <v>2024</v>
      </c>
      <c r="P6" s="148" t="e">
        <f>AA6/P$1*10^3</f>
        <v>#DIV/0!</v>
      </c>
      <c r="Q6" s="148">
        <f>Chart!$BB$4</f>
        <v>34726.705755409792</v>
      </c>
      <c r="R6" s="142">
        <f>Chart!$BF$4</f>
        <v>27271.253178600313</v>
      </c>
      <c r="S6" s="143">
        <f>Q6-R6</f>
        <v>7455.4525768094791</v>
      </c>
      <c r="T6" s="146">
        <f>S6/Q6</f>
        <v>0.21468931229240062</v>
      </c>
      <c r="Y6" s="138">
        <v>1</v>
      </c>
      <c r="Z6" s="63">
        <v>2024</v>
      </c>
      <c r="AA6" s="116">
        <f>Chart!$AT$4</f>
        <v>3785943.2</v>
      </c>
      <c r="AB6" s="114">
        <f>Chart!$BB$4</f>
        <v>34726.705755409792</v>
      </c>
      <c r="AC6" s="114">
        <f>Chart!$BF$4</f>
        <v>27271.253178600313</v>
      </c>
      <c r="AD6" s="114">
        <f>AB6-AC6</f>
        <v>7455.4525768094791</v>
      </c>
      <c r="AE6" s="117">
        <f>AD6/AB6</f>
        <v>0.21468931229240062</v>
      </c>
      <c r="AK6">
        <v>2</v>
      </c>
      <c r="AL6" s="140">
        <f>$Z$7</f>
        <v>2025</v>
      </c>
      <c r="AM6" s="116">
        <f>Chart!$AU$4</f>
        <v>6408593.9000000004</v>
      </c>
      <c r="AN6" s="116">
        <f>Chart!$AU$5</f>
        <v>10827735.800000001</v>
      </c>
      <c r="AO6" s="116">
        <f>Chart!$AU$6</f>
        <v>19703925</v>
      </c>
      <c r="AP6" s="116">
        <f>Chart!$AU$7</f>
        <v>1235050</v>
      </c>
      <c r="AQ6" s="116">
        <f>Chart!$AU$8</f>
        <v>660000</v>
      </c>
      <c r="AR6" s="116">
        <f>Chart!$AU$9</f>
        <v>1543175</v>
      </c>
      <c r="AS6" s="116">
        <f>Chart!$AU$10</f>
        <v>20000</v>
      </c>
      <c r="AT6" s="116">
        <f>Chart!$AU$11</f>
        <v>1544000</v>
      </c>
      <c r="BB6">
        <v>2</v>
      </c>
      <c r="BC6" s="140">
        <f>$Z$7</f>
        <v>2025</v>
      </c>
      <c r="BD6" s="116">
        <f>Chart!$AU$4/12</f>
        <v>534049.4916666667</v>
      </c>
      <c r="BE6" s="116">
        <f>Chart!$AU$5/12</f>
        <v>902311.31666666677</v>
      </c>
      <c r="BF6" s="116">
        <f>Chart!$AU$6/12</f>
        <v>1641993.75</v>
      </c>
      <c r="BG6" s="116">
        <f>Chart!$AU$7/12</f>
        <v>102920.83333333333</v>
      </c>
      <c r="BH6" s="116">
        <f>Chart!$AU$8/12</f>
        <v>55000</v>
      </c>
      <c r="BI6" s="116">
        <f>Chart!$AU$9/12</f>
        <v>128597.91666666667</v>
      </c>
      <c r="BJ6" s="116">
        <f>Chart!$AU$10/12</f>
        <v>1666.6666666666667</v>
      </c>
      <c r="BK6" s="116">
        <f>Chart!$AU$11/12</f>
        <v>128666.66666666667</v>
      </c>
      <c r="BR6">
        <v>2</v>
      </c>
      <c r="BS6" s="140">
        <f>$Z$7</f>
        <v>2025</v>
      </c>
      <c r="BT6" s="116">
        <f>Chart!$AU$4</f>
        <v>6408593.9000000004</v>
      </c>
      <c r="BU6" s="116">
        <f>Chart!$AU$5</f>
        <v>10827735.800000001</v>
      </c>
      <c r="BV6" s="116">
        <f>Chart!$AU$6</f>
        <v>19703925</v>
      </c>
      <c r="BW6" s="116">
        <f>Chart!$AU$7</f>
        <v>1235050</v>
      </c>
      <c r="BX6" s="116">
        <f>Chart!$AU$8</f>
        <v>660000</v>
      </c>
      <c r="BY6" s="116">
        <f>Chart!$AU$9</f>
        <v>1543175</v>
      </c>
      <c r="BZ6" s="116">
        <f>Chart!$AU$10</f>
        <v>20000</v>
      </c>
      <c r="CA6" s="116">
        <f>Chart!$AU$11</f>
        <v>1544000</v>
      </c>
    </row>
    <row r="7" spans="2:79" x14ac:dyDescent="0.35">
      <c r="B7" s="42">
        <v>2</v>
      </c>
      <c r="C7" s="63" t="s">
        <v>411</v>
      </c>
      <c r="D7" s="148" t="e">
        <f>O7/E$1*10^3</f>
        <v>#NAME?</v>
      </c>
      <c r="E7" s="148">
        <f>Q7/F$1*10^3</f>
        <v>1345.2792347226514</v>
      </c>
      <c r="F7" s="142">
        <f t="shared" ref="F7" si="1">R7/F$1*10^3</f>
        <v>1091.1469880868879</v>
      </c>
      <c r="G7" s="143">
        <f t="shared" si="0"/>
        <v>254.13224663576352</v>
      </c>
      <c r="H7" s="146">
        <f>G7/E7</f>
        <v>0.1889066894637354</v>
      </c>
      <c r="N7" s="42">
        <v>2</v>
      </c>
      <c r="O7" s="63">
        <v>2025</v>
      </c>
      <c r="P7" s="148" t="e">
        <f>AA7/Q$1*10^3</f>
        <v>#DIV/0!</v>
      </c>
      <c r="Q7" s="148">
        <f>Chart!$BC$4</f>
        <v>34692.22716352166</v>
      </c>
      <c r="R7" s="142">
        <f>Chart!$BG$4</f>
        <v>28138.633379936906</v>
      </c>
      <c r="S7" s="143">
        <f>Q7-R7</f>
        <v>6553.5937835847544</v>
      </c>
      <c r="T7" s="146">
        <f>S7/Q7</f>
        <v>0.18890668946373546</v>
      </c>
      <c r="Y7" s="42">
        <v>2</v>
      </c>
      <c r="Z7" s="63">
        <v>2025</v>
      </c>
      <c r="AA7" s="116">
        <f>Chart!$AU$4</f>
        <v>6408593.9000000004</v>
      </c>
      <c r="AB7" s="114">
        <f>Chart!$BC$4</f>
        <v>34692.22716352166</v>
      </c>
      <c r="AC7" s="114">
        <f>Chart!$BG$4</f>
        <v>28138.633379936906</v>
      </c>
      <c r="AD7" s="114">
        <f>AB7-AC7</f>
        <v>6553.5937835847544</v>
      </c>
      <c r="AE7" s="117">
        <f>AD7/AB7</f>
        <v>0.18890668946373546</v>
      </c>
      <c r="AK7">
        <v>3</v>
      </c>
      <c r="AL7" s="140">
        <f>$Z$8</f>
        <v>2026</v>
      </c>
      <c r="AM7" s="116">
        <f>Chart!$AV$4</f>
        <v>2666400</v>
      </c>
      <c r="AN7" s="116">
        <f>Chart!$AV$5</f>
        <v>1687500</v>
      </c>
      <c r="AO7" s="116">
        <f>Chart!$AV$6</f>
        <v>8529600</v>
      </c>
      <c r="AP7" s="116">
        <f>Chart!$AV$7</f>
        <v>1246450</v>
      </c>
      <c r="AQ7" s="116">
        <f>Chart!$AV$8</f>
        <v>902000</v>
      </c>
      <c r="AR7" s="116">
        <f>Chart!$AV$9</f>
        <v>681800</v>
      </c>
      <c r="AS7" s="116">
        <f>Chart!$AV$10</f>
        <v>660000</v>
      </c>
      <c r="AT7" s="116">
        <f>Chart!$AV$11</f>
        <v>155600</v>
      </c>
      <c r="BB7">
        <v>3</v>
      </c>
      <c r="BC7" s="140">
        <f>$Z$8</f>
        <v>2026</v>
      </c>
      <c r="BD7" s="116">
        <f>Chart!$AV$4/4</f>
        <v>666600</v>
      </c>
      <c r="BE7" s="116">
        <f>Chart!$AV$5/4</f>
        <v>421875</v>
      </c>
      <c r="BF7" s="116">
        <f>Chart!$AV$6/4</f>
        <v>2132400</v>
      </c>
      <c r="BG7" s="116">
        <f>Chart!$AV$7/4</f>
        <v>311612.5</v>
      </c>
      <c r="BH7" s="116">
        <f>Chart!$AV$8/4</f>
        <v>225500</v>
      </c>
      <c r="BI7" s="116">
        <f>Chart!$AV$9/4</f>
        <v>170450</v>
      </c>
      <c r="BJ7" s="116">
        <f>Chart!$AV$10/4</f>
        <v>165000</v>
      </c>
      <c r="BK7" s="116">
        <f>Chart!$AV$11/4</f>
        <v>38900</v>
      </c>
      <c r="BR7">
        <v>3</v>
      </c>
      <c r="BS7" s="140">
        <f>$Z$8</f>
        <v>2026</v>
      </c>
      <c r="BT7" s="116">
        <f>Chart!$AV$4/4*12</f>
        <v>7999200</v>
      </c>
      <c r="BU7" s="116">
        <f>Chart!$AV$5/4*12</f>
        <v>5062500</v>
      </c>
      <c r="BV7" s="116">
        <f>Chart!$AV$6/4*12</f>
        <v>25588800</v>
      </c>
      <c r="BW7" s="116">
        <f>Chart!$AV$7/4*12</f>
        <v>3739350</v>
      </c>
      <c r="BX7" s="116">
        <f>Chart!$AV$8/4*12</f>
        <v>2706000</v>
      </c>
      <c r="BY7" s="116">
        <f>Chart!$AV$9/4*12</f>
        <v>2045400</v>
      </c>
      <c r="BZ7" s="116">
        <f>Chart!$AV$10/4*12</f>
        <v>1980000</v>
      </c>
      <c r="CA7" s="116">
        <f>Chart!$AV$11/4*12</f>
        <v>466800</v>
      </c>
    </row>
    <row r="8" spans="2:79" x14ac:dyDescent="0.35">
      <c r="B8" s="118">
        <f>B7+1</f>
        <v>3</v>
      </c>
      <c r="C8" s="63" t="s">
        <v>412</v>
      </c>
      <c r="D8" s="148">
        <f>O8/F$1*10^3</f>
        <v>78.563296518879895</v>
      </c>
      <c r="E8" s="148">
        <f>Q8/G$1*10^3</f>
        <v>1191.5563229628797</v>
      </c>
      <c r="F8" s="142">
        <f>R8/G$1*10^3</f>
        <v>1094.2479311948205</v>
      </c>
      <c r="G8" s="143">
        <f t="shared" si="0"/>
        <v>97.308391768059209</v>
      </c>
      <c r="H8" s="146">
        <f>G8/E8</f>
        <v>8.166495355091212E-2</v>
      </c>
      <c r="N8" s="118">
        <f>N7+1</f>
        <v>3</v>
      </c>
      <c r="O8" s="63">
        <v>2026</v>
      </c>
      <c r="P8" s="148" t="e">
        <f>AA8/R$1*10^3</f>
        <v>#DIV/0!</v>
      </c>
      <c r="Q8" s="148">
        <f>Chart!$BD$4</f>
        <v>31199.703441440121</v>
      </c>
      <c r="R8" s="142">
        <f>Chart!$BH$4</f>
        <v>28651.781109092688</v>
      </c>
      <c r="S8" s="143">
        <f>Q8-R8</f>
        <v>2547.9223323474325</v>
      </c>
      <c r="T8" s="146">
        <f>S8/Q8</f>
        <v>8.166495355091187E-2</v>
      </c>
      <c r="Y8" s="118">
        <f>Y7+1</f>
        <v>3</v>
      </c>
      <c r="Z8" s="63">
        <v>2026</v>
      </c>
      <c r="AA8" s="116">
        <f>Chart!$AV$4</f>
        <v>2666400</v>
      </c>
      <c r="AB8" s="114">
        <f>Chart!$BD$4</f>
        <v>31199.703441440121</v>
      </c>
      <c r="AC8" s="114">
        <f>Chart!$BH$4</f>
        <v>28651.781109092688</v>
      </c>
      <c r="AD8" s="114">
        <f>AB8-AC8</f>
        <v>2547.9223323474325</v>
      </c>
      <c r="AE8" s="117">
        <f>AD8/AB8</f>
        <v>8.166495355091187E-2</v>
      </c>
    </row>
    <row r="9" spans="2:79" x14ac:dyDescent="0.35">
      <c r="B9" s="118">
        <f t="shared" ref="B9:B11" si="2">B8+1</f>
        <v>4</v>
      </c>
      <c r="C9" s="63" t="s">
        <v>413</v>
      </c>
      <c r="D9" s="148">
        <f>[1]Chart!$BF$14</f>
        <v>1284.4978583339707</v>
      </c>
      <c r="E9" s="148">
        <f>[1]Chart!$BF$14</f>
        <v>1284.4978583339707</v>
      </c>
      <c r="F9" s="142">
        <f>SUM([1]Chart!$BF$7:$BF$9)</f>
        <v>1044.4978583339707</v>
      </c>
      <c r="G9" s="143">
        <f t="shared" si="0"/>
        <v>240</v>
      </c>
      <c r="H9" s="146">
        <f>G9/E9</f>
        <v>0.18684344114928042</v>
      </c>
      <c r="N9" s="118">
        <f t="shared" ref="N9:N11" si="3">N8+1</f>
        <v>4</v>
      </c>
      <c r="O9" s="63" t="s">
        <v>395</v>
      </c>
      <c r="P9" s="148">
        <f>[1]Chart!$BF$14</f>
        <v>1284.4978583339707</v>
      </c>
      <c r="Q9" s="148">
        <f>E9*26.5</f>
        <v>34039.193245850227</v>
      </c>
      <c r="R9" s="142">
        <f>F9*26.5</f>
        <v>27679.193245850223</v>
      </c>
      <c r="S9" s="143">
        <f t="shared" ref="S9:S10" si="4">Q9-R9</f>
        <v>6360.0000000000036</v>
      </c>
      <c r="T9" s="146">
        <f t="shared" ref="T9:T10" si="5">S9/Q9</f>
        <v>0.1868434411492805</v>
      </c>
      <c r="Y9" s="118">
        <f t="shared" ref="Y9:Y11" si="6">Y8+1</f>
        <v>4</v>
      </c>
    </row>
    <row r="10" spans="2:79" x14ac:dyDescent="0.35">
      <c r="B10" s="118">
        <f t="shared" si="2"/>
        <v>5</v>
      </c>
      <c r="C10" s="63" t="s">
        <v>414</v>
      </c>
      <c r="D10" s="148">
        <f>[1]Chart!$BR$14</f>
        <v>1470</v>
      </c>
      <c r="E10" s="148">
        <f>[1]Chart!$BR$14</f>
        <v>1470</v>
      </c>
      <c r="F10" s="142">
        <v>1033</v>
      </c>
      <c r="G10" s="143">
        <f t="shared" si="0"/>
        <v>437</v>
      </c>
      <c r="H10" s="146">
        <f>G10/E10</f>
        <v>0.29727891156462583</v>
      </c>
      <c r="N10" s="118">
        <f t="shared" si="3"/>
        <v>5</v>
      </c>
      <c r="O10" s="63" t="s">
        <v>396</v>
      </c>
      <c r="P10" s="148">
        <f>[1]Chart!$BR$14</f>
        <v>1470</v>
      </c>
      <c r="Q10" s="148">
        <f>E10*26.5</f>
        <v>38955</v>
      </c>
      <c r="R10" s="142">
        <f>F10*26.5</f>
        <v>27374.5</v>
      </c>
      <c r="S10" s="143">
        <f t="shared" si="4"/>
        <v>11580.5</v>
      </c>
      <c r="T10" s="146">
        <f t="shared" si="5"/>
        <v>0.29727891156462583</v>
      </c>
      <c r="Y10" s="118">
        <f t="shared" si="6"/>
        <v>5</v>
      </c>
    </row>
    <row r="11" spans="2:79" x14ac:dyDescent="0.35">
      <c r="B11" s="118">
        <f t="shared" si="2"/>
        <v>6</v>
      </c>
      <c r="G11" s="143">
        <f t="shared" si="0"/>
        <v>0</v>
      </c>
      <c r="N11" s="118">
        <f t="shared" si="3"/>
        <v>6</v>
      </c>
      <c r="Y11" s="118">
        <f t="shared" si="6"/>
        <v>6</v>
      </c>
    </row>
    <row r="29" spans="9:38" x14ac:dyDescent="0.35">
      <c r="I29" s="136"/>
      <c r="J29" s="136"/>
      <c r="K29" s="136"/>
      <c r="U29" s="136"/>
      <c r="V29" s="136"/>
      <c r="W29" s="136"/>
      <c r="AF29" s="136"/>
      <c r="AG29" s="136"/>
      <c r="AH29" s="136"/>
      <c r="AI29" s="136"/>
    </row>
    <row r="32" spans="9:38" x14ac:dyDescent="0.35">
      <c r="AL32" s="39" t="str">
        <f>Chart!$BB$2</f>
        <v>GIÁ BÁN (VND/kg)</v>
      </c>
    </row>
    <row r="33" spans="2:46" ht="43.5" x14ac:dyDescent="0.35">
      <c r="AK33" t="s">
        <v>370</v>
      </c>
      <c r="AL33" s="139" t="s">
        <v>391</v>
      </c>
      <c r="AM33" s="135" t="str">
        <f>Chart!$AS$4</f>
        <v>Hạt iSS01084G</v>
      </c>
      <c r="AN33" s="136" t="str">
        <f>Chart!$AS$5</f>
        <v>Hạt iSS01G</v>
      </c>
      <c r="AO33" s="136" t="str">
        <f>Chart!$AS$6</f>
        <v>Hạt WSS01G</v>
      </c>
      <c r="AP33" s="136" t="str">
        <f>Chart!$AS$7</f>
        <v>Hạt WSS03G</v>
      </c>
      <c r="AQ33" s="136" t="str">
        <f>Chart!$AS$8</f>
        <v>Hạt WSS03G-PW</v>
      </c>
      <c r="AR33" s="136" t="str">
        <f>Chart!$AS$9</f>
        <v>Hạt WSS05SB (sợi ngắn)</v>
      </c>
      <c r="AS33" s="136" t="str">
        <f>Chart!$AS$10</f>
        <v>Vảy FPET201-Out</v>
      </c>
      <c r="AT33" s="136" t="str">
        <f>Chart!$AS$11</f>
        <v>Dây Đai</v>
      </c>
    </row>
    <row r="34" spans="2:46" x14ac:dyDescent="0.35">
      <c r="AK34">
        <v>1</v>
      </c>
      <c r="AL34" s="140">
        <f>$Z$6</f>
        <v>2024</v>
      </c>
      <c r="AM34" s="116">
        <f>Chart!$BB$4</f>
        <v>34726.705755409792</v>
      </c>
      <c r="AN34" s="116">
        <f>Chart!$BB$5</f>
        <v>30405.36558321464</v>
      </c>
      <c r="AO34" s="116">
        <f>Chart!$BB$6</f>
        <v>30433.889255129769</v>
      </c>
      <c r="AP34" s="116">
        <f>Chart!$BB$7</f>
        <v>26573.829899541273</v>
      </c>
      <c r="AQ34" s="116">
        <f>Chart!$BB$8</f>
        <v>26025.947280380198</v>
      </c>
      <c r="AR34" s="116">
        <f>Chart!$BB$9</f>
        <v>17338.927331378731</v>
      </c>
      <c r="AS34" s="116">
        <f>Chart!$BB$10</f>
        <v>0</v>
      </c>
      <c r="AT34" s="116">
        <f>Chart!$BB$11</f>
        <v>17074.434218976057</v>
      </c>
    </row>
    <row r="35" spans="2:46" x14ac:dyDescent="0.35">
      <c r="AK35">
        <v>2</v>
      </c>
      <c r="AL35" s="140">
        <f>$Z$7</f>
        <v>2025</v>
      </c>
      <c r="AM35" s="116">
        <f>Chart!$BC$4</f>
        <v>34692.22716352166</v>
      </c>
      <c r="AN35" s="116">
        <f>Chart!$BC$5</f>
        <v>31926.562469319175</v>
      </c>
      <c r="AO35" s="116">
        <f>Chart!$BC$6</f>
        <v>31056.007813878769</v>
      </c>
      <c r="AP35" s="116">
        <f>Chart!$BC$7</f>
        <v>28135.7383935301</v>
      </c>
      <c r="AQ35" s="116">
        <f>Chart!$BC$8</f>
        <v>25142.339484666711</v>
      </c>
      <c r="AR35" s="116">
        <f>Chart!$BC$9</f>
        <v>17160.715152373476</v>
      </c>
      <c r="AS35" s="116">
        <f>Chart!$BC$10</f>
        <v>23549.783026317593</v>
      </c>
      <c r="AT35" s="116">
        <f>Chart!$BC$11</f>
        <v>17155.751539522851</v>
      </c>
    </row>
    <row r="36" spans="2:46" x14ac:dyDescent="0.35">
      <c r="AK36">
        <v>3</v>
      </c>
      <c r="AL36" s="140">
        <f>$Z$8</f>
        <v>2026</v>
      </c>
      <c r="AM36" s="116">
        <f>Chart!$BD$4</f>
        <v>31199.703441440121</v>
      </c>
      <c r="AN36" s="116">
        <f>Chart!$BD$5</f>
        <v>29887.029465582258</v>
      </c>
      <c r="AO36" s="116">
        <f>Chart!$BD$6</f>
        <v>29154.335823516209</v>
      </c>
      <c r="AP36" s="116">
        <f>Chart!$BD$7</f>
        <v>28923.699489915147</v>
      </c>
      <c r="AQ36" s="116">
        <f>Chart!$BD$8</f>
        <v>27079.242339985514</v>
      </c>
      <c r="AR36" s="116">
        <f>Chart!$BD$9</f>
        <v>17735.199773092165</v>
      </c>
      <c r="AS36" s="116">
        <f>Chart!$BD$10</f>
        <v>20074.395290823864</v>
      </c>
      <c r="AT36" s="116">
        <f>Chart!$BD$11</f>
        <v>16169.484039519439</v>
      </c>
    </row>
    <row r="37" spans="2:46" x14ac:dyDescent="0.35">
      <c r="B37" s="119" t="str">
        <f>Chart!$AR$2</f>
        <v>STT</v>
      </c>
      <c r="C37" s="67" t="str">
        <f>Chart!$AS$5</f>
        <v>Hạt iSS01G</v>
      </c>
      <c r="N37" s="119" t="str">
        <f>Chart!$AR$2</f>
        <v>STT</v>
      </c>
      <c r="O37" s="67" t="str">
        <f>Chart!$AS$5</f>
        <v>Hạt iSS01G</v>
      </c>
      <c r="Y37" s="119" t="str">
        <f>Chart!$AR$2</f>
        <v>STT</v>
      </c>
      <c r="Z37" s="67" t="str">
        <f>Chart!$AS$5</f>
        <v>Hạt iSS01G</v>
      </c>
    </row>
    <row r="38" spans="2:46" ht="43.5" x14ac:dyDescent="0.35">
      <c r="B38" s="138"/>
      <c r="C38" s="137"/>
      <c r="D38" s="147" t="s">
        <v>415</v>
      </c>
      <c r="E38" s="147" t="s">
        <v>392</v>
      </c>
      <c r="F38" s="141" t="s">
        <v>397</v>
      </c>
      <c r="G38" s="144" t="s">
        <v>386</v>
      </c>
      <c r="H38" s="145" t="s">
        <v>390</v>
      </c>
      <c r="N38" s="138"/>
      <c r="O38" s="137"/>
      <c r="P38" s="147" t="s">
        <v>415</v>
      </c>
      <c r="Q38" s="147" t="s">
        <v>392</v>
      </c>
      <c r="R38" s="141" t="s">
        <v>397</v>
      </c>
      <c r="S38" s="144" t="s">
        <v>386</v>
      </c>
      <c r="T38" s="145" t="s">
        <v>390</v>
      </c>
      <c r="Y38" s="138"/>
      <c r="Z38" s="137"/>
      <c r="AA38" s="135" t="s">
        <v>384</v>
      </c>
      <c r="AB38" s="136" t="s">
        <v>392</v>
      </c>
      <c r="AC38" s="136" t="s">
        <v>397</v>
      </c>
      <c r="AD38" s="136" t="s">
        <v>386</v>
      </c>
      <c r="AE38" s="136" t="s">
        <v>390</v>
      </c>
    </row>
    <row r="39" spans="2:46" x14ac:dyDescent="0.35">
      <c r="B39" s="138">
        <v>1</v>
      </c>
      <c r="C39" s="63" t="s">
        <v>410</v>
      </c>
      <c r="D39" s="148"/>
      <c r="E39" s="148" t="e">
        <f>Q39/E$1*10^3</f>
        <v>#NAME?</v>
      </c>
      <c r="F39" s="142" t="e">
        <f>R39/E$1*10^3</f>
        <v>#NAME?</v>
      </c>
      <c r="G39" s="143" t="e">
        <f>E39-F39</f>
        <v>#NAME?</v>
      </c>
      <c r="H39" s="146" t="e">
        <f>G39/E39</f>
        <v>#NAME?</v>
      </c>
      <c r="N39" s="138">
        <v>1</v>
      </c>
      <c r="O39" s="63">
        <v>2024</v>
      </c>
      <c r="P39" s="148"/>
      <c r="Q39" s="148">
        <f>Chart!$BB$5</f>
        <v>30405.36558321464</v>
      </c>
      <c r="R39" s="142">
        <f>Chart!$BF$5</f>
        <v>23061.128116039436</v>
      </c>
      <c r="S39" s="143">
        <f>Q39-R39</f>
        <v>7344.2374671752041</v>
      </c>
      <c r="T39" s="146">
        <f>S39/Q39</f>
        <v>0.24154412638371989</v>
      </c>
      <c r="Y39" s="138">
        <v>1</v>
      </c>
      <c r="Z39" s="63">
        <v>2024</v>
      </c>
      <c r="AA39" s="116">
        <f>Chart!$AT$5</f>
        <v>4414400</v>
      </c>
      <c r="AB39" s="114">
        <f>Chart!$BB$5</f>
        <v>30405.36558321464</v>
      </c>
      <c r="AC39" s="114">
        <f>Chart!$BF$5</f>
        <v>23061.128116039436</v>
      </c>
      <c r="AD39" s="114">
        <f>AB39-AC39</f>
        <v>7344.2374671752041</v>
      </c>
      <c r="AE39" s="117">
        <f>AD39/AB39</f>
        <v>0.24154412638371989</v>
      </c>
    </row>
    <row r="40" spans="2:46" x14ac:dyDescent="0.35">
      <c r="B40" s="42">
        <v>2</v>
      </c>
      <c r="C40" s="63" t="s">
        <v>411</v>
      </c>
      <c r="D40" s="148"/>
      <c r="E40" s="148">
        <f>Q40/F$1*10^3</f>
        <v>1238.0335607629145</v>
      </c>
      <c r="F40" s="142">
        <f>R40/F$1*10^3</f>
        <v>999.30030458649674</v>
      </c>
      <c r="G40" s="143">
        <f>E40-F40</f>
        <v>238.73325617641774</v>
      </c>
      <c r="H40" s="146">
        <f>G40/E40</f>
        <v>0.19283262081304398</v>
      </c>
      <c r="N40" s="42">
        <v>2</v>
      </c>
      <c r="O40" s="63">
        <v>2025</v>
      </c>
      <c r="P40" s="148"/>
      <c r="Q40" s="148">
        <f>Chart!$BC$5</f>
        <v>31926.562469319175</v>
      </c>
      <c r="R40" s="142">
        <f>Chart!$BG$5</f>
        <v>25770.07975480899</v>
      </c>
      <c r="S40" s="143">
        <f>Q40-R40</f>
        <v>6156.4827145101845</v>
      </c>
      <c r="T40" s="146">
        <f>S40/Q40</f>
        <v>0.19283262081304395</v>
      </c>
      <c r="Y40" s="42">
        <v>2</v>
      </c>
      <c r="Z40" s="63">
        <v>2025</v>
      </c>
      <c r="AA40" s="116">
        <f>Chart!$AU$5</f>
        <v>10827735.800000001</v>
      </c>
      <c r="AB40" s="114">
        <f>Chart!$BC$5</f>
        <v>31926.562469319175</v>
      </c>
      <c r="AC40" s="114">
        <f>Chart!$BG$5</f>
        <v>25770.07975480899</v>
      </c>
      <c r="AD40" s="114">
        <f>AB40-AC40</f>
        <v>6156.4827145101845</v>
      </c>
      <c r="AE40" s="117">
        <f>AD40/AB40</f>
        <v>0.19283262081304395</v>
      </c>
    </row>
    <row r="41" spans="2:46" x14ac:dyDescent="0.35">
      <c r="B41" s="118">
        <f>B40+1</f>
        <v>3</v>
      </c>
      <c r="C41" s="63" t="s">
        <v>412</v>
      </c>
      <c r="D41" s="148"/>
      <c r="E41" s="148">
        <f>Q41/G$1*10^3</f>
        <v>1141.4236356808344</v>
      </c>
      <c r="F41" s="142">
        <f>R41/G$1*10^3</f>
        <v>1010.1901455666484</v>
      </c>
      <c r="G41" s="143">
        <f>E41-F41</f>
        <v>131.233490114186</v>
      </c>
      <c r="H41" s="146">
        <f>G41/E41</f>
        <v>0.11497351729177052</v>
      </c>
      <c r="N41" s="118">
        <f>N40+1</f>
        <v>3</v>
      </c>
      <c r="O41" s="63">
        <v>2026</v>
      </c>
      <c r="P41" s="148"/>
      <c r="Q41" s="148">
        <f>Chart!$BD$5</f>
        <v>29887.029465582258</v>
      </c>
      <c r="R41" s="142">
        <f>Chart!$BH$5</f>
        <v>26450.812566521479</v>
      </c>
      <c r="S41" s="143">
        <f>Q41-R41</f>
        <v>3436.2168990607788</v>
      </c>
      <c r="T41" s="146">
        <f>S41/Q41</f>
        <v>0.11497351729177059</v>
      </c>
      <c r="Y41" s="118">
        <f>Y40+1</f>
        <v>3</v>
      </c>
      <c r="Z41" s="63">
        <v>2026</v>
      </c>
      <c r="AA41" s="116">
        <f>Chart!$AV$5</f>
        <v>1687500</v>
      </c>
      <c r="AB41" s="114">
        <f>Chart!$BD$5</f>
        <v>29887.029465582258</v>
      </c>
      <c r="AC41" s="114">
        <f>Chart!$BH$5</f>
        <v>26450.812566521479</v>
      </c>
      <c r="AD41" s="114">
        <f>AB41-AC41</f>
        <v>3436.2168990607788</v>
      </c>
      <c r="AE41" s="117">
        <f>AD41/AB41</f>
        <v>0.11497351729177059</v>
      </c>
    </row>
    <row r="42" spans="2:46" x14ac:dyDescent="0.35">
      <c r="B42" s="118">
        <f t="shared" ref="B42:B44" si="7">B41+1</f>
        <v>4</v>
      </c>
      <c r="C42" s="63" t="s">
        <v>413</v>
      </c>
      <c r="D42" s="148"/>
      <c r="E42" s="148">
        <f>[1]Chart!$BF$53</f>
        <v>1234.6977895342607</v>
      </c>
      <c r="F42" s="142">
        <f>SUM([1]Chart!$BF$46:$BF$48)</f>
        <v>1024.6977895342609</v>
      </c>
      <c r="G42" s="143">
        <f>E42-F42</f>
        <v>209.99999999999977</v>
      </c>
      <c r="H42" s="146">
        <f>G42/E42</f>
        <v>0.17008210574282612</v>
      </c>
      <c r="N42" s="118">
        <f t="shared" ref="N42:N44" si="8">N41+1</f>
        <v>4</v>
      </c>
      <c r="O42" s="63" t="s">
        <v>395</v>
      </c>
      <c r="P42" s="148"/>
      <c r="Q42" s="148">
        <f>E42*26.5</f>
        <v>32719.491422657906</v>
      </c>
      <c r="R42" s="142">
        <f>F42*26.5</f>
        <v>27154.491422657913</v>
      </c>
      <c r="S42" s="143">
        <f t="shared" ref="S42:S43" si="9">Q42-R42</f>
        <v>5564.9999999999927</v>
      </c>
      <c r="T42" s="146">
        <f t="shared" ref="T42:T43" si="10">S42/Q42</f>
        <v>0.17008210574282606</v>
      </c>
      <c r="Y42" s="118">
        <f t="shared" ref="Y42:Y44" si="11">Y41+1</f>
        <v>4</v>
      </c>
    </row>
    <row r="43" spans="2:46" x14ac:dyDescent="0.35">
      <c r="B43" s="118">
        <f t="shared" si="7"/>
        <v>5</v>
      </c>
      <c r="C43" s="63" t="s">
        <v>414</v>
      </c>
      <c r="D43" s="148"/>
      <c r="E43" s="148">
        <f>[1]Chart!$BR$53</f>
        <v>1410</v>
      </c>
      <c r="F43" s="142">
        <v>1020</v>
      </c>
      <c r="G43" s="143">
        <f>E43-F43</f>
        <v>390</v>
      </c>
      <c r="H43" s="146">
        <f>G43/E43</f>
        <v>0.27659574468085107</v>
      </c>
      <c r="N43" s="118">
        <f t="shared" si="8"/>
        <v>5</v>
      </c>
      <c r="O43" s="63" t="s">
        <v>396</v>
      </c>
      <c r="P43" s="148"/>
      <c r="Q43" s="148">
        <f>E43*26.5</f>
        <v>37365</v>
      </c>
      <c r="R43" s="142">
        <f>F43*26.5</f>
        <v>27030</v>
      </c>
      <c r="S43" s="143">
        <f t="shared" si="9"/>
        <v>10335</v>
      </c>
      <c r="T43" s="146">
        <f t="shared" si="10"/>
        <v>0.27659574468085107</v>
      </c>
      <c r="Y43" s="118">
        <f t="shared" si="11"/>
        <v>5</v>
      </c>
    </row>
    <row r="44" spans="2:46" x14ac:dyDescent="0.35">
      <c r="B44" s="118">
        <f t="shared" si="7"/>
        <v>6</v>
      </c>
      <c r="N44" s="118">
        <f t="shared" si="8"/>
        <v>6</v>
      </c>
      <c r="Y44" s="118">
        <f t="shared" si="11"/>
        <v>6</v>
      </c>
    </row>
    <row r="62" spans="9:38" x14ac:dyDescent="0.35">
      <c r="I62" s="136"/>
      <c r="J62" s="136"/>
      <c r="U62" s="136"/>
      <c r="V62" s="136"/>
      <c r="AF62" s="136"/>
      <c r="AG62" s="136"/>
    </row>
    <row r="64" spans="9:38" x14ac:dyDescent="0.35">
      <c r="AL64" s="39" t="str">
        <f>Chart!$BF$2</f>
        <v>GIÁ VỐN ĐƠN VỊ (VND/kg)</v>
      </c>
    </row>
    <row r="65" spans="2:46" ht="43.5" x14ac:dyDescent="0.35">
      <c r="AK65" t="s">
        <v>370</v>
      </c>
      <c r="AL65" s="139" t="s">
        <v>391</v>
      </c>
      <c r="AM65" s="135" t="str">
        <f>Chart!$AS$4</f>
        <v>Hạt iSS01084G</v>
      </c>
      <c r="AN65" s="136" t="str">
        <f>Chart!$AS$5</f>
        <v>Hạt iSS01G</v>
      </c>
      <c r="AO65" s="136" t="str">
        <f>Chart!$AS$6</f>
        <v>Hạt WSS01G</v>
      </c>
      <c r="AP65" s="136" t="str">
        <f>Chart!$AS$7</f>
        <v>Hạt WSS03G</v>
      </c>
      <c r="AQ65" s="136" t="str">
        <f>Chart!$AS$8</f>
        <v>Hạt WSS03G-PW</v>
      </c>
      <c r="AR65" s="136" t="str">
        <f>Chart!$AS$9</f>
        <v>Hạt WSS05SB (sợi ngắn)</v>
      </c>
      <c r="AS65" s="136" t="str">
        <f>Chart!$AS$10</f>
        <v>Vảy FPET201-Out</v>
      </c>
      <c r="AT65" s="136" t="str">
        <f>Chart!$AS$11</f>
        <v>Dây Đai</v>
      </c>
    </row>
    <row r="66" spans="2:46" x14ac:dyDescent="0.35">
      <c r="AK66">
        <v>1</v>
      </c>
      <c r="AL66" s="140">
        <f>$Z$6</f>
        <v>2024</v>
      </c>
      <c r="AM66" s="116">
        <f>Chart!$BF$4</f>
        <v>27271.253178600313</v>
      </c>
      <c r="AN66" s="116">
        <f>Chart!$BF$5</f>
        <v>23061.128116039436</v>
      </c>
      <c r="AO66" s="116">
        <f>Chart!$BF$6</f>
        <v>24398.788390546506</v>
      </c>
      <c r="AP66" s="116">
        <f>Chart!$BF$7</f>
        <v>29230.613178629941</v>
      </c>
      <c r="AQ66" s="116">
        <f>Chart!$BF$8</f>
        <v>30566.452336984257</v>
      </c>
      <c r="AR66" s="116">
        <f>Chart!$BF$9</f>
        <v>22643.129784870489</v>
      </c>
      <c r="AS66" s="116">
        <f>Chart!$BF$10</f>
        <v>0</v>
      </c>
      <c r="AT66" s="116">
        <f>Chart!$BF$11</f>
        <v>23716.889805711373</v>
      </c>
    </row>
    <row r="67" spans="2:46" x14ac:dyDescent="0.35">
      <c r="AK67">
        <v>2</v>
      </c>
      <c r="AL67" s="140">
        <f>$Z$7</f>
        <v>2025</v>
      </c>
      <c r="AM67" s="116">
        <f>Chart!$BG$4</f>
        <v>28138.633379936906</v>
      </c>
      <c r="AN67" s="116">
        <f>Chart!$BG$5</f>
        <v>25770.07975480899</v>
      </c>
      <c r="AO67" s="116">
        <f>Chart!$BG$6</f>
        <v>26749.126226040491</v>
      </c>
      <c r="AP67" s="116">
        <f>Chart!$BG$7</f>
        <v>25739.27746191113</v>
      </c>
      <c r="AQ67" s="116">
        <f>Chart!$BG$8</f>
        <v>25324.245496464653</v>
      </c>
      <c r="AR67" s="116">
        <f>Chart!$BG$9</f>
        <v>26664.425688596559</v>
      </c>
      <c r="AS67" s="116">
        <f>Chart!$BG$10</f>
        <v>25925.0059</v>
      </c>
      <c r="AT67" s="116">
        <f>Chart!$BG$11</f>
        <v>21106.547259715026</v>
      </c>
    </row>
    <row r="68" spans="2:46" x14ac:dyDescent="0.35">
      <c r="B68" s="119" t="str">
        <f>Chart!$AR$2</f>
        <v>STT</v>
      </c>
      <c r="C68" s="67" t="str">
        <f>Chart!$AS$6</f>
        <v>Hạt WSS01G</v>
      </c>
      <c r="N68" s="119" t="str">
        <f>Chart!$AR$2</f>
        <v>STT</v>
      </c>
      <c r="O68" s="67" t="str">
        <f>Chart!$AS$6</f>
        <v>Hạt WSS01G</v>
      </c>
      <c r="Y68" s="119" t="str">
        <f>Chart!$AR$2</f>
        <v>STT</v>
      </c>
      <c r="Z68" s="67" t="str">
        <f>Chart!$AS$6</f>
        <v>Hạt WSS01G</v>
      </c>
      <c r="AK68">
        <v>3</v>
      </c>
      <c r="AL68" s="140">
        <f>$Z$8</f>
        <v>2026</v>
      </c>
      <c r="AM68" s="116">
        <f>Chart!$BH$4</f>
        <v>28651.781109092688</v>
      </c>
      <c r="AN68" s="116">
        <f>Chart!$BH$5</f>
        <v>26450.812566521479</v>
      </c>
      <c r="AO68" s="116">
        <f>Chart!$BH$6</f>
        <v>26272.020573270045</v>
      </c>
      <c r="AP68" s="116">
        <f>Chart!$BH$7</f>
        <v>27210.348036371728</v>
      </c>
      <c r="AQ68" s="116">
        <f>Chart!$BH$8</f>
        <v>27142.653088748815</v>
      </c>
      <c r="AR68" s="116">
        <f>Chart!$BH$9</f>
        <v>28400.67402984139</v>
      </c>
      <c r="AS68" s="116">
        <f>Chart!$BH$10</f>
        <v>20404.999999999993</v>
      </c>
      <c r="AT68" s="116">
        <f>Chart!$BH$11</f>
        <v>21246.656786632389</v>
      </c>
    </row>
    <row r="69" spans="2:46" ht="43.5" x14ac:dyDescent="0.35">
      <c r="B69" s="138"/>
      <c r="C69" s="137"/>
      <c r="D69" s="147" t="s">
        <v>415</v>
      </c>
      <c r="E69" s="147" t="s">
        <v>392</v>
      </c>
      <c r="F69" s="141" t="s">
        <v>397</v>
      </c>
      <c r="G69" s="144" t="s">
        <v>386</v>
      </c>
      <c r="H69" s="145" t="s">
        <v>390</v>
      </c>
      <c r="N69" s="138"/>
      <c r="O69" s="137"/>
      <c r="P69" s="147" t="s">
        <v>415</v>
      </c>
      <c r="Q69" s="147" t="s">
        <v>392</v>
      </c>
      <c r="R69" s="141" t="s">
        <v>397</v>
      </c>
      <c r="S69" s="144" t="s">
        <v>386</v>
      </c>
      <c r="T69" s="145" t="s">
        <v>390</v>
      </c>
      <c r="Y69" s="138"/>
      <c r="Z69" s="137"/>
      <c r="AA69" s="135" t="s">
        <v>384</v>
      </c>
      <c r="AB69" s="136" t="s">
        <v>392</v>
      </c>
      <c r="AC69" s="136" t="s">
        <v>397</v>
      </c>
      <c r="AD69" s="136" t="s">
        <v>386</v>
      </c>
      <c r="AE69" s="136" t="s">
        <v>390</v>
      </c>
    </row>
    <row r="70" spans="2:46" x14ac:dyDescent="0.35">
      <c r="B70" s="138">
        <v>1</v>
      </c>
      <c r="C70" s="63" t="s">
        <v>410</v>
      </c>
      <c r="D70" s="148"/>
      <c r="E70" s="148" t="e">
        <f>Q70/E$1*10^3</f>
        <v>#NAME?</v>
      </c>
      <c r="F70" s="142" t="e">
        <f>R70/E$1*10^3</f>
        <v>#NAME?</v>
      </c>
      <c r="G70" s="143" t="e">
        <f>E70-F70</f>
        <v>#NAME?</v>
      </c>
      <c r="H70" s="146" t="e">
        <f>G70/E70</f>
        <v>#NAME?</v>
      </c>
      <c r="N70" s="138">
        <v>1</v>
      </c>
      <c r="O70" s="63">
        <v>2024</v>
      </c>
      <c r="P70" s="148"/>
      <c r="Q70" s="148">
        <f>Chart!$BB$6</f>
        <v>30433.889255129769</v>
      </c>
      <c r="R70" s="142">
        <f>Chart!$BF$6</f>
        <v>24398.788390546506</v>
      </c>
      <c r="S70" s="143">
        <f>Q70-R70</f>
        <v>6035.1008645832626</v>
      </c>
      <c r="T70" s="146">
        <f>S70/Q70</f>
        <v>0.19830199203232032</v>
      </c>
      <c r="Y70" s="138">
        <v>1</v>
      </c>
      <c r="Z70" s="63">
        <v>2024</v>
      </c>
      <c r="AA70" s="116">
        <f>Chart!$AT$6</f>
        <v>19788700</v>
      </c>
      <c r="AB70" s="114">
        <f>Chart!$BB$6</f>
        <v>30433.889255129769</v>
      </c>
      <c r="AC70" s="114">
        <f>Chart!$BF$6</f>
        <v>24398.788390546506</v>
      </c>
      <c r="AD70" s="114">
        <f>AB70-AC70</f>
        <v>6035.1008645832626</v>
      </c>
      <c r="AE70" s="117">
        <f>AD70/AB70</f>
        <v>0.19830199203232032</v>
      </c>
    </row>
    <row r="71" spans="2:46" x14ac:dyDescent="0.35">
      <c r="B71" s="42">
        <v>2</v>
      </c>
      <c r="C71" s="63" t="s">
        <v>411</v>
      </c>
      <c r="D71" s="148"/>
      <c r="E71" s="148">
        <f>Q71/F$1*10^3</f>
        <v>1204.2755925836173</v>
      </c>
      <c r="F71" s="142">
        <f>R71/F$1*10^3</f>
        <v>1037.2653185179495</v>
      </c>
      <c r="G71" s="143">
        <f>E71-F71</f>
        <v>167.01027406566777</v>
      </c>
      <c r="H71" s="146">
        <f>G71/E71</f>
        <v>0.13868110845572224</v>
      </c>
      <c r="N71" s="42">
        <v>2</v>
      </c>
      <c r="O71" s="63">
        <v>2025</v>
      </c>
      <c r="P71" s="148"/>
      <c r="Q71" s="148">
        <f>Chart!$BC$6</f>
        <v>31056.007813878769</v>
      </c>
      <c r="R71" s="142">
        <f>Chart!$BG$6</f>
        <v>26749.126226040491</v>
      </c>
      <c r="S71" s="143">
        <f>Q71-R71</f>
        <v>4306.8815878382775</v>
      </c>
      <c r="T71" s="146">
        <f>S71/Q71</f>
        <v>0.13868110845572221</v>
      </c>
      <c r="Y71" s="42">
        <v>2</v>
      </c>
      <c r="Z71" s="63">
        <v>2025</v>
      </c>
      <c r="AA71" s="116">
        <f>Chart!$AU$6</f>
        <v>19703925</v>
      </c>
      <c r="AB71" s="114">
        <f>Chart!$BC$6</f>
        <v>31056.007813878769</v>
      </c>
      <c r="AC71" s="114">
        <f>Chart!$BG$6</f>
        <v>26749.126226040491</v>
      </c>
      <c r="AD71" s="114">
        <f>AB71-AC71</f>
        <v>4306.8815878382775</v>
      </c>
      <c r="AE71" s="117">
        <f>AD71/AB71</f>
        <v>0.13868110845572221</v>
      </c>
    </row>
    <row r="72" spans="2:46" x14ac:dyDescent="0.35">
      <c r="B72" s="118">
        <f>B71+1</f>
        <v>3</v>
      </c>
      <c r="C72" s="63" t="s">
        <v>412</v>
      </c>
      <c r="D72" s="148"/>
      <c r="E72" s="148">
        <f>Q72/G$1*10^3</f>
        <v>1113.441134384399</v>
      </c>
      <c r="F72" s="142">
        <f>R72/G$1*10^3</f>
        <v>1003.3618521357912</v>
      </c>
      <c r="G72" s="143">
        <f>E72-F72</f>
        <v>110.0792822486078</v>
      </c>
      <c r="H72" s="146">
        <f>G72/E72</f>
        <v>9.8864034073492896E-2</v>
      </c>
      <c r="N72" s="118">
        <f>N71+1</f>
        <v>3</v>
      </c>
      <c r="O72" s="63">
        <v>2026</v>
      </c>
      <c r="P72" s="148"/>
      <c r="Q72" s="148">
        <f>Chart!$BD$6</f>
        <v>29154.335823516209</v>
      </c>
      <c r="R72" s="142">
        <f>Chart!$BH$6</f>
        <v>26272.020573270045</v>
      </c>
      <c r="S72" s="143">
        <f>Q72-R72</f>
        <v>2882.3152502461635</v>
      </c>
      <c r="T72" s="146">
        <f>S72/Q72</f>
        <v>9.8864034073492979E-2</v>
      </c>
      <c r="Y72" s="118">
        <f>Y71+1</f>
        <v>3</v>
      </c>
      <c r="Z72" s="63">
        <v>2026</v>
      </c>
      <c r="AA72" s="116">
        <f>Chart!$AV$6</f>
        <v>8529600</v>
      </c>
      <c r="AB72" s="114">
        <f>Chart!$BD$6</f>
        <v>29154.335823516209</v>
      </c>
      <c r="AC72" s="114">
        <f>Chart!$BH$6</f>
        <v>26272.020573270045</v>
      </c>
      <c r="AD72" s="114">
        <f>AB72-AC72</f>
        <v>2882.3152502461635</v>
      </c>
      <c r="AE72" s="117">
        <f>AD72/AB72</f>
        <v>9.8864034073492979E-2</v>
      </c>
    </row>
    <row r="73" spans="2:46" x14ac:dyDescent="0.35">
      <c r="B73" s="118">
        <f t="shared" ref="B73:B75" si="12">B72+1</f>
        <v>4</v>
      </c>
      <c r="C73" s="63" t="s">
        <v>413</v>
      </c>
      <c r="D73" s="148"/>
      <c r="E73" s="148">
        <f>[1]Chart!$BF$89</f>
        <v>1156.6078351092156</v>
      </c>
      <c r="F73" s="142">
        <f>SUM([1]Chart!$BF$82:$BF$84)</f>
        <v>966.60783510921567</v>
      </c>
      <c r="G73" s="143">
        <f>E73-F73</f>
        <v>189.99999999999989</v>
      </c>
      <c r="H73" s="146">
        <f>G73/E73</f>
        <v>0.16427348512822296</v>
      </c>
      <c r="N73" s="118">
        <f t="shared" ref="N73:N75" si="13">N72+1</f>
        <v>4</v>
      </c>
      <c r="O73" s="63" t="s">
        <v>395</v>
      </c>
      <c r="P73" s="148"/>
      <c r="Q73" s="148">
        <f>E73*26.5</f>
        <v>30650.107630394214</v>
      </c>
      <c r="R73" s="142">
        <f>F73*26.5</f>
        <v>25615.107630394214</v>
      </c>
      <c r="S73" s="143">
        <f t="shared" ref="S73:S74" si="14">Q73-R73</f>
        <v>5035</v>
      </c>
      <c r="T73" s="146">
        <f t="shared" ref="T73:T74" si="15">S73/Q73</f>
        <v>0.16427348512822307</v>
      </c>
      <c r="Y73" s="118">
        <f t="shared" ref="Y73:Y75" si="16">Y72+1</f>
        <v>4</v>
      </c>
    </row>
    <row r="74" spans="2:46" x14ac:dyDescent="0.35">
      <c r="B74" s="118">
        <f t="shared" si="12"/>
        <v>5</v>
      </c>
      <c r="C74" s="63" t="s">
        <v>414</v>
      </c>
      <c r="D74" s="148"/>
      <c r="E74" s="148">
        <f>[1]Chart!$BR$89</f>
        <v>1380</v>
      </c>
      <c r="F74" s="142">
        <v>1012</v>
      </c>
      <c r="G74" s="143">
        <f>E74-F74</f>
        <v>368</v>
      </c>
      <c r="H74" s="146">
        <f>G74/E74</f>
        <v>0.26666666666666666</v>
      </c>
      <c r="N74" s="118">
        <f t="shared" si="13"/>
        <v>5</v>
      </c>
      <c r="O74" s="63" t="s">
        <v>396</v>
      </c>
      <c r="P74" s="148"/>
      <c r="Q74" s="148">
        <f>E74*26.5</f>
        <v>36570</v>
      </c>
      <c r="R74" s="142">
        <f>F74*26.5</f>
        <v>26818</v>
      </c>
      <c r="S74" s="143">
        <f t="shared" si="14"/>
        <v>9752</v>
      </c>
      <c r="T74" s="146">
        <f t="shared" si="15"/>
        <v>0.26666666666666666</v>
      </c>
      <c r="Y74" s="118">
        <f t="shared" si="16"/>
        <v>5</v>
      </c>
    </row>
    <row r="75" spans="2:46" x14ac:dyDescent="0.35">
      <c r="B75" s="118">
        <f t="shared" si="12"/>
        <v>6</v>
      </c>
      <c r="N75" s="118">
        <f t="shared" si="13"/>
        <v>6</v>
      </c>
      <c r="Y75" s="118">
        <f t="shared" si="16"/>
        <v>6</v>
      </c>
    </row>
    <row r="93" spans="9:33" x14ac:dyDescent="0.35">
      <c r="I93" s="136"/>
      <c r="J93" s="136"/>
      <c r="U93" s="136"/>
      <c r="V93" s="136"/>
      <c r="AF93" s="136"/>
      <c r="AG93" s="136"/>
    </row>
    <row r="99" spans="2:31" x14ac:dyDescent="0.35">
      <c r="B99" s="119" t="str">
        <f>Chart!$AR$2</f>
        <v>STT</v>
      </c>
      <c r="C99" s="67" t="str">
        <f>Chart!$AS$7</f>
        <v>Hạt WSS03G</v>
      </c>
      <c r="N99" s="119" t="str">
        <f>Chart!$AR$2</f>
        <v>STT</v>
      </c>
      <c r="O99" s="67" t="str">
        <f>Chart!$AS$7</f>
        <v>Hạt WSS03G</v>
      </c>
      <c r="Y99" s="119" t="str">
        <f>Chart!$AR$2</f>
        <v>STT</v>
      </c>
      <c r="Z99" s="67" t="str">
        <f>Chart!$AS$7</f>
        <v>Hạt WSS03G</v>
      </c>
    </row>
    <row r="100" spans="2:31" ht="43.5" x14ac:dyDescent="0.35">
      <c r="B100" s="138"/>
      <c r="C100" s="137"/>
      <c r="D100" s="147" t="s">
        <v>415</v>
      </c>
      <c r="E100" s="147" t="s">
        <v>392</v>
      </c>
      <c r="F100" s="141" t="s">
        <v>397</v>
      </c>
      <c r="G100" s="144" t="s">
        <v>386</v>
      </c>
      <c r="H100" s="145" t="s">
        <v>390</v>
      </c>
      <c r="N100" s="138"/>
      <c r="O100" s="137"/>
      <c r="P100" s="147" t="s">
        <v>415</v>
      </c>
      <c r="Q100" s="147" t="s">
        <v>392</v>
      </c>
      <c r="R100" s="141" t="s">
        <v>397</v>
      </c>
      <c r="S100" s="144" t="s">
        <v>386</v>
      </c>
      <c r="T100" s="145" t="s">
        <v>390</v>
      </c>
      <c r="Y100" s="138"/>
      <c r="Z100" s="137"/>
      <c r="AA100" s="135" t="s">
        <v>384</v>
      </c>
      <c r="AB100" s="136" t="s">
        <v>392</v>
      </c>
      <c r="AC100" s="136" t="s">
        <v>397</v>
      </c>
      <c r="AD100" s="136" t="s">
        <v>386</v>
      </c>
      <c r="AE100" s="136" t="s">
        <v>390</v>
      </c>
    </row>
    <row r="101" spans="2:31" x14ac:dyDescent="0.35">
      <c r="B101" s="138">
        <v>1</v>
      </c>
      <c r="C101" s="63" t="s">
        <v>410</v>
      </c>
      <c r="D101" s="148"/>
      <c r="E101" s="148" t="e">
        <f>Q101/E$1*10^3</f>
        <v>#NAME?</v>
      </c>
      <c r="F101" s="142" t="e">
        <f>R101/E$1*10^3</f>
        <v>#NAME?</v>
      </c>
      <c r="G101" s="143" t="e">
        <f>E101-F101</f>
        <v>#NAME?</v>
      </c>
      <c r="H101" s="146" t="e">
        <f>G101/E101</f>
        <v>#NAME?</v>
      </c>
      <c r="N101" s="138">
        <v>1</v>
      </c>
      <c r="O101" s="63">
        <v>2024</v>
      </c>
      <c r="P101" s="148"/>
      <c r="Q101" s="148">
        <f>Chart!$BB$7</f>
        <v>26573.829899541273</v>
      </c>
      <c r="R101" s="142">
        <f>Chart!$BF$7</f>
        <v>29230.613178629941</v>
      </c>
      <c r="S101" s="143">
        <f>Q101-R101</f>
        <v>-2656.7832790886678</v>
      </c>
      <c r="T101" s="146">
        <f>S101/Q101</f>
        <v>-9.9977432275749234E-2</v>
      </c>
      <c r="Y101" s="138">
        <v>1</v>
      </c>
      <c r="Z101" s="63">
        <v>2024</v>
      </c>
      <c r="AA101" s="116">
        <f>Chart!$AT$7</f>
        <v>1740225</v>
      </c>
      <c r="AB101" s="114">
        <f>Chart!$BB$7</f>
        <v>26573.829899541273</v>
      </c>
      <c r="AC101" s="114">
        <f>Chart!$BF$7</f>
        <v>29230.613178629941</v>
      </c>
      <c r="AD101" s="114">
        <f>AB101-AC101</f>
        <v>-2656.7832790886678</v>
      </c>
      <c r="AE101" s="117">
        <f>AD101/AB101</f>
        <v>-9.9977432275749234E-2</v>
      </c>
    </row>
    <row r="102" spans="2:31" x14ac:dyDescent="0.35">
      <c r="B102" s="42">
        <v>2</v>
      </c>
      <c r="C102" s="63" t="s">
        <v>411</v>
      </c>
      <c r="D102" s="148"/>
      <c r="E102" s="148">
        <f>Q102/F$1*10^3</f>
        <v>1091.0347276350142</v>
      </c>
      <c r="F102" s="142">
        <f>R102/F$1*10^3</f>
        <v>998.10586743427757</v>
      </c>
      <c r="G102" s="143">
        <f>E102-F102</f>
        <v>92.928860200736608</v>
      </c>
      <c r="H102" s="146">
        <f>G102/E102</f>
        <v>8.5174979170621112E-2</v>
      </c>
      <c r="N102" s="42">
        <v>2</v>
      </c>
      <c r="O102" s="63">
        <v>2025</v>
      </c>
      <c r="P102" s="148"/>
      <c r="Q102" s="148">
        <f>Chart!$BC$7</f>
        <v>28135.7383935301</v>
      </c>
      <c r="R102" s="142">
        <f>Chart!$BG$7</f>
        <v>25739.27746191113</v>
      </c>
      <c r="S102" s="143">
        <f>Q102-R102</f>
        <v>2396.4609316189708</v>
      </c>
      <c r="T102" s="146">
        <f>S102/Q102</f>
        <v>8.5174979170621098E-2</v>
      </c>
      <c r="Y102" s="42">
        <v>2</v>
      </c>
      <c r="Z102" s="63">
        <v>2025</v>
      </c>
      <c r="AA102" s="116">
        <f>Chart!$AU$7</f>
        <v>1235050</v>
      </c>
      <c r="AB102" s="114">
        <f>Chart!$BC$7</f>
        <v>28135.7383935301</v>
      </c>
      <c r="AC102" s="114">
        <f>Chart!$BG$7</f>
        <v>25739.27746191113</v>
      </c>
      <c r="AD102" s="114">
        <f>AB102-AC102</f>
        <v>2396.4609316189708</v>
      </c>
      <c r="AE102" s="117">
        <f>AD102/AB102</f>
        <v>8.5174979170621098E-2</v>
      </c>
    </row>
    <row r="103" spans="2:31" x14ac:dyDescent="0.35">
      <c r="B103" s="118">
        <f>B102+1</f>
        <v>3</v>
      </c>
      <c r="C103" s="63" t="s">
        <v>412</v>
      </c>
      <c r="D103" s="148"/>
      <c r="E103" s="148">
        <f>Q103/G$1*10^3</f>
        <v>1104.632839711883</v>
      </c>
      <c r="F103" s="142">
        <f>R103/G$1*10^3</f>
        <v>1039.1977703767152</v>
      </c>
      <c r="G103" s="143">
        <f>E103-F103</f>
        <v>65.435069335167782</v>
      </c>
      <c r="H103" s="146">
        <f>G103/E103</f>
        <v>5.9236940078872681E-2</v>
      </c>
      <c r="N103" s="118">
        <f>N102+1</f>
        <v>3</v>
      </c>
      <c r="O103" s="63">
        <v>2026</v>
      </c>
      <c r="P103" s="148"/>
      <c r="Q103" s="148">
        <f>Chart!$BD$7</f>
        <v>28923.699489915147</v>
      </c>
      <c r="R103" s="142">
        <f>Chart!$BH$7</f>
        <v>27210.348036371728</v>
      </c>
      <c r="S103" s="143">
        <f>Q103-R103</f>
        <v>1713.3514535434188</v>
      </c>
      <c r="T103" s="146">
        <f>S103/Q103</f>
        <v>5.9236940078872501E-2</v>
      </c>
      <c r="Y103" s="118">
        <f>Y102+1</f>
        <v>3</v>
      </c>
      <c r="Z103" s="63">
        <v>2026</v>
      </c>
      <c r="AA103" s="116">
        <f>Chart!$AV$7</f>
        <v>1246450</v>
      </c>
      <c r="AB103" s="114">
        <f>Chart!$BD$7</f>
        <v>28923.699489915147</v>
      </c>
      <c r="AC103" s="114">
        <f>Chart!$BH$7</f>
        <v>27210.348036371728</v>
      </c>
      <c r="AD103" s="114">
        <f>AB103-AC103</f>
        <v>1713.3514535434188</v>
      </c>
      <c r="AE103" s="117">
        <f>AD103/AB103</f>
        <v>5.9236940078872501E-2</v>
      </c>
    </row>
    <row r="104" spans="2:31" x14ac:dyDescent="0.35">
      <c r="B104" s="118">
        <f t="shared" ref="B104:B106" si="17">B103+1</f>
        <v>4</v>
      </c>
      <c r="C104" s="63" t="s">
        <v>413</v>
      </c>
      <c r="D104" s="148"/>
      <c r="E104" s="148">
        <f>[1]Chart!$BF$134</f>
        <v>1134.590999848426</v>
      </c>
      <c r="F104" s="142">
        <f>SUM([1]Chart!$BF$127:$BF$129)</f>
        <v>944.59099984842601</v>
      </c>
      <c r="G104" s="143">
        <f>E104-F104</f>
        <v>190</v>
      </c>
      <c r="H104" s="146">
        <f>G104/E104</f>
        <v>0.16746122613821435</v>
      </c>
      <c r="N104" s="118">
        <f t="shared" ref="N104:N106" si="18">N103+1</f>
        <v>4</v>
      </c>
      <c r="O104" s="63" t="s">
        <v>395</v>
      </c>
      <c r="P104" s="148"/>
      <c r="Q104" s="148">
        <f>E104*26.5</f>
        <v>30066.661495983288</v>
      </c>
      <c r="R104" s="142">
        <f>F104*26.5</f>
        <v>25031.661495983288</v>
      </c>
      <c r="S104" s="143">
        <f t="shared" ref="S104:S105" si="19">Q104-R104</f>
        <v>5035</v>
      </c>
      <c r="T104" s="146">
        <f t="shared" ref="T104:T105" si="20">S104/Q104</f>
        <v>0.16746122613821438</v>
      </c>
      <c r="Y104" s="118">
        <f t="shared" ref="Y104:Y106" si="21">Y103+1</f>
        <v>4</v>
      </c>
    </row>
    <row r="105" spans="2:31" x14ac:dyDescent="0.35">
      <c r="B105" s="118">
        <f t="shared" si="17"/>
        <v>5</v>
      </c>
      <c r="C105" s="63" t="s">
        <v>414</v>
      </c>
      <c r="D105" s="148"/>
      <c r="E105" s="148">
        <f>[1]Chart!$BR$134</f>
        <v>1310</v>
      </c>
      <c r="F105" s="142">
        <f>SUM([1]Chart!$BR$127:$BR$129)</f>
        <v>944.59099984842601</v>
      </c>
      <c r="G105" s="143">
        <f>E105-F105</f>
        <v>365.40900015157399</v>
      </c>
      <c r="H105" s="146">
        <f>G105/E105</f>
        <v>0.27893816805463661</v>
      </c>
      <c r="N105" s="118">
        <f t="shared" si="18"/>
        <v>5</v>
      </c>
      <c r="O105" s="63" t="s">
        <v>396</v>
      </c>
      <c r="P105" s="148"/>
      <c r="Q105" s="148">
        <f>E105*26.5</f>
        <v>34715</v>
      </c>
      <c r="R105" s="142">
        <f>F105*26.5</f>
        <v>25031.661495983288</v>
      </c>
      <c r="S105" s="143">
        <f t="shared" si="19"/>
        <v>9683.3385040167122</v>
      </c>
      <c r="T105" s="146">
        <f t="shared" si="20"/>
        <v>0.27893816805463667</v>
      </c>
      <c r="Y105" s="118">
        <f t="shared" si="21"/>
        <v>5</v>
      </c>
    </row>
    <row r="106" spans="2:31" x14ac:dyDescent="0.35">
      <c r="B106" s="118">
        <f t="shared" si="17"/>
        <v>6</v>
      </c>
      <c r="N106" s="118">
        <f t="shared" si="18"/>
        <v>6</v>
      </c>
      <c r="Y106" s="118">
        <f t="shared" si="21"/>
        <v>6</v>
      </c>
    </row>
    <row r="124" spans="9:33" x14ac:dyDescent="0.35">
      <c r="I124" s="136"/>
      <c r="J124" s="136"/>
      <c r="U124" s="136"/>
      <c r="V124" s="136"/>
      <c r="AF124" s="136"/>
      <c r="AG124" s="136"/>
    </row>
    <row r="130" spans="2:31" x14ac:dyDescent="0.35">
      <c r="B130" s="119" t="str">
        <f>Chart!$AR$2</f>
        <v>STT</v>
      </c>
      <c r="C130" s="67" t="str">
        <f>Chart!$AS$14</f>
        <v>Hạt WSS03NC</v>
      </c>
      <c r="N130" s="119" t="str">
        <f>Chart!$AR$2</f>
        <v>STT</v>
      </c>
      <c r="O130" s="67" t="str">
        <f>Chart!$AS$14</f>
        <v>Hạt WSS03NC</v>
      </c>
      <c r="Y130" s="119" t="str">
        <f>Chart!$AR$2</f>
        <v>STT</v>
      </c>
      <c r="Z130" s="67" t="str">
        <f>Chart!$AS$7</f>
        <v>Hạt WSS03G</v>
      </c>
    </row>
    <row r="131" spans="2:31" ht="43.5" x14ac:dyDescent="0.35">
      <c r="B131" s="138"/>
      <c r="C131" s="137"/>
      <c r="D131" s="147" t="s">
        <v>415</v>
      </c>
      <c r="E131" s="147" t="s">
        <v>392</v>
      </c>
      <c r="F131" s="141" t="s">
        <v>397</v>
      </c>
      <c r="G131" s="144" t="s">
        <v>386</v>
      </c>
      <c r="H131" s="145" t="s">
        <v>390</v>
      </c>
      <c r="N131" s="138"/>
      <c r="O131" s="137"/>
      <c r="P131" s="147" t="s">
        <v>415</v>
      </c>
      <c r="Q131" s="147" t="s">
        <v>392</v>
      </c>
      <c r="R131" s="141" t="s">
        <v>397</v>
      </c>
      <c r="S131" s="144" t="s">
        <v>386</v>
      </c>
      <c r="T131" s="145" t="s">
        <v>390</v>
      </c>
      <c r="Y131" s="138"/>
      <c r="Z131" s="137"/>
      <c r="AA131" s="135" t="s">
        <v>384</v>
      </c>
      <c r="AB131" s="136" t="s">
        <v>392</v>
      </c>
      <c r="AC131" s="136" t="s">
        <v>397</v>
      </c>
      <c r="AD131" s="136" t="s">
        <v>386</v>
      </c>
      <c r="AE131" s="136" t="s">
        <v>390</v>
      </c>
    </row>
    <row r="132" spans="2:31" x14ac:dyDescent="0.35">
      <c r="B132" s="138">
        <v>1</v>
      </c>
      <c r="C132" s="63" t="s">
        <v>410</v>
      </c>
      <c r="D132" s="148"/>
      <c r="E132" s="148" t="e">
        <f>Q132/E$1*10^3</f>
        <v>#NAME?</v>
      </c>
      <c r="F132" s="142" t="e">
        <f>R132/E$1*10^3</f>
        <v>#NAME?</v>
      </c>
      <c r="G132" s="143" t="e">
        <f>E132-F132</f>
        <v>#NAME?</v>
      </c>
      <c r="H132" s="146" t="e">
        <f>G132/E132</f>
        <v>#NAME?</v>
      </c>
      <c r="N132" s="138">
        <v>1</v>
      </c>
      <c r="O132" s="63">
        <v>2024</v>
      </c>
      <c r="P132" s="148"/>
      <c r="Q132" s="148">
        <f>Chart!$BB$7</f>
        <v>26573.829899541273</v>
      </c>
      <c r="R132" s="142">
        <f>Chart!$BF$7</f>
        <v>29230.613178629941</v>
      </c>
      <c r="S132" s="143">
        <f>Q132-R132</f>
        <v>-2656.7832790886678</v>
      </c>
      <c r="T132" s="146">
        <f>S132/Q132</f>
        <v>-9.9977432275749234E-2</v>
      </c>
      <c r="Y132" s="138">
        <v>1</v>
      </c>
      <c r="Z132" s="63">
        <v>2024</v>
      </c>
      <c r="AA132" s="116">
        <f>Chart!$AT$7</f>
        <v>1740225</v>
      </c>
      <c r="AB132" s="114">
        <f>Chart!$BB$7</f>
        <v>26573.829899541273</v>
      </c>
      <c r="AC132" s="114">
        <f>Chart!$BF$7</f>
        <v>29230.613178629941</v>
      </c>
      <c r="AD132" s="114">
        <f>AB132-AC132</f>
        <v>-2656.7832790886678</v>
      </c>
      <c r="AE132" s="117">
        <f>AD132/AB132</f>
        <v>-9.9977432275749234E-2</v>
      </c>
    </row>
    <row r="133" spans="2:31" x14ac:dyDescent="0.35">
      <c r="B133" s="42">
        <v>2</v>
      </c>
      <c r="C133" s="63" t="s">
        <v>411</v>
      </c>
      <c r="D133" s="148"/>
      <c r="E133" s="148">
        <f>Q133/F$1*10^3</f>
        <v>1091.0347276350142</v>
      </c>
      <c r="F133" s="142">
        <f>R133/F$1*10^3</f>
        <v>998.10586743427757</v>
      </c>
      <c r="G133" s="143">
        <f>E133-F133</f>
        <v>92.928860200736608</v>
      </c>
      <c r="H133" s="146">
        <f>G133/E133</f>
        <v>8.5174979170621112E-2</v>
      </c>
      <c r="N133" s="42">
        <v>2</v>
      </c>
      <c r="O133" s="63">
        <v>2025</v>
      </c>
      <c r="P133" s="148"/>
      <c r="Q133" s="148">
        <f>Chart!$BC$7</f>
        <v>28135.7383935301</v>
      </c>
      <c r="R133" s="142">
        <f>Chart!$BG$7</f>
        <v>25739.27746191113</v>
      </c>
      <c r="S133" s="143">
        <f>Q133-R133</f>
        <v>2396.4609316189708</v>
      </c>
      <c r="T133" s="146">
        <f>S133/Q133</f>
        <v>8.5174979170621098E-2</v>
      </c>
      <c r="Y133" s="42">
        <v>2</v>
      </c>
      <c r="Z133" s="63">
        <v>2025</v>
      </c>
      <c r="AA133" s="116">
        <f>Chart!$AU$7</f>
        <v>1235050</v>
      </c>
      <c r="AB133" s="114">
        <f>Chart!$BC$7</f>
        <v>28135.7383935301</v>
      </c>
      <c r="AC133" s="114">
        <f>Chart!$BG$7</f>
        <v>25739.27746191113</v>
      </c>
      <c r="AD133" s="114">
        <f>AB133-AC133</f>
        <v>2396.4609316189708</v>
      </c>
      <c r="AE133" s="117">
        <f>AD133/AB133</f>
        <v>8.5174979170621098E-2</v>
      </c>
    </row>
    <row r="134" spans="2:31" x14ac:dyDescent="0.35">
      <c r="B134" s="118">
        <f>B133+1</f>
        <v>3</v>
      </c>
      <c r="C134" s="63" t="s">
        <v>412</v>
      </c>
      <c r="D134" s="148"/>
      <c r="E134" s="148">
        <f>Q134/G$1*10^3</f>
        <v>1104.632839711883</v>
      </c>
      <c r="F134" s="142">
        <f>R134/G$1*10^3</f>
        <v>1039.1977703767152</v>
      </c>
      <c r="G134" s="143">
        <f>E134-F134</f>
        <v>65.435069335167782</v>
      </c>
      <c r="H134" s="146">
        <f>G134/E134</f>
        <v>5.9236940078872681E-2</v>
      </c>
      <c r="N134" s="118">
        <f>N133+1</f>
        <v>3</v>
      </c>
      <c r="O134" s="63">
        <v>2026</v>
      </c>
      <c r="P134" s="148"/>
      <c r="Q134" s="148">
        <f>Chart!$BD$7</f>
        <v>28923.699489915147</v>
      </c>
      <c r="R134" s="142">
        <f>Chart!$BH$7</f>
        <v>27210.348036371728</v>
      </c>
      <c r="S134" s="143">
        <f>Q134-R134</f>
        <v>1713.3514535434188</v>
      </c>
      <c r="T134" s="146">
        <f>S134/Q134</f>
        <v>5.9236940078872501E-2</v>
      </c>
      <c r="Y134" s="118">
        <f>Y133+1</f>
        <v>3</v>
      </c>
      <c r="Z134" s="63">
        <v>2026</v>
      </c>
      <c r="AA134" s="116">
        <f>Chart!$AV$7</f>
        <v>1246450</v>
      </c>
      <c r="AB134" s="114">
        <f>Chart!$BD$7</f>
        <v>28923.699489915147</v>
      </c>
      <c r="AC134" s="114">
        <f>Chart!$BH$7</f>
        <v>27210.348036371728</v>
      </c>
      <c r="AD134" s="114">
        <f>AB134-AC134</f>
        <v>1713.3514535434188</v>
      </c>
      <c r="AE134" s="117">
        <f>AD134/AB134</f>
        <v>5.9236940078872501E-2</v>
      </c>
    </row>
    <row r="135" spans="2:31" x14ac:dyDescent="0.35">
      <c r="B135" s="118">
        <f t="shared" ref="B135:B137" si="22">B134+1</f>
        <v>4</v>
      </c>
      <c r="C135" s="63" t="s">
        <v>413</v>
      </c>
      <c r="D135" s="148"/>
      <c r="E135" s="148">
        <f>[1]Chart!$BF$269</f>
        <v>1137.5909577436139</v>
      </c>
      <c r="F135" s="142">
        <f>SUM([1]Chart!$BF$262:$BF$264)</f>
        <v>947.5909577436139</v>
      </c>
      <c r="G135" s="143">
        <f>E135-F135</f>
        <v>190</v>
      </c>
      <c r="H135" s="146">
        <f>G135/E135</f>
        <v>0.16701961166855681</v>
      </c>
      <c r="N135" s="118">
        <f t="shared" ref="N135:N137" si="23">N134+1</f>
        <v>4</v>
      </c>
      <c r="O135" s="63" t="s">
        <v>395</v>
      </c>
      <c r="P135" s="148"/>
      <c r="Q135" s="148">
        <f>E135*26.5</f>
        <v>30146.160380205769</v>
      </c>
      <c r="R135" s="142">
        <f>F135*26.5</f>
        <v>25111.160380205769</v>
      </c>
      <c r="S135" s="143">
        <f t="shared" ref="S135:S136" si="24">Q135-R135</f>
        <v>5035</v>
      </c>
      <c r="T135" s="146">
        <f t="shared" ref="T135:T136" si="25">S135/Q135</f>
        <v>0.16701961166855681</v>
      </c>
      <c r="Y135" s="118">
        <f t="shared" ref="Y135:Y137" si="26">Y134+1</f>
        <v>4</v>
      </c>
    </row>
    <row r="136" spans="2:31" x14ac:dyDescent="0.35">
      <c r="B136" s="118">
        <f t="shared" si="22"/>
        <v>5</v>
      </c>
      <c r="C136" s="63" t="s">
        <v>414</v>
      </c>
      <c r="D136" s="148"/>
      <c r="E136" s="148">
        <f>[1]Chart!$BR$269</f>
        <v>1250</v>
      </c>
      <c r="F136" s="142">
        <v>945</v>
      </c>
      <c r="G136" s="143">
        <f>E136-F136</f>
        <v>305</v>
      </c>
      <c r="H136" s="146">
        <f>G136/E136</f>
        <v>0.24399999999999999</v>
      </c>
      <c r="N136" s="118">
        <f t="shared" si="23"/>
        <v>5</v>
      </c>
      <c r="O136" s="63" t="s">
        <v>396</v>
      </c>
      <c r="P136" s="148"/>
      <c r="Q136" s="148">
        <f>E136*26.5</f>
        <v>33125</v>
      </c>
      <c r="R136" s="142">
        <f>F136*26.5</f>
        <v>25042.5</v>
      </c>
      <c r="S136" s="143">
        <f t="shared" si="24"/>
        <v>8082.5</v>
      </c>
      <c r="T136" s="146">
        <f t="shared" si="25"/>
        <v>0.24399999999999999</v>
      </c>
      <c r="Y136" s="118">
        <f t="shared" si="26"/>
        <v>5</v>
      </c>
    </row>
    <row r="137" spans="2:31" x14ac:dyDescent="0.35">
      <c r="B137" s="118">
        <f t="shared" si="22"/>
        <v>6</v>
      </c>
      <c r="N137" s="118">
        <f t="shared" si="23"/>
        <v>6</v>
      </c>
      <c r="Y137" s="118">
        <f t="shared" si="26"/>
        <v>6</v>
      </c>
    </row>
    <row r="155" spans="9:33" x14ac:dyDescent="0.35">
      <c r="I155" s="136"/>
      <c r="J155" s="136"/>
      <c r="U155" s="136"/>
      <c r="V155" s="136"/>
      <c r="AF155" s="136"/>
      <c r="AG155" s="136"/>
    </row>
    <row r="163" spans="2:31" x14ac:dyDescent="0.35">
      <c r="B163" s="119" t="str">
        <f>Chart!$AR$2</f>
        <v>STT</v>
      </c>
      <c r="C163" s="67" t="str">
        <f>Chart!$AS$10</f>
        <v>Vảy FPET201-Out</v>
      </c>
      <c r="N163" s="119" t="str">
        <f>Chart!$AR$2</f>
        <v>STT</v>
      </c>
      <c r="O163" s="67" t="str">
        <f>Chart!$AS$10</f>
        <v>Vảy FPET201-Out</v>
      </c>
      <c r="Y163" s="119" t="str">
        <f>Chart!$AR$2</f>
        <v>STT</v>
      </c>
      <c r="Z163" s="67" t="str">
        <f>Chart!$AS$10</f>
        <v>Vảy FPET201-Out</v>
      </c>
    </row>
    <row r="164" spans="2:31" ht="43.5" x14ac:dyDescent="0.35">
      <c r="B164" s="138"/>
      <c r="C164" s="137"/>
      <c r="D164" s="147" t="s">
        <v>415</v>
      </c>
      <c r="E164" s="147" t="s">
        <v>392</v>
      </c>
      <c r="F164" s="141" t="s">
        <v>397</v>
      </c>
      <c r="G164" s="144" t="s">
        <v>386</v>
      </c>
      <c r="H164" s="145" t="s">
        <v>390</v>
      </c>
      <c r="N164" s="138"/>
      <c r="O164" s="137"/>
      <c r="P164" s="147" t="s">
        <v>415</v>
      </c>
      <c r="Q164" s="147" t="s">
        <v>392</v>
      </c>
      <c r="R164" s="141" t="s">
        <v>397</v>
      </c>
      <c r="S164" s="144" t="s">
        <v>386</v>
      </c>
      <c r="T164" s="145" t="s">
        <v>390</v>
      </c>
      <c r="Y164" s="138"/>
      <c r="Z164" s="137"/>
      <c r="AA164" s="147" t="s">
        <v>384</v>
      </c>
      <c r="AB164" s="147" t="s">
        <v>392</v>
      </c>
      <c r="AC164" s="141" t="s">
        <v>397</v>
      </c>
      <c r="AD164" s="144" t="s">
        <v>386</v>
      </c>
      <c r="AE164" s="145" t="s">
        <v>390</v>
      </c>
    </row>
    <row r="165" spans="2:31" x14ac:dyDescent="0.35">
      <c r="B165" s="42">
        <v>1</v>
      </c>
      <c r="C165" s="63" t="s">
        <v>410</v>
      </c>
      <c r="D165" s="148"/>
      <c r="E165" s="148">
        <f>Q165/F$1*10^3</f>
        <v>913.20265886074719</v>
      </c>
      <c r="F165" s="142">
        <f>R165/F$1*10^3</f>
        <v>1005.3079594153063</v>
      </c>
      <c r="G165" s="143">
        <f>E165-F165</f>
        <v>-92.105300554559108</v>
      </c>
      <c r="H165" s="146">
        <f>G165/E165</f>
        <v>-0.10085965000306038</v>
      </c>
      <c r="N165" s="42">
        <v>1</v>
      </c>
      <c r="O165" s="63">
        <v>2025</v>
      </c>
      <c r="P165" s="148"/>
      <c r="Q165" s="148">
        <f>Chart!$BC$10</f>
        <v>23549.783026317593</v>
      </c>
      <c r="R165" s="142">
        <f>Chart!$BG$10</f>
        <v>25925.0059</v>
      </c>
      <c r="S165" s="143">
        <f>Q165-R165</f>
        <v>-2375.2228736824072</v>
      </c>
      <c r="T165" s="146">
        <f>S165/Q165</f>
        <v>-0.10085965000306049</v>
      </c>
      <c r="Y165" s="42">
        <v>2</v>
      </c>
      <c r="Z165" s="63">
        <v>2025</v>
      </c>
      <c r="AA165" s="148">
        <f>Chart!$AU$10</f>
        <v>20000</v>
      </c>
      <c r="AB165" s="148">
        <f>Chart!$BC$10</f>
        <v>23549.783026317593</v>
      </c>
      <c r="AC165" s="142">
        <f>Chart!$BG$10</f>
        <v>25925.0059</v>
      </c>
      <c r="AD165" s="143">
        <f>AB165-AC165</f>
        <v>-2375.2228736824072</v>
      </c>
      <c r="AE165" s="146">
        <f>AD165/AB165</f>
        <v>-0.10085965000306049</v>
      </c>
    </row>
    <row r="166" spans="2:31" x14ac:dyDescent="0.35">
      <c r="B166" s="118">
        <f>B165+1</f>
        <v>2</v>
      </c>
      <c r="C166" s="63" t="s">
        <v>411</v>
      </c>
      <c r="D166" s="148"/>
      <c r="E166" s="148">
        <f>Q166/G$1*10^3</f>
        <v>766.66666666666674</v>
      </c>
      <c r="F166" s="142">
        <f>R166/G$1*10^3</f>
        <v>779.29288064204979</v>
      </c>
      <c r="G166" s="143">
        <f>E166-F166</f>
        <v>-12.626213975383052</v>
      </c>
      <c r="H166" s="146">
        <f>G166/E166</f>
        <v>-1.6468974750499632E-2</v>
      </c>
      <c r="N166" s="118">
        <f>N165+1</f>
        <v>2</v>
      </c>
      <c r="O166" s="63">
        <v>2026</v>
      </c>
      <c r="P166" s="148"/>
      <c r="Q166" s="148">
        <f>Chart!$BD$10</f>
        <v>20074.395290823864</v>
      </c>
      <c r="R166" s="142">
        <f>Chart!$BH$10</f>
        <v>20404.999999999993</v>
      </c>
      <c r="S166" s="143">
        <f>Q166-R166</f>
        <v>-330.60470917612838</v>
      </c>
      <c r="T166" s="146">
        <f>S166/Q166</f>
        <v>-1.6468974750499705E-2</v>
      </c>
      <c r="Y166" s="118">
        <f>Y165+1</f>
        <v>3</v>
      </c>
      <c r="Z166" s="63">
        <v>2026</v>
      </c>
      <c r="AA166" s="148">
        <f>Chart!$AV$10</f>
        <v>660000</v>
      </c>
      <c r="AB166" s="148">
        <f>Chart!$BD$10</f>
        <v>20074.395290823864</v>
      </c>
      <c r="AC166" s="142">
        <f>Chart!$BH$10</f>
        <v>20404.999999999993</v>
      </c>
      <c r="AD166" s="143">
        <f>AB166-AC166</f>
        <v>-330.60470917612838</v>
      </c>
      <c r="AE166" s="146">
        <f>AD166/AB166</f>
        <v>-1.6468974750499705E-2</v>
      </c>
    </row>
    <row r="167" spans="2:31" x14ac:dyDescent="0.35">
      <c r="B167" s="118">
        <f t="shared" ref="B167:B169" si="27">B166+1</f>
        <v>3</v>
      </c>
      <c r="C167" s="63" t="s">
        <v>412</v>
      </c>
      <c r="D167" s="148"/>
      <c r="E167" s="148">
        <f>[1]Chart!$BF$226</f>
        <v>1018.1303078181913</v>
      </c>
      <c r="F167" s="142">
        <f>SUM([1]Chart!$BF$219:$BF$221)</f>
        <v>828.13030781819134</v>
      </c>
      <c r="G167" s="143">
        <f>E167-F167</f>
        <v>190</v>
      </c>
      <c r="H167" s="146">
        <f>G167/E167</f>
        <v>0.18661658389009328</v>
      </c>
      <c r="N167" s="118">
        <f t="shared" ref="N167:N169" si="28">N166+1</f>
        <v>3</v>
      </c>
      <c r="O167" s="63" t="s">
        <v>395</v>
      </c>
      <c r="P167" s="148"/>
      <c r="Q167" s="148">
        <f>E167*26.5</f>
        <v>26980.45315718207</v>
      </c>
      <c r="R167" s="142">
        <f>F167*26.5</f>
        <v>21945.45315718207</v>
      </c>
      <c r="S167" s="143">
        <f t="shared" ref="S167:S168" si="29">Q167-R167</f>
        <v>5035</v>
      </c>
      <c r="T167" s="146">
        <f t="shared" ref="T167:T168" si="30">S167/Q167</f>
        <v>0.18661658389009328</v>
      </c>
      <c r="Y167" s="118">
        <f t="shared" ref="Y167:Y169" si="31">Y166+1</f>
        <v>4</v>
      </c>
    </row>
    <row r="168" spans="2:31" x14ac:dyDescent="0.35">
      <c r="B168" s="118">
        <f t="shared" si="27"/>
        <v>4</v>
      </c>
      <c r="C168" s="63" t="s">
        <v>413</v>
      </c>
      <c r="D168" s="148"/>
      <c r="E168" s="148">
        <f>'[2]Trình bày'!$H$17</f>
        <v>1060</v>
      </c>
      <c r="F168" s="142">
        <v>804</v>
      </c>
      <c r="G168" s="143">
        <f>E168-F168</f>
        <v>256</v>
      </c>
      <c r="H168" s="146">
        <f>G168/E168</f>
        <v>0.24150943396226415</v>
      </c>
      <c r="N168" s="118">
        <f t="shared" si="28"/>
        <v>4</v>
      </c>
      <c r="O168" s="63" t="s">
        <v>396</v>
      </c>
      <c r="P168" s="148"/>
      <c r="Q168" s="148">
        <f>E168*26.5</f>
        <v>28090</v>
      </c>
      <c r="R168" s="142">
        <f>F168*26.5</f>
        <v>21306</v>
      </c>
      <c r="S168" s="143">
        <f t="shared" si="29"/>
        <v>6784</v>
      </c>
      <c r="T168" s="146">
        <f t="shared" si="30"/>
        <v>0.24150943396226415</v>
      </c>
      <c r="Y168" s="118">
        <f t="shared" si="31"/>
        <v>5</v>
      </c>
    </row>
    <row r="169" spans="2:31" x14ac:dyDescent="0.35">
      <c r="B169" s="118">
        <f t="shared" si="27"/>
        <v>5</v>
      </c>
      <c r="C169" s="63" t="s">
        <v>414</v>
      </c>
      <c r="D169" s="148"/>
      <c r="N169" s="118">
        <f t="shared" si="28"/>
        <v>5</v>
      </c>
      <c r="P169" s="148"/>
      <c r="Y169" s="118">
        <f t="shared" si="31"/>
        <v>6</v>
      </c>
    </row>
    <row r="187" spans="9:33" x14ac:dyDescent="0.35">
      <c r="I187" s="136"/>
      <c r="J187" s="136"/>
      <c r="U187" s="136"/>
      <c r="V187" s="136"/>
      <c r="AF187" s="136"/>
      <c r="AG187" s="136"/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A0D1-8D49-4E38-8AE4-6AC845F3598B}">
  <dimension ref="B1:CA187"/>
  <sheetViews>
    <sheetView topLeftCell="A158" zoomScaleNormal="100" workbookViewId="0">
      <selection activeCell="H7" sqref="H7"/>
    </sheetView>
  </sheetViews>
  <sheetFormatPr defaultRowHeight="14.5" x14ac:dyDescent="0.35"/>
  <cols>
    <col min="2" max="2" width="5.25" customWidth="1"/>
    <col min="3" max="3" width="16.5" customWidth="1"/>
    <col min="4" max="4" width="13" customWidth="1"/>
    <col min="5" max="5" width="9.08203125" customWidth="1"/>
    <col min="6" max="6" width="9.9140625" customWidth="1"/>
    <col min="13" max="13" width="6.25" customWidth="1"/>
    <col min="14" max="14" width="5.25" customWidth="1"/>
    <col min="15" max="15" width="15.5" customWidth="1"/>
    <col min="16" max="16" width="15.08203125" bestFit="1" customWidth="1"/>
    <col min="17" max="17" width="10.6640625" bestFit="1" customWidth="1"/>
    <col min="18" max="18" width="10.5" customWidth="1"/>
    <col min="21" max="24" width="13.5" customWidth="1"/>
    <col min="25" max="25" width="5.25" customWidth="1"/>
    <col min="26" max="26" width="15.5" customWidth="1"/>
    <col min="27" max="27" width="10.83203125" bestFit="1" customWidth="1"/>
    <col min="28" max="28" width="10.6640625" bestFit="1" customWidth="1"/>
    <col min="29" max="29" width="10.5" customWidth="1"/>
    <col min="30" max="30" width="8.9140625" bestFit="1" customWidth="1"/>
    <col min="37" max="37" width="3.4140625" bestFit="1" customWidth="1"/>
    <col min="38" max="38" width="9.6640625" customWidth="1"/>
    <col min="39" max="39" width="7.5" customWidth="1"/>
    <col min="40" max="40" width="8.9140625" customWidth="1"/>
    <col min="41" max="41" width="7.83203125" customWidth="1"/>
    <col min="42" max="42" width="10.83203125" customWidth="1"/>
    <col min="43" max="43" width="11.33203125" bestFit="1" customWidth="1"/>
    <col min="44" max="44" width="8.75" bestFit="1" customWidth="1"/>
    <col min="45" max="45" width="8.1640625" bestFit="1" customWidth="1"/>
    <col min="46" max="46" width="6.5" bestFit="1" customWidth="1"/>
  </cols>
  <sheetData>
    <row r="1" spans="2:79" x14ac:dyDescent="0.35">
      <c r="E1" s="113">
        <f>Chart!BB1</f>
        <v>24858.78133105993</v>
      </c>
      <c r="F1" s="113">
        <f>Chart!BC1</f>
        <v>25788.123586605394</v>
      </c>
      <c r="G1" s="113">
        <f>Chart!BD1</f>
        <v>26183.993857596342</v>
      </c>
    </row>
    <row r="3" spans="2:79" x14ac:dyDescent="0.35">
      <c r="AL3" s="39" t="str">
        <f>Chart!$AT$2</f>
        <v>SẢN LƯỢNG (Tấn)</v>
      </c>
      <c r="BC3" s="39" t="str">
        <f>Chart!$AT$2</f>
        <v>SẢN LƯỢNG (Tấn)</v>
      </c>
      <c r="BS3" s="39" t="str">
        <f>Chart!$AT$2</f>
        <v>SẢN LƯỢNG (Tấn)</v>
      </c>
    </row>
    <row r="4" spans="2:79" ht="43.5" x14ac:dyDescent="0.35">
      <c r="B4" s="119" t="str">
        <f>Chart!$AR$2</f>
        <v>STT</v>
      </c>
      <c r="C4" s="67" t="str">
        <f>Sheet3!M27</f>
        <v>Niagara US</v>
      </c>
      <c r="N4" s="119" t="str">
        <f>Chart!$AR$2</f>
        <v>STT</v>
      </c>
      <c r="O4" s="67" t="str">
        <f>C4</f>
        <v>Niagara US</v>
      </c>
      <c r="Y4" s="119" t="str">
        <f>Chart!$AR$2</f>
        <v>STT</v>
      </c>
      <c r="Z4" s="67" t="str">
        <f>O4</f>
        <v>Niagara US</v>
      </c>
      <c r="AK4" t="s">
        <v>370</v>
      </c>
      <c r="AL4" s="139" t="s">
        <v>391</v>
      </c>
      <c r="AM4" s="135" t="str">
        <f>Chart!$AS$4</f>
        <v>Hạt iSS01084G</v>
      </c>
      <c r="AN4" s="136" t="str">
        <f>Chart!$AS$5</f>
        <v>Hạt iSS01G</v>
      </c>
      <c r="AO4" s="136" t="str">
        <f>Chart!$AS$6</f>
        <v>Hạt WSS01G</v>
      </c>
      <c r="AP4" s="136" t="str">
        <f>Chart!$AS$7</f>
        <v>Hạt WSS03G</v>
      </c>
      <c r="AQ4" s="136" t="str">
        <f>Chart!$AS$8</f>
        <v>Hạt WSS03G-PW</v>
      </c>
      <c r="AR4" s="136" t="str">
        <f>Chart!$AS$9</f>
        <v>Hạt WSS05SB (sợi ngắn)</v>
      </c>
      <c r="AS4" s="136" t="str">
        <f>Chart!$AS$10</f>
        <v>Vảy FPET201-Out</v>
      </c>
      <c r="AT4" s="136" t="str">
        <f>Chart!$AS$11</f>
        <v>Dây Đai</v>
      </c>
      <c r="BB4" t="s">
        <v>370</v>
      </c>
      <c r="BC4" s="139" t="s">
        <v>391</v>
      </c>
      <c r="BD4" s="135" t="str">
        <f>Chart!$AS$4</f>
        <v>Hạt iSS01084G</v>
      </c>
      <c r="BE4" s="136" t="str">
        <f>Chart!$AS$5</f>
        <v>Hạt iSS01G</v>
      </c>
      <c r="BF4" s="136" t="str">
        <f>Chart!$AS$6</f>
        <v>Hạt WSS01G</v>
      </c>
      <c r="BG4" s="136" t="str">
        <f>Chart!$AS$7</f>
        <v>Hạt WSS03G</v>
      </c>
      <c r="BH4" s="136" t="str">
        <f>Chart!$AS$8</f>
        <v>Hạt WSS03G-PW</v>
      </c>
      <c r="BI4" s="136" t="str">
        <f>Chart!$AS$9</f>
        <v>Hạt WSS05SB (sợi ngắn)</v>
      </c>
      <c r="BJ4" s="136" t="str">
        <f>Chart!$AS$10</f>
        <v>Vảy FPET201-Out</v>
      </c>
      <c r="BK4" s="136" t="str">
        <f>Chart!$AS$11</f>
        <v>Dây Đai</v>
      </c>
      <c r="BR4" t="s">
        <v>370</v>
      </c>
      <c r="BS4" s="139" t="s">
        <v>391</v>
      </c>
      <c r="BT4" s="135" t="str">
        <f>Chart!$AS$4</f>
        <v>Hạt iSS01084G</v>
      </c>
      <c r="BU4" s="136" t="str">
        <f>Chart!$AS$5</f>
        <v>Hạt iSS01G</v>
      </c>
      <c r="BV4" s="136" t="str">
        <f>Chart!$AS$6</f>
        <v>Hạt WSS01G</v>
      </c>
      <c r="BW4" s="136" t="str">
        <f>Chart!$AS$7</f>
        <v>Hạt WSS03G</v>
      </c>
      <c r="BX4" s="136" t="str">
        <f>Chart!$AS$8</f>
        <v>Hạt WSS03G-PW</v>
      </c>
      <c r="BY4" s="136" t="str">
        <f>Chart!$AS$9</f>
        <v>Hạt WSS05SB (sợi ngắn)</v>
      </c>
      <c r="BZ4" s="136" t="str">
        <f>Chart!$AS$10</f>
        <v>Vảy FPET201-Out</v>
      </c>
      <c r="CA4" s="136" t="str">
        <f>Chart!$AS$11</f>
        <v>Dây Đai</v>
      </c>
    </row>
    <row r="5" spans="2:79" ht="29" x14ac:dyDescent="0.35">
      <c r="B5" s="138"/>
      <c r="C5" s="137"/>
      <c r="D5" s="147" t="s">
        <v>415</v>
      </c>
      <c r="E5" s="147" t="s">
        <v>398</v>
      </c>
      <c r="F5" s="141" t="s">
        <v>399</v>
      </c>
      <c r="G5" s="144" t="s">
        <v>386</v>
      </c>
      <c r="H5" s="145" t="s">
        <v>390</v>
      </c>
      <c r="N5" s="138"/>
      <c r="O5" s="137"/>
      <c r="P5" s="147" t="s">
        <v>415</v>
      </c>
      <c r="Q5" s="147" t="s">
        <v>392</v>
      </c>
      <c r="R5" s="141" t="s">
        <v>397</v>
      </c>
      <c r="S5" s="144" t="s">
        <v>386</v>
      </c>
      <c r="T5" s="145" t="s">
        <v>390</v>
      </c>
      <c r="Y5" s="138"/>
      <c r="Z5" s="137"/>
      <c r="AA5" s="135" t="s">
        <v>384</v>
      </c>
      <c r="AB5" s="136" t="s">
        <v>392</v>
      </c>
      <c r="AC5" s="136" t="s">
        <v>397</v>
      </c>
      <c r="AD5" s="136" t="s">
        <v>386</v>
      </c>
      <c r="AE5" s="136" t="s">
        <v>390</v>
      </c>
      <c r="AF5" s="160" t="s">
        <v>423</v>
      </c>
      <c r="AK5">
        <v>1</v>
      </c>
      <c r="AL5" s="140">
        <f>$Z$6</f>
        <v>2024</v>
      </c>
      <c r="AM5" s="116">
        <f>Chart!$AT$4</f>
        <v>3785943.2</v>
      </c>
      <c r="AN5" s="116">
        <f>Chart!$AT$5</f>
        <v>4414400</v>
      </c>
      <c r="AO5" s="116">
        <f>Chart!$AT$6</f>
        <v>19788700</v>
      </c>
      <c r="AP5" s="116">
        <f>Chart!$AT$7</f>
        <v>1740225</v>
      </c>
      <c r="AQ5" s="116">
        <f>Chart!$AT$8</f>
        <v>2418500</v>
      </c>
      <c r="AR5" s="116">
        <f>Chart!$AT$9</f>
        <v>1362900</v>
      </c>
      <c r="AS5" s="116">
        <f>Chart!$AT$10</f>
        <v>0</v>
      </c>
      <c r="AT5" s="116">
        <f>Chart!$AT$11</f>
        <v>1961000</v>
      </c>
      <c r="BB5">
        <v>1</v>
      </c>
      <c r="BC5" s="140">
        <f>$Z$6</f>
        <v>2024</v>
      </c>
      <c r="BD5" s="116">
        <f>Chart!$AT$4/12</f>
        <v>315495.26666666666</v>
      </c>
      <c r="BE5" s="116">
        <f>Chart!$AT$5/12</f>
        <v>367866.66666666669</v>
      </c>
      <c r="BF5" s="116">
        <f>Chart!$AT$6/12</f>
        <v>1649058.3333333333</v>
      </c>
      <c r="BG5" s="116">
        <f>Chart!$AT$7/12</f>
        <v>145018.75</v>
      </c>
      <c r="BH5" s="116">
        <f>Chart!$AT$8/12</f>
        <v>201541.66666666666</v>
      </c>
      <c r="BI5" s="116">
        <f>Chart!$AT$9/12</f>
        <v>113575</v>
      </c>
      <c r="BJ5" s="116">
        <f>Chart!$AT$10/12</f>
        <v>0</v>
      </c>
      <c r="BK5" s="116">
        <f>Chart!$AT$11/12</f>
        <v>163416.66666666666</v>
      </c>
      <c r="BR5">
        <v>1</v>
      </c>
      <c r="BS5" s="140">
        <f>$Z$6</f>
        <v>2024</v>
      </c>
      <c r="BT5" s="116">
        <f>Chart!$AT$4</f>
        <v>3785943.2</v>
      </c>
      <c r="BU5" s="116">
        <f>Chart!$AT$5</f>
        <v>4414400</v>
      </c>
      <c r="BV5" s="116">
        <f>Chart!$AT$6</f>
        <v>19788700</v>
      </c>
      <c r="BW5" s="116">
        <f>Chart!$AT$7</f>
        <v>1740225</v>
      </c>
      <c r="BX5" s="116">
        <f>Chart!$AT$8</f>
        <v>2418500</v>
      </c>
      <c r="BY5" s="116">
        <f>Chart!$AT$9</f>
        <v>1362900</v>
      </c>
      <c r="BZ5" s="116">
        <f>Chart!$AT$10</f>
        <v>0</v>
      </c>
      <c r="CA5" s="116">
        <f>Chart!$AT$11</f>
        <v>1961000</v>
      </c>
    </row>
    <row r="6" spans="2:79" x14ac:dyDescent="0.35">
      <c r="B6" s="138">
        <v>1</v>
      </c>
      <c r="C6" s="63" t="str">
        <f>Chart!AS4</f>
        <v>Hạt iSS01084G</v>
      </c>
      <c r="D6" s="148" t="e">
        <f>O6/D$1*10^3</f>
        <v>#DIV/0!</v>
      </c>
      <c r="E6" s="148">
        <f>Q6/E$1*10^3</f>
        <v>1396.9592995301155</v>
      </c>
      <c r="F6" s="142">
        <f>R6/E$1*10^3</f>
        <v>1097.0470682135215</v>
      </c>
      <c r="G6" s="143">
        <f t="shared" ref="G6:G11" si="0">E6-F6</f>
        <v>299.91223131659399</v>
      </c>
      <c r="H6" s="146">
        <f>G6/E6</f>
        <v>0.21468931229240049</v>
      </c>
      <c r="N6" s="138">
        <v>1</v>
      </c>
      <c r="O6" s="63">
        <v>2024</v>
      </c>
      <c r="P6" s="148" t="e">
        <f>AA6/P$1*10^3</f>
        <v>#DIV/0!</v>
      </c>
      <c r="Q6" s="148">
        <f>Chart!$BB$4</f>
        <v>34726.705755409792</v>
      </c>
      <c r="R6" s="142">
        <f>Chart!$BF$4</f>
        <v>27271.253178600313</v>
      </c>
      <c r="S6" s="143">
        <f>Q6-R6</f>
        <v>7455.4525768094791</v>
      </c>
      <c r="T6" s="146">
        <f>S6/Q6</f>
        <v>0.21468931229240062</v>
      </c>
      <c r="Y6" s="138">
        <v>1</v>
      </c>
      <c r="Z6" s="63">
        <v>2024</v>
      </c>
      <c r="AA6" s="116">
        <f>Chart!$AT$4</f>
        <v>3785943.2</v>
      </c>
      <c r="AB6" s="114">
        <f>Chart!$BB$4</f>
        <v>34726.705755409792</v>
      </c>
      <c r="AC6" s="114">
        <f>Chart!$BF$4</f>
        <v>27271.253178600313</v>
      </c>
      <c r="AD6" s="114">
        <f>AB6-AC6</f>
        <v>7455.4525768094791</v>
      </c>
      <c r="AE6" s="117">
        <f>AD6/AB6</f>
        <v>0.21468931229240062</v>
      </c>
      <c r="AK6">
        <v>2</v>
      </c>
      <c r="AL6" s="140">
        <f>$Z$7</f>
        <v>2025</v>
      </c>
      <c r="AM6" s="116">
        <f>Chart!$AU$4</f>
        <v>6408593.9000000004</v>
      </c>
      <c r="AN6" s="116">
        <f>Chart!$AU$5</f>
        <v>10827735.800000001</v>
      </c>
      <c r="AO6" s="116">
        <f>Chart!$AU$6</f>
        <v>19703925</v>
      </c>
      <c r="AP6" s="116">
        <f>Chart!$AU$7</f>
        <v>1235050</v>
      </c>
      <c r="AQ6" s="116">
        <f>Chart!$AU$8</f>
        <v>660000</v>
      </c>
      <c r="AR6" s="116">
        <f>Chart!$AU$9</f>
        <v>1543175</v>
      </c>
      <c r="AS6" s="116">
        <f>Chart!$AU$10</f>
        <v>20000</v>
      </c>
      <c r="AT6" s="116">
        <f>Chart!$AU$11</f>
        <v>1544000</v>
      </c>
      <c r="BB6">
        <v>2</v>
      </c>
      <c r="BC6" s="140">
        <f>$Z$7</f>
        <v>2025</v>
      </c>
      <c r="BD6" s="116">
        <f>Chart!$AU$4/12</f>
        <v>534049.4916666667</v>
      </c>
      <c r="BE6" s="116">
        <f>Chart!$AU$5/12</f>
        <v>902311.31666666677</v>
      </c>
      <c r="BF6" s="116">
        <f>Chart!$AU$6/12</f>
        <v>1641993.75</v>
      </c>
      <c r="BG6" s="116">
        <f>Chart!$AU$7/12</f>
        <v>102920.83333333333</v>
      </c>
      <c r="BH6" s="116">
        <f>Chart!$AU$8/12</f>
        <v>55000</v>
      </c>
      <c r="BI6" s="116">
        <f>Chart!$AU$9/12</f>
        <v>128597.91666666667</v>
      </c>
      <c r="BJ6" s="116">
        <f>Chart!$AU$10/12</f>
        <v>1666.6666666666667</v>
      </c>
      <c r="BK6" s="116">
        <f>Chart!$AU$11/12</f>
        <v>128666.66666666667</v>
      </c>
      <c r="BR6">
        <v>2</v>
      </c>
      <c r="BS6" s="140">
        <f>$Z$7</f>
        <v>2025</v>
      </c>
      <c r="BT6" s="116">
        <f>Chart!$AU$4</f>
        <v>6408593.9000000004</v>
      </c>
      <c r="BU6" s="116">
        <f>Chart!$AU$5</f>
        <v>10827735.800000001</v>
      </c>
      <c r="BV6" s="116">
        <f>Chart!$AU$6</f>
        <v>19703925</v>
      </c>
      <c r="BW6" s="116">
        <f>Chart!$AU$7</f>
        <v>1235050</v>
      </c>
      <c r="BX6" s="116">
        <f>Chart!$AU$8</f>
        <v>660000</v>
      </c>
      <c r="BY6" s="116">
        <f>Chart!$AU$9</f>
        <v>1543175</v>
      </c>
      <c r="BZ6" s="116">
        <f>Chart!$AU$10</f>
        <v>20000</v>
      </c>
      <c r="CA6" s="116">
        <f>Chart!$AU$11</f>
        <v>1544000</v>
      </c>
    </row>
    <row r="7" spans="2:79" x14ac:dyDescent="0.35">
      <c r="B7" s="42">
        <v>2</v>
      </c>
      <c r="C7" s="63" t="str">
        <f>Chart!AS5</f>
        <v>Hạt iSS01G</v>
      </c>
      <c r="D7" s="148">
        <f>O7/E$1*10^3</f>
        <v>81.460147745450968</v>
      </c>
      <c r="E7" s="148">
        <f>Q7/F$1*10^3</f>
        <v>1345.2792347226514</v>
      </c>
      <c r="F7" s="142">
        <f t="shared" ref="F7" si="1">R7/F$1*10^3</f>
        <v>1091.1469880868879</v>
      </c>
      <c r="G7" s="143">
        <f t="shared" si="0"/>
        <v>254.13224663576352</v>
      </c>
      <c r="H7" s="146">
        <f>G7/E7</f>
        <v>0.1889066894637354</v>
      </c>
      <c r="N7" s="42">
        <v>2</v>
      </c>
      <c r="O7" s="63">
        <v>2025</v>
      </c>
      <c r="P7" s="148" t="e">
        <f>AA7/Q$1*10^3</f>
        <v>#DIV/0!</v>
      </c>
      <c r="Q7" s="148">
        <f>Chart!$BC$4</f>
        <v>34692.22716352166</v>
      </c>
      <c r="R7" s="142">
        <f>Chart!$BG$4</f>
        <v>28138.633379936906</v>
      </c>
      <c r="S7" s="143">
        <f>Q7-R7</f>
        <v>6553.5937835847544</v>
      </c>
      <c r="T7" s="146">
        <f>S7/Q7</f>
        <v>0.18890668946373546</v>
      </c>
      <c r="Y7" s="42">
        <v>2</v>
      </c>
      <c r="Z7" s="63">
        <v>2025</v>
      </c>
      <c r="AA7" s="116">
        <f>Chart!$AU$4</f>
        <v>6408593.9000000004</v>
      </c>
      <c r="AB7" s="114">
        <f>Chart!$BC$4</f>
        <v>34692.22716352166</v>
      </c>
      <c r="AC7" s="114">
        <f>Chart!$BG$4</f>
        <v>28138.633379936906</v>
      </c>
      <c r="AD7" s="114">
        <f>AB7-AC7</f>
        <v>6553.5937835847544</v>
      </c>
      <c r="AE7" s="117">
        <f>AD7/AB7</f>
        <v>0.18890668946373546</v>
      </c>
      <c r="AK7">
        <v>3</v>
      </c>
      <c r="AL7" s="140">
        <f>$Z$8</f>
        <v>2026</v>
      </c>
      <c r="AM7" s="116">
        <f>Chart!$AV$4</f>
        <v>2666400</v>
      </c>
      <c r="AN7" s="116">
        <f>Chart!$AV$5</f>
        <v>1687500</v>
      </c>
      <c r="AO7" s="116">
        <f>Chart!$AV$6</f>
        <v>8529600</v>
      </c>
      <c r="AP7" s="116">
        <f>Chart!$AV$7</f>
        <v>1246450</v>
      </c>
      <c r="AQ7" s="116">
        <f>Chart!$AV$8</f>
        <v>902000</v>
      </c>
      <c r="AR7" s="116">
        <f>Chart!$AV$9</f>
        <v>681800</v>
      </c>
      <c r="AS7" s="116">
        <f>Chart!$AV$10</f>
        <v>660000</v>
      </c>
      <c r="AT7" s="116">
        <f>Chart!$AV$11</f>
        <v>155600</v>
      </c>
      <c r="BB7">
        <v>3</v>
      </c>
      <c r="BC7" s="140">
        <f>$Z$8</f>
        <v>2026</v>
      </c>
      <c r="BD7" s="116">
        <f>Chart!$AV$4/4</f>
        <v>666600</v>
      </c>
      <c r="BE7" s="116">
        <f>Chart!$AV$5/4</f>
        <v>421875</v>
      </c>
      <c r="BF7" s="116">
        <f>Chart!$AV$6/4</f>
        <v>2132400</v>
      </c>
      <c r="BG7" s="116">
        <f>Chart!$AV$7/4</f>
        <v>311612.5</v>
      </c>
      <c r="BH7" s="116">
        <f>Chart!$AV$8/4</f>
        <v>225500</v>
      </c>
      <c r="BI7" s="116">
        <f>Chart!$AV$9/4</f>
        <v>170450</v>
      </c>
      <c r="BJ7" s="116">
        <f>Chart!$AV$10/4</f>
        <v>165000</v>
      </c>
      <c r="BK7" s="116">
        <f>Chart!$AV$11/4</f>
        <v>38900</v>
      </c>
      <c r="BR7">
        <v>3</v>
      </c>
      <c r="BS7" s="140">
        <f>$Z$8</f>
        <v>2026</v>
      </c>
      <c r="BT7" s="116">
        <f>Chart!$AV$4/4*12</f>
        <v>7999200</v>
      </c>
      <c r="BU7" s="116">
        <f>Chart!$AV$5/4*12</f>
        <v>5062500</v>
      </c>
      <c r="BV7" s="116">
        <f>Chart!$AV$6/4*12</f>
        <v>25588800</v>
      </c>
      <c r="BW7" s="116">
        <f>Chart!$AV$7/4*12</f>
        <v>3739350</v>
      </c>
      <c r="BX7" s="116">
        <f>Chart!$AV$8/4*12</f>
        <v>2706000</v>
      </c>
      <c r="BY7" s="116">
        <f>Chart!$AV$9/4*12</f>
        <v>2045400</v>
      </c>
      <c r="BZ7" s="116">
        <f>Chart!$AV$10/4*12</f>
        <v>1980000</v>
      </c>
      <c r="CA7" s="116">
        <f>Chart!$AV$11/4*12</f>
        <v>466800</v>
      </c>
    </row>
    <row r="8" spans="2:79" x14ac:dyDescent="0.35">
      <c r="B8" s="118">
        <f>B7+1</f>
        <v>3</v>
      </c>
      <c r="C8" s="63" t="str">
        <f>Chart!AS6</f>
        <v>Hạt WSS01G</v>
      </c>
      <c r="D8" s="148">
        <f>O8/F$1*10^3</f>
        <v>78.563296518879895</v>
      </c>
      <c r="E8" s="148">
        <f>Q8/G$1*10^3</f>
        <v>1191.5563229628797</v>
      </c>
      <c r="F8" s="142">
        <f>R8/G$1*10^3</f>
        <v>1094.2479311948205</v>
      </c>
      <c r="G8" s="143">
        <f t="shared" si="0"/>
        <v>97.308391768059209</v>
      </c>
      <c r="H8" s="146">
        <f>G8/E8</f>
        <v>8.166495355091212E-2</v>
      </c>
      <c r="N8" s="118">
        <f>N7+1</f>
        <v>3</v>
      </c>
      <c r="O8" s="63">
        <v>2026</v>
      </c>
      <c r="P8" s="148" t="e">
        <f>AA8/R$1*10^3</f>
        <v>#DIV/0!</v>
      </c>
      <c r="Q8" s="148">
        <f>Chart!$BD$4</f>
        <v>31199.703441440121</v>
      </c>
      <c r="R8" s="142">
        <f>Chart!$BH$4</f>
        <v>28651.781109092688</v>
      </c>
      <c r="S8" s="143">
        <f>Q8-R8</f>
        <v>2547.9223323474325</v>
      </c>
      <c r="T8" s="146">
        <f>S8/Q8</f>
        <v>8.166495355091187E-2</v>
      </c>
      <c r="Y8" s="118">
        <f>Y7+1</f>
        <v>3</v>
      </c>
      <c r="Z8" s="63">
        <v>2026</v>
      </c>
      <c r="AA8" s="116">
        <f>Chart!$AV$4</f>
        <v>2666400</v>
      </c>
      <c r="AB8" s="114">
        <f>Chart!$BD$4</f>
        <v>31199.703441440121</v>
      </c>
      <c r="AC8" s="114">
        <f>Chart!$BH$4</f>
        <v>28651.781109092688</v>
      </c>
      <c r="AD8" s="114">
        <f>AB8-AC8</f>
        <v>2547.9223323474325</v>
      </c>
      <c r="AE8" s="117">
        <f>AD8/AB8</f>
        <v>8.166495355091187E-2</v>
      </c>
    </row>
    <row r="9" spans="2:79" x14ac:dyDescent="0.35">
      <c r="B9" s="118">
        <f t="shared" ref="B9:B13" si="2">B8+1</f>
        <v>4</v>
      </c>
      <c r="C9" s="63" t="str">
        <f>Chart!AS7</f>
        <v>Hạt WSS03G</v>
      </c>
      <c r="D9" s="148">
        <f>[1]Chart!$BF$14</f>
        <v>1284.4978583339707</v>
      </c>
      <c r="E9" s="148">
        <f>[1]Chart!$BF$14</f>
        <v>1284.4978583339707</v>
      </c>
      <c r="F9" s="142">
        <f>SUM([1]Chart!$BF$7:$BF$9)</f>
        <v>1044.4978583339707</v>
      </c>
      <c r="G9" s="143">
        <f t="shared" si="0"/>
        <v>240</v>
      </c>
      <c r="H9" s="146">
        <f>G9/E9</f>
        <v>0.18684344114928042</v>
      </c>
      <c r="N9" s="118">
        <f t="shared" ref="N9:N11" si="3">N8+1</f>
        <v>4</v>
      </c>
      <c r="O9" s="63" t="s">
        <v>395</v>
      </c>
      <c r="P9" s="148">
        <f>[1]Chart!$BF$14</f>
        <v>1284.4978583339707</v>
      </c>
      <c r="Q9" s="148">
        <f>E9*26.5</f>
        <v>34039.193245850227</v>
      </c>
      <c r="R9" s="142">
        <f>F9*26.5</f>
        <v>27679.193245850223</v>
      </c>
      <c r="S9" s="143">
        <f t="shared" ref="S9:S10" si="4">Q9-R9</f>
        <v>6360.0000000000036</v>
      </c>
      <c r="T9" s="146">
        <f t="shared" ref="T9:T10" si="5">S9/Q9</f>
        <v>0.1868434411492805</v>
      </c>
      <c r="Y9" s="118">
        <f t="shared" ref="Y9:Y11" si="6">Y8+1</f>
        <v>4</v>
      </c>
    </row>
    <row r="10" spans="2:79" x14ac:dyDescent="0.35">
      <c r="B10" s="118">
        <f t="shared" si="2"/>
        <v>5</v>
      </c>
      <c r="C10" s="63" t="str">
        <f>Chart!AS8</f>
        <v>Hạt WSS03G-PW</v>
      </c>
      <c r="D10" s="148">
        <f>[1]Chart!$BR$14</f>
        <v>1470</v>
      </c>
      <c r="E10" s="148">
        <f>[1]Chart!$BR$14</f>
        <v>1470</v>
      </c>
      <c r="F10" s="142">
        <v>1033</v>
      </c>
      <c r="G10" s="143">
        <f t="shared" si="0"/>
        <v>437</v>
      </c>
      <c r="H10" s="146">
        <f>G10/E10</f>
        <v>0.29727891156462583</v>
      </c>
      <c r="N10" s="118">
        <f t="shared" si="3"/>
        <v>5</v>
      </c>
      <c r="O10" s="63" t="s">
        <v>396</v>
      </c>
      <c r="P10" s="148">
        <f>[1]Chart!$BR$14</f>
        <v>1470</v>
      </c>
      <c r="Q10" s="148">
        <f>E10*26.5</f>
        <v>38955</v>
      </c>
      <c r="R10" s="142">
        <f>F10*26.5</f>
        <v>27374.5</v>
      </c>
      <c r="S10" s="143">
        <f t="shared" si="4"/>
        <v>11580.5</v>
      </c>
      <c r="T10" s="146">
        <f t="shared" si="5"/>
        <v>0.29727891156462583</v>
      </c>
      <c r="Y10" s="118">
        <f t="shared" si="6"/>
        <v>5</v>
      </c>
    </row>
    <row r="11" spans="2:79" x14ac:dyDescent="0.35">
      <c r="B11" s="118">
        <f t="shared" si="2"/>
        <v>6</v>
      </c>
      <c r="C11" s="63" t="str">
        <f>Chart!AS9</f>
        <v>Hạt WSS05SB (sợi ngắn)</v>
      </c>
      <c r="G11" s="143">
        <f t="shared" si="0"/>
        <v>0</v>
      </c>
      <c r="N11" s="118">
        <f t="shared" si="3"/>
        <v>6</v>
      </c>
      <c r="Y11" s="118">
        <f t="shared" si="6"/>
        <v>6</v>
      </c>
    </row>
    <row r="12" spans="2:79" x14ac:dyDescent="0.35">
      <c r="B12" s="118">
        <f t="shared" si="2"/>
        <v>7</v>
      </c>
      <c r="C12" s="63" t="str">
        <f>Chart!AS10</f>
        <v>Vảy FPET201-Out</v>
      </c>
    </row>
    <row r="13" spans="2:79" x14ac:dyDescent="0.35">
      <c r="B13" s="118">
        <f t="shared" si="2"/>
        <v>8</v>
      </c>
      <c r="C13" s="63" t="str">
        <f>Chart!AS11</f>
        <v>Dây Đai</v>
      </c>
    </row>
    <row r="29" spans="9:38" x14ac:dyDescent="0.35">
      <c r="I29" s="136"/>
      <c r="J29" s="136"/>
      <c r="K29" s="136"/>
      <c r="U29" s="136"/>
      <c r="V29" s="136"/>
      <c r="W29" s="136"/>
      <c r="AF29" s="136"/>
      <c r="AG29" s="136"/>
      <c r="AH29" s="136"/>
      <c r="AI29" s="136"/>
    </row>
    <row r="32" spans="9:38" x14ac:dyDescent="0.35">
      <c r="AL32" s="39" t="str">
        <f>Chart!$BB$2</f>
        <v>GIÁ BÁN (VND/kg)</v>
      </c>
    </row>
    <row r="33" spans="2:46" ht="43.5" x14ac:dyDescent="0.35">
      <c r="AK33" t="s">
        <v>370</v>
      </c>
      <c r="AL33" s="139" t="s">
        <v>391</v>
      </c>
      <c r="AM33" s="135" t="str">
        <f>Chart!$AS$4</f>
        <v>Hạt iSS01084G</v>
      </c>
      <c r="AN33" s="136" t="str">
        <f>Chart!$AS$5</f>
        <v>Hạt iSS01G</v>
      </c>
      <c r="AO33" s="136" t="str">
        <f>Chart!$AS$6</f>
        <v>Hạt WSS01G</v>
      </c>
      <c r="AP33" s="136" t="str">
        <f>Chart!$AS$7</f>
        <v>Hạt WSS03G</v>
      </c>
      <c r="AQ33" s="136" t="str">
        <f>Chart!$AS$8</f>
        <v>Hạt WSS03G-PW</v>
      </c>
      <c r="AR33" s="136" t="str">
        <f>Chart!$AS$9</f>
        <v>Hạt WSS05SB (sợi ngắn)</v>
      </c>
      <c r="AS33" s="136" t="str">
        <f>Chart!$AS$10</f>
        <v>Vảy FPET201-Out</v>
      </c>
      <c r="AT33" s="136" t="str">
        <f>Chart!$AS$11</f>
        <v>Dây Đai</v>
      </c>
    </row>
    <row r="34" spans="2:46" x14ac:dyDescent="0.35">
      <c r="AK34">
        <v>1</v>
      </c>
      <c r="AL34" s="140">
        <f>$Z$6</f>
        <v>2024</v>
      </c>
      <c r="AM34" s="116">
        <f>Chart!$BB$4</f>
        <v>34726.705755409792</v>
      </c>
      <c r="AN34" s="116">
        <f>Chart!$BB$5</f>
        <v>30405.36558321464</v>
      </c>
      <c r="AO34" s="116">
        <f>Chart!$BB$6</f>
        <v>30433.889255129769</v>
      </c>
      <c r="AP34" s="116">
        <f>Chart!$BB$7</f>
        <v>26573.829899541273</v>
      </c>
      <c r="AQ34" s="116">
        <f>Chart!$BB$8</f>
        <v>26025.947280380198</v>
      </c>
      <c r="AR34" s="116">
        <f>Chart!$BB$9</f>
        <v>17338.927331378731</v>
      </c>
      <c r="AS34" s="116">
        <f>Chart!$BB$10</f>
        <v>0</v>
      </c>
      <c r="AT34" s="116">
        <f>Chart!$BB$11</f>
        <v>17074.434218976057</v>
      </c>
    </row>
    <row r="35" spans="2:46" x14ac:dyDescent="0.35">
      <c r="AK35">
        <v>2</v>
      </c>
      <c r="AL35" s="140">
        <f>$Z$7</f>
        <v>2025</v>
      </c>
      <c r="AM35" s="116">
        <f>Chart!$BC$4</f>
        <v>34692.22716352166</v>
      </c>
      <c r="AN35" s="116">
        <f>Chart!$BC$5</f>
        <v>31926.562469319175</v>
      </c>
      <c r="AO35" s="116">
        <f>Chart!$BC$6</f>
        <v>31056.007813878769</v>
      </c>
      <c r="AP35" s="116">
        <f>Chart!$BC$7</f>
        <v>28135.7383935301</v>
      </c>
      <c r="AQ35" s="116">
        <f>Chart!$BC$8</f>
        <v>25142.339484666711</v>
      </c>
      <c r="AR35" s="116">
        <f>Chart!$BC$9</f>
        <v>17160.715152373476</v>
      </c>
      <c r="AS35" s="116">
        <f>Chart!$BC$10</f>
        <v>23549.783026317593</v>
      </c>
      <c r="AT35" s="116">
        <f>Chart!$BC$11</f>
        <v>17155.751539522851</v>
      </c>
    </row>
    <row r="36" spans="2:46" x14ac:dyDescent="0.35">
      <c r="AK36">
        <v>3</v>
      </c>
      <c r="AL36" s="140">
        <f>$Z$8</f>
        <v>2026</v>
      </c>
      <c r="AM36" s="116">
        <f>Chart!$BD$4</f>
        <v>31199.703441440121</v>
      </c>
      <c r="AN36" s="116">
        <f>Chart!$BD$5</f>
        <v>29887.029465582258</v>
      </c>
      <c r="AO36" s="116">
        <f>Chart!$BD$6</f>
        <v>29154.335823516209</v>
      </c>
      <c r="AP36" s="116">
        <f>Chart!$BD$7</f>
        <v>28923.699489915147</v>
      </c>
      <c r="AQ36" s="116">
        <f>Chart!$BD$8</f>
        <v>27079.242339985514</v>
      </c>
      <c r="AR36" s="116">
        <f>Chart!$BD$9</f>
        <v>17735.199773092165</v>
      </c>
      <c r="AS36" s="116">
        <f>Chart!$BD$10</f>
        <v>20074.395290823864</v>
      </c>
      <c r="AT36" s="116">
        <f>Chart!$BD$11</f>
        <v>16169.484039519439</v>
      </c>
    </row>
    <row r="37" spans="2:46" x14ac:dyDescent="0.35">
      <c r="B37" s="119" t="str">
        <f>Chart!$AR$2</f>
        <v>STT</v>
      </c>
      <c r="C37" s="67" t="str">
        <f>Sheet3!M28</f>
        <v>Shepley Spring</v>
      </c>
      <c r="N37" s="119" t="str">
        <f>Chart!$AR$2</f>
        <v>STT</v>
      </c>
      <c r="O37" s="67" t="str">
        <f>C37</f>
        <v>Shepley Spring</v>
      </c>
      <c r="Y37" s="119" t="str">
        <f>Chart!$AR$2</f>
        <v>STT</v>
      </c>
      <c r="Z37" s="67" t="str">
        <f>O37</f>
        <v>Shepley Spring</v>
      </c>
    </row>
    <row r="38" spans="2:46" ht="29" x14ac:dyDescent="0.35">
      <c r="B38" s="138"/>
      <c r="C38" s="137"/>
      <c r="D38" s="147" t="s">
        <v>415</v>
      </c>
      <c r="E38" s="147" t="s">
        <v>392</v>
      </c>
      <c r="F38" s="141" t="s">
        <v>397</v>
      </c>
      <c r="G38" s="144" t="s">
        <v>386</v>
      </c>
      <c r="H38" s="145" t="s">
        <v>390</v>
      </c>
      <c r="N38" s="138"/>
      <c r="O38" s="137"/>
      <c r="P38" s="147" t="s">
        <v>415</v>
      </c>
      <c r="Q38" s="147" t="s">
        <v>392</v>
      </c>
      <c r="R38" s="141" t="s">
        <v>397</v>
      </c>
      <c r="S38" s="144" t="s">
        <v>386</v>
      </c>
      <c r="T38" s="145" t="s">
        <v>390</v>
      </c>
      <c r="Y38" s="138"/>
      <c r="Z38" s="137"/>
      <c r="AA38" s="135" t="s">
        <v>384</v>
      </c>
      <c r="AB38" s="136" t="s">
        <v>392</v>
      </c>
      <c r="AC38" s="136" t="s">
        <v>397</v>
      </c>
      <c r="AD38" s="136" t="s">
        <v>386</v>
      </c>
      <c r="AE38" s="136" t="s">
        <v>390</v>
      </c>
    </row>
    <row r="39" spans="2:46" x14ac:dyDescent="0.35">
      <c r="B39" s="138">
        <v>1</v>
      </c>
      <c r="C39" s="63" t="str">
        <f>Chart!AS4</f>
        <v>Hạt iSS01084G</v>
      </c>
      <c r="D39" s="148" t="e">
        <f>O39/D$1*10^3</f>
        <v>#DIV/0!</v>
      </c>
      <c r="E39" s="148">
        <f>Q39/E$1*10^3</f>
        <v>1223.1237395867231</v>
      </c>
      <c r="F39" s="142">
        <f>R39/E$1*10^3</f>
        <v>927.6853844490596</v>
      </c>
      <c r="G39" s="143">
        <f>E39-F39</f>
        <v>295.43835513766351</v>
      </c>
      <c r="H39" s="146">
        <f>G39/E39</f>
        <v>0.24154412638371986</v>
      </c>
      <c r="N39" s="138">
        <v>1</v>
      </c>
      <c r="O39" s="63">
        <v>2024</v>
      </c>
      <c r="P39" s="148" t="e">
        <f>AA39/P$1*10^3</f>
        <v>#DIV/0!</v>
      </c>
      <c r="Q39" s="148">
        <f>Chart!$BB$5</f>
        <v>30405.36558321464</v>
      </c>
      <c r="R39" s="142">
        <f>Chart!$BF$5</f>
        <v>23061.128116039436</v>
      </c>
      <c r="S39" s="143">
        <f>Q39-R39</f>
        <v>7344.2374671752041</v>
      </c>
      <c r="T39" s="146">
        <f>S39/Q39</f>
        <v>0.24154412638371989</v>
      </c>
      <c r="Y39" s="138">
        <v>1</v>
      </c>
      <c r="Z39" s="63">
        <v>2024</v>
      </c>
      <c r="AA39" s="116">
        <f>Chart!$AT$5</f>
        <v>4414400</v>
      </c>
      <c r="AB39" s="114">
        <f>Chart!$BB$5</f>
        <v>30405.36558321464</v>
      </c>
      <c r="AC39" s="114">
        <f>Chart!$BF$5</f>
        <v>23061.128116039436</v>
      </c>
      <c r="AD39" s="114">
        <f>AB39-AC39</f>
        <v>7344.2374671752041</v>
      </c>
      <c r="AE39" s="117">
        <f>AD39/AB39</f>
        <v>0.24154412638371989</v>
      </c>
    </row>
    <row r="40" spans="2:46" x14ac:dyDescent="0.35">
      <c r="B40" s="42">
        <v>2</v>
      </c>
      <c r="C40" s="63" t="str">
        <f>Chart!AS5</f>
        <v>Hạt iSS01G</v>
      </c>
      <c r="D40" s="148">
        <f>O40/E$1*10^3</f>
        <v>81.460147745450968</v>
      </c>
      <c r="E40" s="148">
        <f>Q40/F$1*10^3</f>
        <v>1238.0335607629145</v>
      </c>
      <c r="F40" s="142">
        <f>R40/F$1*10^3</f>
        <v>999.30030458649674</v>
      </c>
      <c r="G40" s="143">
        <f>E40-F40</f>
        <v>238.73325617641774</v>
      </c>
      <c r="H40" s="146">
        <f>G40/E40</f>
        <v>0.19283262081304398</v>
      </c>
      <c r="N40" s="42">
        <v>2</v>
      </c>
      <c r="O40" s="63">
        <v>2025</v>
      </c>
      <c r="P40" s="148" t="e">
        <f>AA40/Q$1*10^3</f>
        <v>#DIV/0!</v>
      </c>
      <c r="Q40" s="148">
        <f>Chart!$BC$5</f>
        <v>31926.562469319175</v>
      </c>
      <c r="R40" s="142">
        <f>Chart!$BG$5</f>
        <v>25770.07975480899</v>
      </c>
      <c r="S40" s="143">
        <f>Q40-R40</f>
        <v>6156.4827145101845</v>
      </c>
      <c r="T40" s="146">
        <f>S40/Q40</f>
        <v>0.19283262081304395</v>
      </c>
      <c r="Y40" s="42">
        <v>2</v>
      </c>
      <c r="Z40" s="63">
        <v>2025</v>
      </c>
      <c r="AA40" s="116">
        <f>Chart!$AU$5</f>
        <v>10827735.800000001</v>
      </c>
      <c r="AB40" s="114">
        <f>Chart!$BC$5</f>
        <v>31926.562469319175</v>
      </c>
      <c r="AC40" s="114">
        <f>Chart!$BG$5</f>
        <v>25770.07975480899</v>
      </c>
      <c r="AD40" s="114">
        <f>AB40-AC40</f>
        <v>6156.4827145101845</v>
      </c>
      <c r="AE40" s="117">
        <f>AD40/AB40</f>
        <v>0.19283262081304395</v>
      </c>
    </row>
    <row r="41" spans="2:46" x14ac:dyDescent="0.35">
      <c r="B41" s="118">
        <f>B40+1</f>
        <v>3</v>
      </c>
      <c r="C41" s="63" t="str">
        <f>Chart!AS6</f>
        <v>Hạt WSS01G</v>
      </c>
      <c r="D41" s="148">
        <f>O41/F$1*10^3</f>
        <v>78.563296518879895</v>
      </c>
      <c r="E41" s="148">
        <f>Q41/G$1*10^3</f>
        <v>1141.4236356808344</v>
      </c>
      <c r="F41" s="142">
        <f>R41/G$1*10^3</f>
        <v>1010.1901455666484</v>
      </c>
      <c r="G41" s="143">
        <f>E41-F41</f>
        <v>131.233490114186</v>
      </c>
      <c r="H41" s="146">
        <f>G41/E41</f>
        <v>0.11497351729177052</v>
      </c>
      <c r="N41" s="118">
        <f>N40+1</f>
        <v>3</v>
      </c>
      <c r="O41" s="63">
        <v>2026</v>
      </c>
      <c r="P41" s="148" t="e">
        <f>AA41/R$1*10^3</f>
        <v>#DIV/0!</v>
      </c>
      <c r="Q41" s="148">
        <f>Chart!$BD$5</f>
        <v>29887.029465582258</v>
      </c>
      <c r="R41" s="142">
        <f>Chart!$BH$5</f>
        <v>26450.812566521479</v>
      </c>
      <c r="S41" s="143">
        <f>Q41-R41</f>
        <v>3436.2168990607788</v>
      </c>
      <c r="T41" s="146">
        <f>S41/Q41</f>
        <v>0.11497351729177059</v>
      </c>
      <c r="Y41" s="118">
        <f>Y40+1</f>
        <v>3</v>
      </c>
      <c r="Z41" s="63">
        <v>2026</v>
      </c>
      <c r="AA41" s="116">
        <f>Chart!$AV$5</f>
        <v>1687500</v>
      </c>
      <c r="AB41" s="114">
        <f>Chart!$BD$5</f>
        <v>29887.029465582258</v>
      </c>
      <c r="AC41" s="114">
        <f>Chart!$BH$5</f>
        <v>26450.812566521479</v>
      </c>
      <c r="AD41" s="114">
        <f>AB41-AC41</f>
        <v>3436.2168990607788</v>
      </c>
      <c r="AE41" s="117">
        <f>AD41/AB41</f>
        <v>0.11497351729177059</v>
      </c>
    </row>
    <row r="42" spans="2:46" x14ac:dyDescent="0.35">
      <c r="B42" s="118">
        <f t="shared" ref="B42:B46" si="7">B41+1</f>
        <v>4</v>
      </c>
      <c r="C42" s="63" t="str">
        <f>Chart!AS7</f>
        <v>Hạt WSS03G</v>
      </c>
      <c r="D42" s="148">
        <f>[1]Chart!$BF$14</f>
        <v>1284.4978583339707</v>
      </c>
      <c r="E42" s="148">
        <f>[1]Chart!$BF$53</f>
        <v>1234.6977895342607</v>
      </c>
      <c r="F42" s="142">
        <f>SUM([1]Chart!$BF$46:$BF$48)</f>
        <v>1024.6977895342609</v>
      </c>
      <c r="G42" s="143">
        <f>E42-F42</f>
        <v>209.99999999999977</v>
      </c>
      <c r="H42" s="146">
        <f>G42/E42</f>
        <v>0.17008210574282612</v>
      </c>
      <c r="N42" s="118">
        <f t="shared" ref="N42:N44" si="8">N41+1</f>
        <v>4</v>
      </c>
      <c r="O42" s="63" t="s">
        <v>395</v>
      </c>
      <c r="P42" s="148">
        <f>[1]Chart!$BF$14</f>
        <v>1284.4978583339707</v>
      </c>
      <c r="Q42" s="148">
        <f>E42*26.5</f>
        <v>32719.491422657906</v>
      </c>
      <c r="R42" s="142">
        <f>F42*26.5</f>
        <v>27154.491422657913</v>
      </c>
      <c r="S42" s="143">
        <f t="shared" ref="S42:S43" si="9">Q42-R42</f>
        <v>5564.9999999999927</v>
      </c>
      <c r="T42" s="146">
        <f t="shared" ref="T42:T43" si="10">S42/Q42</f>
        <v>0.17008210574282606</v>
      </c>
      <c r="Y42" s="118">
        <f t="shared" ref="Y42:Y44" si="11">Y41+1</f>
        <v>4</v>
      </c>
    </row>
    <row r="43" spans="2:46" x14ac:dyDescent="0.35">
      <c r="B43" s="118">
        <f t="shared" si="7"/>
        <v>5</v>
      </c>
      <c r="C43" s="63" t="str">
        <f>Chart!AS8</f>
        <v>Hạt WSS03G-PW</v>
      </c>
      <c r="D43" s="148">
        <f>[1]Chart!$BR$14</f>
        <v>1470</v>
      </c>
      <c r="E43" s="148">
        <f>[1]Chart!$BR$53</f>
        <v>1410</v>
      </c>
      <c r="F43" s="142">
        <v>1020</v>
      </c>
      <c r="G43" s="143">
        <f>E43-F43</f>
        <v>390</v>
      </c>
      <c r="H43" s="146">
        <f>G43/E43</f>
        <v>0.27659574468085107</v>
      </c>
      <c r="N43" s="118">
        <f t="shared" si="8"/>
        <v>5</v>
      </c>
      <c r="O43" s="63" t="s">
        <v>396</v>
      </c>
      <c r="P43" s="148">
        <f>[1]Chart!$BR$14</f>
        <v>1470</v>
      </c>
      <c r="Q43" s="148">
        <f>E43*26.5</f>
        <v>37365</v>
      </c>
      <c r="R43" s="142">
        <f>F43*26.5</f>
        <v>27030</v>
      </c>
      <c r="S43" s="143">
        <f t="shared" si="9"/>
        <v>10335</v>
      </c>
      <c r="T43" s="146">
        <f t="shared" si="10"/>
        <v>0.27659574468085107</v>
      </c>
      <c r="Y43" s="118">
        <f t="shared" si="11"/>
        <v>5</v>
      </c>
    </row>
    <row r="44" spans="2:46" x14ac:dyDescent="0.35">
      <c r="B44" s="118">
        <f t="shared" si="7"/>
        <v>6</v>
      </c>
      <c r="C44" s="63" t="str">
        <f>Chart!AS9</f>
        <v>Hạt WSS05SB (sợi ngắn)</v>
      </c>
      <c r="N44" s="118">
        <f t="shared" si="8"/>
        <v>6</v>
      </c>
      <c r="Y44" s="118">
        <f t="shared" si="11"/>
        <v>6</v>
      </c>
    </row>
    <row r="45" spans="2:46" x14ac:dyDescent="0.35">
      <c r="B45" s="118">
        <f t="shared" si="7"/>
        <v>7</v>
      </c>
      <c r="C45" s="63" t="str">
        <f>Chart!AS10</f>
        <v>Vảy FPET201-Out</v>
      </c>
    </row>
    <row r="46" spans="2:46" x14ac:dyDescent="0.35">
      <c r="B46" s="118">
        <f t="shared" si="7"/>
        <v>8</v>
      </c>
      <c r="C46" s="63" t="str">
        <f>Chart!AS11</f>
        <v>Dây Đai</v>
      </c>
    </row>
    <row r="62" spans="9:38" x14ac:dyDescent="0.35">
      <c r="I62" s="136"/>
      <c r="J62" s="136"/>
      <c r="U62" s="136"/>
      <c r="V62" s="136"/>
      <c r="AF62" s="136"/>
      <c r="AG62" s="136"/>
    </row>
    <row r="64" spans="9:38" x14ac:dyDescent="0.35">
      <c r="AL64" s="39" t="str">
        <f>Chart!$BF$2</f>
        <v>GIÁ VỐN ĐƠN VỊ (VND/kg)</v>
      </c>
    </row>
    <row r="65" spans="2:46" ht="43.5" x14ac:dyDescent="0.35">
      <c r="AK65" t="s">
        <v>370</v>
      </c>
      <c r="AL65" s="139" t="s">
        <v>391</v>
      </c>
      <c r="AM65" s="135" t="str">
        <f>Chart!$AS$4</f>
        <v>Hạt iSS01084G</v>
      </c>
      <c r="AN65" s="136" t="str">
        <f>Chart!$AS$5</f>
        <v>Hạt iSS01G</v>
      </c>
      <c r="AO65" s="136" t="str">
        <f>Chart!$AS$6</f>
        <v>Hạt WSS01G</v>
      </c>
      <c r="AP65" s="136" t="str">
        <f>Chart!$AS$7</f>
        <v>Hạt WSS03G</v>
      </c>
      <c r="AQ65" s="136" t="str">
        <f>Chart!$AS$8</f>
        <v>Hạt WSS03G-PW</v>
      </c>
      <c r="AR65" s="136" t="str">
        <f>Chart!$AS$9</f>
        <v>Hạt WSS05SB (sợi ngắn)</v>
      </c>
      <c r="AS65" s="136" t="str">
        <f>Chart!$AS$10</f>
        <v>Vảy FPET201-Out</v>
      </c>
      <c r="AT65" s="136" t="str">
        <f>Chart!$AS$11</f>
        <v>Dây Đai</v>
      </c>
    </row>
    <row r="66" spans="2:46" x14ac:dyDescent="0.35">
      <c r="AK66">
        <v>1</v>
      </c>
      <c r="AL66" s="140">
        <f>$Z$6</f>
        <v>2024</v>
      </c>
      <c r="AM66" s="116">
        <f>Chart!$BF$4</f>
        <v>27271.253178600313</v>
      </c>
      <c r="AN66" s="116">
        <f>Chart!$BF$5</f>
        <v>23061.128116039436</v>
      </c>
      <c r="AO66" s="116">
        <f>Chart!$BF$6</f>
        <v>24398.788390546506</v>
      </c>
      <c r="AP66" s="116">
        <f>Chart!$BF$7</f>
        <v>29230.613178629941</v>
      </c>
      <c r="AQ66" s="116">
        <f>Chart!$BF$8</f>
        <v>30566.452336984257</v>
      </c>
      <c r="AR66" s="116">
        <f>Chart!$BF$9</f>
        <v>22643.129784870489</v>
      </c>
      <c r="AS66" s="116">
        <f>Chart!$BF$10</f>
        <v>0</v>
      </c>
      <c r="AT66" s="116">
        <f>Chart!$BF$11</f>
        <v>23716.889805711373</v>
      </c>
    </row>
    <row r="67" spans="2:46" x14ac:dyDescent="0.35">
      <c r="AK67">
        <v>2</v>
      </c>
      <c r="AL67" s="140">
        <f>$Z$7</f>
        <v>2025</v>
      </c>
      <c r="AM67" s="116">
        <f>Chart!$BG$4</f>
        <v>28138.633379936906</v>
      </c>
      <c r="AN67" s="116">
        <f>Chart!$BG$5</f>
        <v>25770.07975480899</v>
      </c>
      <c r="AO67" s="116">
        <f>Chart!$BG$6</f>
        <v>26749.126226040491</v>
      </c>
      <c r="AP67" s="116">
        <f>Chart!$BG$7</f>
        <v>25739.27746191113</v>
      </c>
      <c r="AQ67" s="116">
        <f>Chart!$BG$8</f>
        <v>25324.245496464653</v>
      </c>
      <c r="AR67" s="116">
        <f>Chart!$BG$9</f>
        <v>26664.425688596559</v>
      </c>
      <c r="AS67" s="116">
        <f>Chart!$BG$10</f>
        <v>25925.0059</v>
      </c>
      <c r="AT67" s="116">
        <f>Chart!$BG$11</f>
        <v>21106.547259715026</v>
      </c>
    </row>
    <row r="68" spans="2:46" x14ac:dyDescent="0.35">
      <c r="B68" s="119" t="str">
        <f>Chart!$AR$2</f>
        <v>STT</v>
      </c>
      <c r="C68" s="67" t="str">
        <f>Sheet3!M29</f>
        <v>Outerinho</v>
      </c>
      <c r="N68" s="119" t="str">
        <f>Chart!$AR$2</f>
        <v>STT</v>
      </c>
      <c r="O68" s="67" t="str">
        <f>C68</f>
        <v>Outerinho</v>
      </c>
      <c r="Y68" s="119" t="str">
        <f>Chart!$AR$2</f>
        <v>STT</v>
      </c>
      <c r="Z68" s="67" t="str">
        <f>Chart!$AS$6</f>
        <v>Hạt WSS01G</v>
      </c>
      <c r="AK68">
        <v>3</v>
      </c>
      <c r="AL68" s="140">
        <f>$Z$8</f>
        <v>2026</v>
      </c>
      <c r="AM68" s="116">
        <f>Chart!$BH$4</f>
        <v>28651.781109092688</v>
      </c>
      <c r="AN68" s="116">
        <f>Chart!$BH$5</f>
        <v>26450.812566521479</v>
      </c>
      <c r="AO68" s="116">
        <f>Chart!$BH$6</f>
        <v>26272.020573270045</v>
      </c>
      <c r="AP68" s="116">
        <f>Chart!$BH$7</f>
        <v>27210.348036371728</v>
      </c>
      <c r="AQ68" s="116">
        <f>Chart!$BH$8</f>
        <v>27142.653088748815</v>
      </c>
      <c r="AR68" s="116">
        <f>Chart!$BH$9</f>
        <v>28400.67402984139</v>
      </c>
      <c r="AS68" s="116">
        <f>Chart!$BH$10</f>
        <v>20404.999999999993</v>
      </c>
      <c r="AT68" s="116">
        <f>Chart!$BH$11</f>
        <v>21246.656786632389</v>
      </c>
    </row>
    <row r="69" spans="2:46" ht="29" x14ac:dyDescent="0.35">
      <c r="B69" s="138"/>
      <c r="C69" s="137"/>
      <c r="D69" s="147" t="s">
        <v>415</v>
      </c>
      <c r="E69" s="147" t="s">
        <v>392</v>
      </c>
      <c r="F69" s="141" t="s">
        <v>397</v>
      </c>
      <c r="G69" s="144" t="s">
        <v>386</v>
      </c>
      <c r="H69" s="145" t="s">
        <v>390</v>
      </c>
      <c r="N69" s="138"/>
      <c r="O69" s="137"/>
      <c r="P69" s="147" t="s">
        <v>415</v>
      </c>
      <c r="Q69" s="147" t="s">
        <v>392</v>
      </c>
      <c r="R69" s="141" t="s">
        <v>397</v>
      </c>
      <c r="S69" s="144" t="s">
        <v>386</v>
      </c>
      <c r="T69" s="145" t="s">
        <v>390</v>
      </c>
      <c r="Y69" s="138"/>
      <c r="Z69" s="137"/>
      <c r="AA69" s="135" t="s">
        <v>384</v>
      </c>
      <c r="AB69" s="136" t="s">
        <v>392</v>
      </c>
      <c r="AC69" s="136" t="s">
        <v>397</v>
      </c>
      <c r="AD69" s="136" t="s">
        <v>386</v>
      </c>
      <c r="AE69" s="136" t="s">
        <v>390</v>
      </c>
    </row>
    <row r="70" spans="2:46" x14ac:dyDescent="0.35">
      <c r="B70" s="138">
        <v>1</v>
      </c>
      <c r="C70" s="63" t="str">
        <f>Chart!AS4</f>
        <v>Hạt iSS01084G</v>
      </c>
      <c r="D70" s="148" t="e">
        <f>O70/D$1*10^3</f>
        <v>#DIV/0!</v>
      </c>
      <c r="E70" s="148">
        <f>Q70/E$1*10^3</f>
        <v>1224.2711679958338</v>
      </c>
      <c r="F70" s="142">
        <f>R70/E$1*10^3</f>
        <v>981.49575659452444</v>
      </c>
      <c r="G70" s="143">
        <f>E70-F70</f>
        <v>242.77541140130938</v>
      </c>
      <c r="H70" s="146">
        <f>G70/E70</f>
        <v>0.19830199203232035</v>
      </c>
      <c r="N70" s="138">
        <v>1</v>
      </c>
      <c r="O70" s="63">
        <v>2024</v>
      </c>
      <c r="P70" s="148" t="e">
        <f>AA70/P$1*10^3</f>
        <v>#DIV/0!</v>
      </c>
      <c r="Q70" s="148">
        <f>Chart!$BB$6</f>
        <v>30433.889255129769</v>
      </c>
      <c r="R70" s="142">
        <f>Chart!$BF$6</f>
        <v>24398.788390546506</v>
      </c>
      <c r="S70" s="143">
        <f>Q70-R70</f>
        <v>6035.1008645832626</v>
      </c>
      <c r="T70" s="146">
        <f>S70/Q70</f>
        <v>0.19830199203232032</v>
      </c>
      <c r="Y70" s="138">
        <v>1</v>
      </c>
      <c r="Z70" s="63">
        <v>2024</v>
      </c>
      <c r="AA70" s="116">
        <f>Chart!$AT$6</f>
        <v>19788700</v>
      </c>
      <c r="AB70" s="114">
        <f>Chart!$BB$6</f>
        <v>30433.889255129769</v>
      </c>
      <c r="AC70" s="114">
        <f>Chart!$BF$6</f>
        <v>24398.788390546506</v>
      </c>
      <c r="AD70" s="114">
        <f>AB70-AC70</f>
        <v>6035.1008645832626</v>
      </c>
      <c r="AE70" s="117">
        <f>AD70/AB70</f>
        <v>0.19830199203232032</v>
      </c>
    </row>
    <row r="71" spans="2:46" x14ac:dyDescent="0.35">
      <c r="B71" s="42">
        <v>2</v>
      </c>
      <c r="C71" s="63" t="str">
        <f>Chart!AS5</f>
        <v>Hạt iSS01G</v>
      </c>
      <c r="D71" s="148">
        <f>O71/E$1*10^3</f>
        <v>81.460147745450968</v>
      </c>
      <c r="E71" s="148">
        <f>Q71/F$1*10^3</f>
        <v>1204.2755925836173</v>
      </c>
      <c r="F71" s="142">
        <f>R71/F$1*10^3</f>
        <v>1037.2653185179495</v>
      </c>
      <c r="G71" s="143">
        <f>E71-F71</f>
        <v>167.01027406566777</v>
      </c>
      <c r="H71" s="146">
        <f>G71/E71</f>
        <v>0.13868110845572224</v>
      </c>
      <c r="N71" s="42">
        <v>2</v>
      </c>
      <c r="O71" s="63">
        <v>2025</v>
      </c>
      <c r="P71" s="148" t="e">
        <f>AA71/Q$1*10^3</f>
        <v>#DIV/0!</v>
      </c>
      <c r="Q71" s="148">
        <f>Chart!$BC$6</f>
        <v>31056.007813878769</v>
      </c>
      <c r="R71" s="142">
        <f>Chart!$BG$6</f>
        <v>26749.126226040491</v>
      </c>
      <c r="S71" s="143">
        <f>Q71-R71</f>
        <v>4306.8815878382775</v>
      </c>
      <c r="T71" s="146">
        <f>S71/Q71</f>
        <v>0.13868110845572221</v>
      </c>
      <c r="Y71" s="42">
        <v>2</v>
      </c>
      <c r="Z71" s="63">
        <v>2025</v>
      </c>
      <c r="AA71" s="116">
        <f>Chart!$AU$6</f>
        <v>19703925</v>
      </c>
      <c r="AB71" s="114">
        <f>Chart!$BC$6</f>
        <v>31056.007813878769</v>
      </c>
      <c r="AC71" s="114">
        <f>Chart!$BG$6</f>
        <v>26749.126226040491</v>
      </c>
      <c r="AD71" s="114">
        <f>AB71-AC71</f>
        <v>4306.8815878382775</v>
      </c>
      <c r="AE71" s="117">
        <f>AD71/AB71</f>
        <v>0.13868110845572221</v>
      </c>
    </row>
    <row r="72" spans="2:46" x14ac:dyDescent="0.35">
      <c r="B72" s="118">
        <f>B71+1</f>
        <v>3</v>
      </c>
      <c r="C72" s="63" t="str">
        <f>Chart!AS6</f>
        <v>Hạt WSS01G</v>
      </c>
      <c r="D72" s="148">
        <f>O72/F$1*10^3</f>
        <v>78.563296518879895</v>
      </c>
      <c r="E72" s="148">
        <f>Q72/G$1*10^3</f>
        <v>1113.441134384399</v>
      </c>
      <c r="F72" s="142">
        <f>R72/G$1*10^3</f>
        <v>1003.3618521357912</v>
      </c>
      <c r="G72" s="143">
        <f>E72-F72</f>
        <v>110.0792822486078</v>
      </c>
      <c r="H72" s="146">
        <f>G72/E72</f>
        <v>9.8864034073492896E-2</v>
      </c>
      <c r="N72" s="118">
        <f>N71+1</f>
        <v>3</v>
      </c>
      <c r="O72" s="63">
        <v>2026</v>
      </c>
      <c r="P72" s="148" t="e">
        <f>AA72/R$1*10^3</f>
        <v>#DIV/0!</v>
      </c>
      <c r="Q72" s="148">
        <f>Chart!$BD$6</f>
        <v>29154.335823516209</v>
      </c>
      <c r="R72" s="142">
        <f>Chart!$BH$6</f>
        <v>26272.020573270045</v>
      </c>
      <c r="S72" s="143">
        <f>Q72-R72</f>
        <v>2882.3152502461635</v>
      </c>
      <c r="T72" s="146">
        <f>S72/Q72</f>
        <v>9.8864034073492979E-2</v>
      </c>
      <c r="Y72" s="118">
        <f>Y71+1</f>
        <v>3</v>
      </c>
      <c r="Z72" s="63">
        <v>2026</v>
      </c>
      <c r="AA72" s="116">
        <f>Chart!$AV$6</f>
        <v>8529600</v>
      </c>
      <c r="AB72" s="114">
        <f>Chart!$BD$6</f>
        <v>29154.335823516209</v>
      </c>
      <c r="AC72" s="114">
        <f>Chart!$BH$6</f>
        <v>26272.020573270045</v>
      </c>
      <c r="AD72" s="114">
        <f>AB72-AC72</f>
        <v>2882.3152502461635</v>
      </c>
      <c r="AE72" s="117">
        <f>AD72/AB72</f>
        <v>9.8864034073492979E-2</v>
      </c>
    </row>
    <row r="73" spans="2:46" x14ac:dyDescent="0.35">
      <c r="B73" s="118">
        <f t="shared" ref="B73:B77" si="12">B72+1</f>
        <v>4</v>
      </c>
      <c r="C73" s="63" t="str">
        <f>Chart!AS7</f>
        <v>Hạt WSS03G</v>
      </c>
      <c r="D73" s="148">
        <f>[1]Chart!$BF$14</f>
        <v>1284.4978583339707</v>
      </c>
      <c r="E73" s="148">
        <f>[1]Chart!$BF$89</f>
        <v>1156.6078351092156</v>
      </c>
      <c r="F73" s="142">
        <f>SUM([1]Chart!$BF$82:$BF$84)</f>
        <v>966.60783510921567</v>
      </c>
      <c r="G73" s="143">
        <f>E73-F73</f>
        <v>189.99999999999989</v>
      </c>
      <c r="H73" s="146">
        <f>G73/E73</f>
        <v>0.16427348512822296</v>
      </c>
      <c r="N73" s="118">
        <f t="shared" ref="N73:N75" si="13">N72+1</f>
        <v>4</v>
      </c>
      <c r="O73" s="63" t="s">
        <v>395</v>
      </c>
      <c r="P73" s="148">
        <f>[1]Chart!$BF$14</f>
        <v>1284.4978583339707</v>
      </c>
      <c r="Q73" s="148">
        <f>E73*26.5</f>
        <v>30650.107630394214</v>
      </c>
      <c r="R73" s="142">
        <f>F73*26.5</f>
        <v>25615.107630394214</v>
      </c>
      <c r="S73" s="143">
        <f t="shared" ref="S73:S74" si="14">Q73-R73</f>
        <v>5035</v>
      </c>
      <c r="T73" s="146">
        <f t="shared" ref="T73:T74" si="15">S73/Q73</f>
        <v>0.16427348512822307</v>
      </c>
      <c r="Y73" s="118">
        <f t="shared" ref="Y73:Y75" si="16">Y72+1</f>
        <v>4</v>
      </c>
    </row>
    <row r="74" spans="2:46" x14ac:dyDescent="0.35">
      <c r="B74" s="118">
        <f t="shared" si="12"/>
        <v>5</v>
      </c>
      <c r="C74" s="63" t="str">
        <f>Chart!AS8</f>
        <v>Hạt WSS03G-PW</v>
      </c>
      <c r="D74" s="148">
        <f>[1]Chart!$BR$14</f>
        <v>1470</v>
      </c>
      <c r="E74" s="148">
        <f>[1]Chart!$BR$89</f>
        <v>1380</v>
      </c>
      <c r="F74" s="142">
        <v>1012</v>
      </c>
      <c r="G74" s="143">
        <f>E74-F74</f>
        <v>368</v>
      </c>
      <c r="H74" s="146">
        <f>G74/E74</f>
        <v>0.26666666666666666</v>
      </c>
      <c r="N74" s="118">
        <f t="shared" si="13"/>
        <v>5</v>
      </c>
      <c r="O74" s="63" t="s">
        <v>396</v>
      </c>
      <c r="P74" s="148">
        <f>[1]Chart!$BR$14</f>
        <v>1470</v>
      </c>
      <c r="Q74" s="148">
        <f>E74*26.5</f>
        <v>36570</v>
      </c>
      <c r="R74" s="142">
        <f>F74*26.5</f>
        <v>26818</v>
      </c>
      <c r="S74" s="143">
        <f t="shared" si="14"/>
        <v>9752</v>
      </c>
      <c r="T74" s="146">
        <f t="shared" si="15"/>
        <v>0.26666666666666666</v>
      </c>
      <c r="Y74" s="118">
        <f t="shared" si="16"/>
        <v>5</v>
      </c>
    </row>
    <row r="75" spans="2:46" x14ac:dyDescent="0.35">
      <c r="B75" s="118">
        <f t="shared" si="12"/>
        <v>6</v>
      </c>
      <c r="C75" s="63" t="str">
        <f>Chart!AS9</f>
        <v>Hạt WSS05SB (sợi ngắn)</v>
      </c>
      <c r="N75" s="118">
        <f t="shared" si="13"/>
        <v>6</v>
      </c>
      <c r="Y75" s="118">
        <f t="shared" si="16"/>
        <v>6</v>
      </c>
    </row>
    <row r="76" spans="2:46" x14ac:dyDescent="0.35">
      <c r="B76" s="118">
        <f t="shared" si="12"/>
        <v>7</v>
      </c>
      <c r="C76" s="63" t="str">
        <f>Chart!AS10</f>
        <v>Vảy FPET201-Out</v>
      </c>
    </row>
    <row r="77" spans="2:46" x14ac:dyDescent="0.35">
      <c r="B77" s="118">
        <f t="shared" si="12"/>
        <v>8</v>
      </c>
      <c r="C77" s="63" t="str">
        <f>Chart!AS11</f>
        <v>Dây Đai</v>
      </c>
    </row>
    <row r="93" spans="9:33" x14ac:dyDescent="0.35">
      <c r="I93" s="136"/>
      <c r="J93" s="136"/>
      <c r="U93" s="136"/>
      <c r="V93" s="136"/>
      <c r="AF93" s="136"/>
      <c r="AG93" s="136"/>
    </row>
    <row r="99" spans="2:31" x14ac:dyDescent="0.35">
      <c r="B99" s="119" t="str">
        <f>Chart!$AR$2</f>
        <v>STT</v>
      </c>
      <c r="C99" s="67" t="str">
        <f>Sheet3!M30</f>
        <v>Suntory</v>
      </c>
      <c r="N99" s="119" t="str">
        <f>Chart!$AR$2</f>
        <v>STT</v>
      </c>
      <c r="O99" s="67" t="str">
        <f>C99</f>
        <v>Suntory</v>
      </c>
      <c r="Y99" s="119" t="str">
        <f>Chart!$AR$2</f>
        <v>STT</v>
      </c>
      <c r="Z99" s="67" t="str">
        <f>Chart!$AS$7</f>
        <v>Hạt WSS03G</v>
      </c>
    </row>
    <row r="100" spans="2:31" ht="29" x14ac:dyDescent="0.35">
      <c r="B100" s="138"/>
      <c r="C100" s="137"/>
      <c r="D100" s="147" t="s">
        <v>415</v>
      </c>
      <c r="E100" s="147" t="s">
        <v>392</v>
      </c>
      <c r="F100" s="141" t="s">
        <v>397</v>
      </c>
      <c r="G100" s="144" t="s">
        <v>386</v>
      </c>
      <c r="H100" s="145" t="s">
        <v>390</v>
      </c>
      <c r="N100" s="138"/>
      <c r="O100" s="137"/>
      <c r="P100" s="147" t="s">
        <v>415</v>
      </c>
      <c r="Q100" s="147" t="s">
        <v>392</v>
      </c>
      <c r="R100" s="141" t="s">
        <v>397</v>
      </c>
      <c r="S100" s="144" t="s">
        <v>386</v>
      </c>
      <c r="T100" s="145" t="s">
        <v>390</v>
      </c>
      <c r="Y100" s="138"/>
      <c r="Z100" s="137"/>
      <c r="AA100" s="135" t="s">
        <v>384</v>
      </c>
      <c r="AB100" s="136" t="s">
        <v>392</v>
      </c>
      <c r="AC100" s="136" t="s">
        <v>397</v>
      </c>
      <c r="AD100" s="136" t="s">
        <v>386</v>
      </c>
      <c r="AE100" s="136" t="s">
        <v>390</v>
      </c>
    </row>
    <row r="101" spans="2:31" x14ac:dyDescent="0.35">
      <c r="B101" s="138">
        <v>1</v>
      </c>
      <c r="C101" s="63" t="str">
        <f>Chart!AS4</f>
        <v>Hạt iSS01084G</v>
      </c>
      <c r="D101" s="148" t="e">
        <f>O101/D$1*10^3</f>
        <v>#DIV/0!</v>
      </c>
      <c r="E101" s="148">
        <f>Q101/E$1*10^3</f>
        <v>1068.9916591501801</v>
      </c>
      <c r="F101" s="142">
        <f>R101/E$1*10^3</f>
        <v>1175.8667003562077</v>
      </c>
      <c r="G101" s="143">
        <f>E101-F101</f>
        <v>-106.87504120602762</v>
      </c>
      <c r="H101" s="146">
        <f>G101/E101</f>
        <v>-9.9977432275748929E-2</v>
      </c>
      <c r="N101" s="138">
        <v>1</v>
      </c>
      <c r="O101" s="63">
        <v>2024</v>
      </c>
      <c r="P101" s="148" t="e">
        <f>AA101/P$1*10^3</f>
        <v>#DIV/0!</v>
      </c>
      <c r="Q101" s="148">
        <f>Chart!$BB$7</f>
        <v>26573.829899541273</v>
      </c>
      <c r="R101" s="142">
        <f>Chart!$BF$7</f>
        <v>29230.613178629941</v>
      </c>
      <c r="S101" s="143">
        <f>Q101-R101</f>
        <v>-2656.7832790886678</v>
      </c>
      <c r="T101" s="146">
        <f>S101/Q101</f>
        <v>-9.9977432275749234E-2</v>
      </c>
      <c r="Y101" s="138">
        <v>1</v>
      </c>
      <c r="Z101" s="63">
        <v>2024</v>
      </c>
      <c r="AA101" s="116">
        <f>Chart!$AT$7</f>
        <v>1740225</v>
      </c>
      <c r="AB101" s="114">
        <f>Chart!$BB$7</f>
        <v>26573.829899541273</v>
      </c>
      <c r="AC101" s="114">
        <f>Chart!$BF$7</f>
        <v>29230.613178629941</v>
      </c>
      <c r="AD101" s="114">
        <f>AB101-AC101</f>
        <v>-2656.7832790886678</v>
      </c>
      <c r="AE101" s="117">
        <f>AD101/AB101</f>
        <v>-9.9977432275749234E-2</v>
      </c>
    </row>
    <row r="102" spans="2:31" x14ac:dyDescent="0.35">
      <c r="B102" s="42">
        <v>2</v>
      </c>
      <c r="C102" s="63" t="str">
        <f>Chart!AS5</f>
        <v>Hạt iSS01G</v>
      </c>
      <c r="D102" s="148">
        <f>O102/E$1*10^3</f>
        <v>81.460147745450968</v>
      </c>
      <c r="E102" s="148">
        <f>Q102/F$1*10^3</f>
        <v>1091.0347276350142</v>
      </c>
      <c r="F102" s="142">
        <f>R102/F$1*10^3</f>
        <v>998.10586743427757</v>
      </c>
      <c r="G102" s="143">
        <f>E102-F102</f>
        <v>92.928860200736608</v>
      </c>
      <c r="H102" s="146">
        <f>G102/E102</f>
        <v>8.5174979170621112E-2</v>
      </c>
      <c r="N102" s="42">
        <v>2</v>
      </c>
      <c r="O102" s="63">
        <v>2025</v>
      </c>
      <c r="P102" s="148" t="e">
        <f>AA102/Q$1*10^3</f>
        <v>#DIV/0!</v>
      </c>
      <c r="Q102" s="148">
        <f>Chart!$BC$7</f>
        <v>28135.7383935301</v>
      </c>
      <c r="R102" s="142">
        <f>Chart!$BG$7</f>
        <v>25739.27746191113</v>
      </c>
      <c r="S102" s="143">
        <f>Q102-R102</f>
        <v>2396.4609316189708</v>
      </c>
      <c r="T102" s="146">
        <f>S102/Q102</f>
        <v>8.5174979170621098E-2</v>
      </c>
      <c r="Y102" s="42">
        <v>2</v>
      </c>
      <c r="Z102" s="63">
        <v>2025</v>
      </c>
      <c r="AA102" s="116">
        <f>Chart!$AU$7</f>
        <v>1235050</v>
      </c>
      <c r="AB102" s="114">
        <f>Chart!$BC$7</f>
        <v>28135.7383935301</v>
      </c>
      <c r="AC102" s="114">
        <f>Chart!$BG$7</f>
        <v>25739.27746191113</v>
      </c>
      <c r="AD102" s="114">
        <f>AB102-AC102</f>
        <v>2396.4609316189708</v>
      </c>
      <c r="AE102" s="117">
        <f>AD102/AB102</f>
        <v>8.5174979170621098E-2</v>
      </c>
    </row>
    <row r="103" spans="2:31" x14ac:dyDescent="0.35">
      <c r="B103" s="118">
        <f>B102+1</f>
        <v>3</v>
      </c>
      <c r="C103" s="63" t="str">
        <f>Chart!AS6</f>
        <v>Hạt WSS01G</v>
      </c>
      <c r="D103" s="148">
        <f>O103/F$1*10^3</f>
        <v>78.563296518879895</v>
      </c>
      <c r="E103" s="148">
        <f>Q103/G$1*10^3</f>
        <v>1104.632839711883</v>
      </c>
      <c r="F103" s="142">
        <f>R103/G$1*10^3</f>
        <v>1039.1977703767152</v>
      </c>
      <c r="G103" s="143">
        <f>E103-F103</f>
        <v>65.435069335167782</v>
      </c>
      <c r="H103" s="146">
        <f>G103/E103</f>
        <v>5.9236940078872681E-2</v>
      </c>
      <c r="N103" s="118">
        <f>N102+1</f>
        <v>3</v>
      </c>
      <c r="O103" s="63">
        <v>2026</v>
      </c>
      <c r="P103" s="148" t="e">
        <f>AA103/R$1*10^3</f>
        <v>#DIV/0!</v>
      </c>
      <c r="Q103" s="148">
        <f>Chart!$BD$7</f>
        <v>28923.699489915147</v>
      </c>
      <c r="R103" s="142">
        <f>Chart!$BH$7</f>
        <v>27210.348036371728</v>
      </c>
      <c r="S103" s="143">
        <f>Q103-R103</f>
        <v>1713.3514535434188</v>
      </c>
      <c r="T103" s="146">
        <f>S103/Q103</f>
        <v>5.9236940078872501E-2</v>
      </c>
      <c r="Y103" s="118">
        <f>Y102+1</f>
        <v>3</v>
      </c>
      <c r="Z103" s="63">
        <v>2026</v>
      </c>
      <c r="AA103" s="116">
        <f>Chart!$AV$7</f>
        <v>1246450</v>
      </c>
      <c r="AB103" s="114">
        <f>Chart!$BD$7</f>
        <v>28923.699489915147</v>
      </c>
      <c r="AC103" s="114">
        <f>Chart!$BH$7</f>
        <v>27210.348036371728</v>
      </c>
      <c r="AD103" s="114">
        <f>AB103-AC103</f>
        <v>1713.3514535434188</v>
      </c>
      <c r="AE103" s="117">
        <f>AD103/AB103</f>
        <v>5.9236940078872501E-2</v>
      </c>
    </row>
    <row r="104" spans="2:31" x14ac:dyDescent="0.35">
      <c r="B104" s="118">
        <f t="shared" ref="B104:B108" si="17">B103+1</f>
        <v>4</v>
      </c>
      <c r="C104" s="63" t="str">
        <f>Chart!AS7</f>
        <v>Hạt WSS03G</v>
      </c>
      <c r="D104" s="148">
        <f>[1]Chart!$BF$14</f>
        <v>1284.4978583339707</v>
      </c>
      <c r="E104" s="148">
        <f>[1]Chart!$BF$134</f>
        <v>1134.590999848426</v>
      </c>
      <c r="F104" s="142">
        <f>SUM([1]Chart!$BF$127:$BF$129)</f>
        <v>944.59099984842601</v>
      </c>
      <c r="G104" s="143">
        <f>E104-F104</f>
        <v>190</v>
      </c>
      <c r="H104" s="146">
        <f>G104/E104</f>
        <v>0.16746122613821435</v>
      </c>
      <c r="N104" s="118">
        <f t="shared" ref="N104:N106" si="18">N103+1</f>
        <v>4</v>
      </c>
      <c r="O104" s="63" t="s">
        <v>395</v>
      </c>
      <c r="P104" s="148">
        <f>[1]Chart!$BF$14</f>
        <v>1284.4978583339707</v>
      </c>
      <c r="Q104" s="148">
        <f>E104*26.5</f>
        <v>30066.661495983288</v>
      </c>
      <c r="R104" s="142">
        <f>F104*26.5</f>
        <v>25031.661495983288</v>
      </c>
      <c r="S104" s="143">
        <f t="shared" ref="S104:S105" si="19">Q104-R104</f>
        <v>5035</v>
      </c>
      <c r="T104" s="146">
        <f t="shared" ref="T104:T105" si="20">S104/Q104</f>
        <v>0.16746122613821438</v>
      </c>
      <c r="Y104" s="118">
        <f t="shared" ref="Y104:Y106" si="21">Y103+1</f>
        <v>4</v>
      </c>
    </row>
    <row r="105" spans="2:31" x14ac:dyDescent="0.35">
      <c r="B105" s="118">
        <f t="shared" si="17"/>
        <v>5</v>
      </c>
      <c r="C105" s="63" t="str">
        <f>Chart!AS8</f>
        <v>Hạt WSS03G-PW</v>
      </c>
      <c r="D105" s="148">
        <f>[1]Chart!$BR$14</f>
        <v>1470</v>
      </c>
      <c r="E105" s="148">
        <f>[1]Chart!$BR$134</f>
        <v>1310</v>
      </c>
      <c r="F105" s="142">
        <f>SUM([1]Chart!$BR$127:$BR$129)</f>
        <v>944.59099984842601</v>
      </c>
      <c r="G105" s="143">
        <f>E105-F105</f>
        <v>365.40900015157399</v>
      </c>
      <c r="H105" s="146">
        <f>G105/E105</f>
        <v>0.27893816805463661</v>
      </c>
      <c r="N105" s="118">
        <f t="shared" si="18"/>
        <v>5</v>
      </c>
      <c r="O105" s="63" t="s">
        <v>396</v>
      </c>
      <c r="P105" s="148">
        <f>[1]Chart!$BR$14</f>
        <v>1470</v>
      </c>
      <c r="Q105" s="148">
        <f>E105*26.5</f>
        <v>34715</v>
      </c>
      <c r="R105" s="142">
        <f>F105*26.5</f>
        <v>25031.661495983288</v>
      </c>
      <c r="S105" s="143">
        <f t="shared" si="19"/>
        <v>9683.3385040167122</v>
      </c>
      <c r="T105" s="146">
        <f t="shared" si="20"/>
        <v>0.27893816805463667</v>
      </c>
      <c r="Y105" s="118">
        <f t="shared" si="21"/>
        <v>5</v>
      </c>
    </row>
    <row r="106" spans="2:31" x14ac:dyDescent="0.35">
      <c r="B106" s="118">
        <f t="shared" si="17"/>
        <v>6</v>
      </c>
      <c r="C106" s="63" t="str">
        <f>Chart!AS9</f>
        <v>Hạt WSS05SB (sợi ngắn)</v>
      </c>
      <c r="N106" s="118">
        <f t="shared" si="18"/>
        <v>6</v>
      </c>
      <c r="Y106" s="118">
        <f t="shared" si="21"/>
        <v>6</v>
      </c>
    </row>
    <row r="107" spans="2:31" x14ac:dyDescent="0.35">
      <c r="B107" s="118">
        <f t="shared" si="17"/>
        <v>7</v>
      </c>
      <c r="C107" s="63" t="str">
        <f>Chart!AS10</f>
        <v>Vảy FPET201-Out</v>
      </c>
    </row>
    <row r="108" spans="2:31" x14ac:dyDescent="0.35">
      <c r="B108" s="118">
        <f t="shared" si="17"/>
        <v>8</v>
      </c>
      <c r="C108" s="63" t="str">
        <f>Chart!AS11</f>
        <v>Dây Đai</v>
      </c>
    </row>
    <row r="124" spans="9:33" x14ac:dyDescent="0.35">
      <c r="I124" s="136"/>
      <c r="J124" s="136"/>
      <c r="U124" s="136"/>
      <c r="V124" s="136"/>
      <c r="AF124" s="136"/>
      <c r="AG124" s="136"/>
    </row>
    <row r="130" spans="2:31" x14ac:dyDescent="0.35">
      <c r="B130" s="119" t="str">
        <f>Chart!$AR$2</f>
        <v>STT</v>
      </c>
      <c r="C130" s="67" t="str">
        <f>Sheet3!M31</f>
        <v>Uy Kiệt</v>
      </c>
      <c r="N130" s="119" t="str">
        <f>Chart!$AR$2</f>
        <v>STT</v>
      </c>
      <c r="O130" s="67" t="str">
        <f>C130</f>
        <v>Uy Kiệt</v>
      </c>
      <c r="Y130" s="119" t="str">
        <f>Chart!$AR$2</f>
        <v>STT</v>
      </c>
      <c r="Z130" s="67" t="str">
        <f>Chart!$AS$7</f>
        <v>Hạt WSS03G</v>
      </c>
    </row>
    <row r="131" spans="2:31" ht="29" x14ac:dyDescent="0.35">
      <c r="B131" s="138"/>
      <c r="C131" s="137"/>
      <c r="D131" s="147" t="s">
        <v>415</v>
      </c>
      <c r="E131" s="147" t="s">
        <v>392</v>
      </c>
      <c r="F131" s="141" t="s">
        <v>397</v>
      </c>
      <c r="G131" s="144" t="s">
        <v>386</v>
      </c>
      <c r="H131" s="145" t="s">
        <v>390</v>
      </c>
      <c r="N131" s="138"/>
      <c r="O131" s="137"/>
      <c r="P131" s="147" t="s">
        <v>415</v>
      </c>
      <c r="Q131" s="147" t="s">
        <v>392</v>
      </c>
      <c r="R131" s="141" t="s">
        <v>397</v>
      </c>
      <c r="S131" s="144" t="s">
        <v>386</v>
      </c>
      <c r="T131" s="145" t="s">
        <v>390</v>
      </c>
      <c r="Y131" s="138"/>
      <c r="Z131" s="137"/>
      <c r="AA131" s="135" t="s">
        <v>384</v>
      </c>
      <c r="AB131" s="136" t="s">
        <v>392</v>
      </c>
      <c r="AC131" s="136" t="s">
        <v>397</v>
      </c>
      <c r="AD131" s="136" t="s">
        <v>386</v>
      </c>
      <c r="AE131" s="136" t="s">
        <v>390</v>
      </c>
    </row>
    <row r="132" spans="2:31" x14ac:dyDescent="0.35">
      <c r="B132" s="138">
        <v>1</v>
      </c>
      <c r="C132" s="63" t="str">
        <f>Chart!AS4</f>
        <v>Hạt iSS01084G</v>
      </c>
      <c r="D132" s="148" t="e">
        <f>O132/D$1*10^3</f>
        <v>#DIV/0!</v>
      </c>
      <c r="E132" s="148">
        <f>Q132/E$1*10^3</f>
        <v>1068.9916591501801</v>
      </c>
      <c r="F132" s="142">
        <f>R132/E$1*10^3</f>
        <v>1175.8667003562077</v>
      </c>
      <c r="G132" s="143">
        <f>E132-F132</f>
        <v>-106.87504120602762</v>
      </c>
      <c r="H132" s="146">
        <f>G132/E132</f>
        <v>-9.9977432275748929E-2</v>
      </c>
      <c r="N132" s="138">
        <v>1</v>
      </c>
      <c r="O132" s="63">
        <v>2024</v>
      </c>
      <c r="P132" s="148" t="e">
        <f>AA132/P$1*10^3</f>
        <v>#DIV/0!</v>
      </c>
      <c r="Q132" s="148">
        <f>Chart!$BB$7</f>
        <v>26573.829899541273</v>
      </c>
      <c r="R132" s="142">
        <f>Chart!$BF$7</f>
        <v>29230.613178629941</v>
      </c>
      <c r="S132" s="143">
        <f>Q132-R132</f>
        <v>-2656.7832790886678</v>
      </c>
      <c r="T132" s="146">
        <f>S132/Q132</f>
        <v>-9.9977432275749234E-2</v>
      </c>
      <c r="Y132" s="138">
        <v>1</v>
      </c>
      <c r="Z132" s="63">
        <v>2024</v>
      </c>
      <c r="AA132" s="116">
        <f>Chart!$AT$7</f>
        <v>1740225</v>
      </c>
      <c r="AB132" s="114">
        <f>Chart!$BB$7</f>
        <v>26573.829899541273</v>
      </c>
      <c r="AC132" s="114">
        <f>Chart!$BF$7</f>
        <v>29230.613178629941</v>
      </c>
      <c r="AD132" s="114">
        <f>AB132-AC132</f>
        <v>-2656.7832790886678</v>
      </c>
      <c r="AE132" s="117">
        <f>AD132/AB132</f>
        <v>-9.9977432275749234E-2</v>
      </c>
    </row>
    <row r="133" spans="2:31" x14ac:dyDescent="0.35">
      <c r="B133" s="42">
        <v>2</v>
      </c>
      <c r="C133" s="63" t="str">
        <f>Chart!AS5</f>
        <v>Hạt iSS01G</v>
      </c>
      <c r="D133" s="148">
        <f>O133/E$1*10^3</f>
        <v>81.460147745450968</v>
      </c>
      <c r="E133" s="148">
        <f>Q133/F$1*10^3</f>
        <v>1091.0347276350142</v>
      </c>
      <c r="F133" s="142">
        <f>R133/F$1*10^3</f>
        <v>998.10586743427757</v>
      </c>
      <c r="G133" s="143">
        <f>E133-F133</f>
        <v>92.928860200736608</v>
      </c>
      <c r="H133" s="146">
        <f>G133/E133</f>
        <v>8.5174979170621112E-2</v>
      </c>
      <c r="N133" s="42">
        <v>2</v>
      </c>
      <c r="O133" s="63">
        <v>2025</v>
      </c>
      <c r="P133" s="148" t="e">
        <f>AA133/Q$1*10^3</f>
        <v>#DIV/0!</v>
      </c>
      <c r="Q133" s="148">
        <f>Chart!$BC$7</f>
        <v>28135.7383935301</v>
      </c>
      <c r="R133" s="142">
        <f>Chart!$BG$7</f>
        <v>25739.27746191113</v>
      </c>
      <c r="S133" s="143">
        <f>Q133-R133</f>
        <v>2396.4609316189708</v>
      </c>
      <c r="T133" s="146">
        <f>S133/Q133</f>
        <v>8.5174979170621098E-2</v>
      </c>
      <c r="Y133" s="42">
        <v>2</v>
      </c>
      <c r="Z133" s="63">
        <v>2025</v>
      </c>
      <c r="AA133" s="116">
        <f>Chart!$AU$7</f>
        <v>1235050</v>
      </c>
      <c r="AB133" s="114">
        <f>Chart!$BC$7</f>
        <v>28135.7383935301</v>
      </c>
      <c r="AC133" s="114">
        <f>Chart!$BG$7</f>
        <v>25739.27746191113</v>
      </c>
      <c r="AD133" s="114">
        <f>AB133-AC133</f>
        <v>2396.4609316189708</v>
      </c>
      <c r="AE133" s="117">
        <f>AD133/AB133</f>
        <v>8.5174979170621098E-2</v>
      </c>
    </row>
    <row r="134" spans="2:31" x14ac:dyDescent="0.35">
      <c r="B134" s="118">
        <f>B133+1</f>
        <v>3</v>
      </c>
      <c r="C134" s="63" t="str">
        <f>Chart!AS6</f>
        <v>Hạt WSS01G</v>
      </c>
      <c r="D134" s="148">
        <f>O134/F$1*10^3</f>
        <v>78.563296518879895</v>
      </c>
      <c r="E134" s="148">
        <f>Q134/G$1*10^3</f>
        <v>1104.632839711883</v>
      </c>
      <c r="F134" s="142">
        <f>R134/G$1*10^3</f>
        <v>1039.1977703767152</v>
      </c>
      <c r="G134" s="143">
        <f>E134-F134</f>
        <v>65.435069335167782</v>
      </c>
      <c r="H134" s="146">
        <f>G134/E134</f>
        <v>5.9236940078872681E-2</v>
      </c>
      <c r="N134" s="118">
        <f>N133+1</f>
        <v>3</v>
      </c>
      <c r="O134" s="63">
        <v>2026</v>
      </c>
      <c r="P134" s="148" t="e">
        <f>AA134/R$1*10^3</f>
        <v>#DIV/0!</v>
      </c>
      <c r="Q134" s="148">
        <f>Chart!$BD$7</f>
        <v>28923.699489915147</v>
      </c>
      <c r="R134" s="142">
        <f>Chart!$BH$7</f>
        <v>27210.348036371728</v>
      </c>
      <c r="S134" s="143">
        <f>Q134-R134</f>
        <v>1713.3514535434188</v>
      </c>
      <c r="T134" s="146">
        <f>S134/Q134</f>
        <v>5.9236940078872501E-2</v>
      </c>
      <c r="Y134" s="118">
        <f>Y133+1</f>
        <v>3</v>
      </c>
      <c r="Z134" s="63">
        <v>2026</v>
      </c>
      <c r="AA134" s="116">
        <f>Chart!$AV$7</f>
        <v>1246450</v>
      </c>
      <c r="AB134" s="114">
        <f>Chart!$BD$7</f>
        <v>28923.699489915147</v>
      </c>
      <c r="AC134" s="114">
        <f>Chart!$BH$7</f>
        <v>27210.348036371728</v>
      </c>
      <c r="AD134" s="114">
        <f>AB134-AC134</f>
        <v>1713.3514535434188</v>
      </c>
      <c r="AE134" s="117">
        <f>AD134/AB134</f>
        <v>5.9236940078872501E-2</v>
      </c>
    </row>
    <row r="135" spans="2:31" x14ac:dyDescent="0.35">
      <c r="B135" s="118">
        <f t="shared" ref="B135:B139" si="22">B134+1</f>
        <v>4</v>
      </c>
      <c r="C135" s="63" t="str">
        <f>Chart!AS7</f>
        <v>Hạt WSS03G</v>
      </c>
      <c r="D135" s="148">
        <f>[1]Chart!$BF$14</f>
        <v>1284.4978583339707</v>
      </c>
      <c r="E135" s="148">
        <f>[1]Chart!$BF$269</f>
        <v>1137.5909577436139</v>
      </c>
      <c r="F135" s="142">
        <f>SUM([1]Chart!$BF$262:$BF$264)</f>
        <v>947.5909577436139</v>
      </c>
      <c r="G135" s="143">
        <f>E135-F135</f>
        <v>190</v>
      </c>
      <c r="H135" s="146">
        <f>G135/E135</f>
        <v>0.16701961166855681</v>
      </c>
      <c r="N135" s="118">
        <f t="shared" ref="N135:N137" si="23">N134+1</f>
        <v>4</v>
      </c>
      <c r="O135" s="63" t="s">
        <v>395</v>
      </c>
      <c r="P135" s="148">
        <f>[1]Chart!$BF$14</f>
        <v>1284.4978583339707</v>
      </c>
      <c r="Q135" s="148">
        <f>E135*26.5</f>
        <v>30146.160380205769</v>
      </c>
      <c r="R135" s="142">
        <f>F135*26.5</f>
        <v>25111.160380205769</v>
      </c>
      <c r="S135" s="143">
        <f t="shared" ref="S135:S136" si="24">Q135-R135</f>
        <v>5035</v>
      </c>
      <c r="T135" s="146">
        <f t="shared" ref="T135:T136" si="25">S135/Q135</f>
        <v>0.16701961166855681</v>
      </c>
      <c r="Y135" s="118">
        <f t="shared" ref="Y135:Y137" si="26">Y134+1</f>
        <v>4</v>
      </c>
    </row>
    <row r="136" spans="2:31" x14ac:dyDescent="0.35">
      <c r="B136" s="118">
        <f t="shared" si="22"/>
        <v>5</v>
      </c>
      <c r="C136" s="63" t="str">
        <f>Chart!AS8</f>
        <v>Hạt WSS03G-PW</v>
      </c>
      <c r="D136" s="148">
        <f>[1]Chart!$BR$14</f>
        <v>1470</v>
      </c>
      <c r="E136" s="148">
        <f>[1]Chart!$BR$269</f>
        <v>1250</v>
      </c>
      <c r="F136" s="142">
        <v>945</v>
      </c>
      <c r="G136" s="143">
        <f>E136-F136</f>
        <v>305</v>
      </c>
      <c r="H136" s="146">
        <f>G136/E136</f>
        <v>0.24399999999999999</v>
      </c>
      <c r="N136" s="118">
        <f t="shared" si="23"/>
        <v>5</v>
      </c>
      <c r="O136" s="63" t="s">
        <v>396</v>
      </c>
      <c r="P136" s="148">
        <f>[1]Chart!$BR$14</f>
        <v>1470</v>
      </c>
      <c r="Q136" s="148">
        <f>E136*26.5</f>
        <v>33125</v>
      </c>
      <c r="R136" s="142">
        <f>F136*26.5</f>
        <v>25042.5</v>
      </c>
      <c r="S136" s="143">
        <f t="shared" si="24"/>
        <v>8082.5</v>
      </c>
      <c r="T136" s="146">
        <f t="shared" si="25"/>
        <v>0.24399999999999999</v>
      </c>
      <c r="Y136" s="118">
        <f t="shared" si="26"/>
        <v>5</v>
      </c>
    </row>
    <row r="137" spans="2:31" x14ac:dyDescent="0.35">
      <c r="B137" s="118">
        <f t="shared" si="22"/>
        <v>6</v>
      </c>
      <c r="C137" s="63" t="str">
        <f>Chart!AS9</f>
        <v>Hạt WSS05SB (sợi ngắn)</v>
      </c>
      <c r="N137" s="118">
        <f t="shared" si="23"/>
        <v>6</v>
      </c>
      <c r="Y137" s="118">
        <f t="shared" si="26"/>
        <v>6</v>
      </c>
    </row>
    <row r="138" spans="2:31" x14ac:dyDescent="0.35">
      <c r="B138" s="118">
        <f t="shared" si="22"/>
        <v>7</v>
      </c>
      <c r="C138" s="63" t="str">
        <f>Chart!AS10</f>
        <v>Vảy FPET201-Out</v>
      </c>
    </row>
    <row r="139" spans="2:31" x14ac:dyDescent="0.35">
      <c r="B139" s="118">
        <f t="shared" si="22"/>
        <v>8</v>
      </c>
      <c r="C139" s="63" t="str">
        <f>Chart!AS11</f>
        <v>Dây Đai</v>
      </c>
    </row>
    <row r="155" spans="9:33" x14ac:dyDescent="0.35">
      <c r="I155" s="136"/>
      <c r="J155" s="136"/>
      <c r="U155" s="136"/>
      <c r="V155" s="136"/>
      <c r="AF155" s="136"/>
      <c r="AG155" s="136"/>
    </row>
    <row r="163" spans="2:31" x14ac:dyDescent="0.35">
      <c r="B163" s="119" t="str">
        <f>Chart!$AR$2</f>
        <v>STT</v>
      </c>
      <c r="C163" s="67" t="str">
        <f>Sheet3!M32</f>
        <v>Polycore Global</v>
      </c>
      <c r="N163" s="119" t="str">
        <f>Chart!$AR$2</f>
        <v>STT</v>
      </c>
      <c r="O163" s="67" t="str">
        <f>C163</f>
        <v>Polycore Global</v>
      </c>
      <c r="Y163" s="119" t="str">
        <f>Chart!$AR$2</f>
        <v>STT</v>
      </c>
      <c r="Z163" s="67" t="str">
        <f>Chart!$AS$10</f>
        <v>Vảy FPET201-Out</v>
      </c>
    </row>
    <row r="164" spans="2:31" ht="29" x14ac:dyDescent="0.35">
      <c r="B164" s="138"/>
      <c r="C164" s="137"/>
      <c r="D164" s="147" t="s">
        <v>415</v>
      </c>
      <c r="E164" s="147" t="s">
        <v>392</v>
      </c>
      <c r="F164" s="141" t="s">
        <v>397</v>
      </c>
      <c r="G164" s="144" t="s">
        <v>386</v>
      </c>
      <c r="H164" s="145" t="s">
        <v>390</v>
      </c>
      <c r="N164" s="138"/>
      <c r="O164" s="137"/>
      <c r="P164" s="147" t="s">
        <v>415</v>
      </c>
      <c r="Q164" s="147" t="s">
        <v>392</v>
      </c>
      <c r="R164" s="141" t="s">
        <v>397</v>
      </c>
      <c r="S164" s="144" t="s">
        <v>386</v>
      </c>
      <c r="T164" s="145" t="s">
        <v>390</v>
      </c>
      <c r="Y164" s="138"/>
      <c r="Z164" s="137"/>
      <c r="AA164" s="147" t="s">
        <v>384</v>
      </c>
      <c r="AB164" s="147" t="s">
        <v>392</v>
      </c>
      <c r="AC164" s="141" t="s">
        <v>397</v>
      </c>
      <c r="AD164" s="144" t="s">
        <v>386</v>
      </c>
      <c r="AE164" s="145" t="s">
        <v>390</v>
      </c>
    </row>
    <row r="165" spans="2:31" x14ac:dyDescent="0.35">
      <c r="B165" s="42">
        <v>1</v>
      </c>
      <c r="C165" s="63" t="str">
        <f>Chart!AS4</f>
        <v>Hạt iSS01084G</v>
      </c>
      <c r="D165" s="148" t="e">
        <f>O165/D$1*10^3</f>
        <v>#DIV/0!</v>
      </c>
      <c r="E165" s="148">
        <f>Q165/F$1*10^3</f>
        <v>913.20265886074719</v>
      </c>
      <c r="F165" s="142">
        <f>R165/F$1*10^3</f>
        <v>1005.3079594153063</v>
      </c>
      <c r="G165" s="143">
        <f>E165-F165</f>
        <v>-92.105300554559108</v>
      </c>
      <c r="H165" s="146">
        <f>G165/E165</f>
        <v>-0.10085965000306038</v>
      </c>
      <c r="N165" s="42">
        <v>1</v>
      </c>
      <c r="O165" s="63">
        <v>2025</v>
      </c>
      <c r="P165" s="148" t="e">
        <f>AA165/P$1*10^3</f>
        <v>#DIV/0!</v>
      </c>
      <c r="Q165" s="148">
        <f>Chart!$BC$10</f>
        <v>23549.783026317593</v>
      </c>
      <c r="R165" s="142">
        <f>Chart!$BG$10</f>
        <v>25925.0059</v>
      </c>
      <c r="S165" s="143">
        <f>Q165-R165</f>
        <v>-2375.2228736824072</v>
      </c>
      <c r="T165" s="146">
        <f>S165/Q165</f>
        <v>-0.10085965000306049</v>
      </c>
      <c r="Y165" s="42">
        <v>2</v>
      </c>
      <c r="Z165" s="63">
        <v>2025</v>
      </c>
      <c r="AA165" s="148">
        <f>Chart!$AU$10</f>
        <v>20000</v>
      </c>
      <c r="AB165" s="148">
        <f>Chart!$BC$10</f>
        <v>23549.783026317593</v>
      </c>
      <c r="AC165" s="142">
        <f>Chart!$BG$10</f>
        <v>25925.0059</v>
      </c>
      <c r="AD165" s="143">
        <f>AB165-AC165</f>
        <v>-2375.2228736824072</v>
      </c>
      <c r="AE165" s="146">
        <f>AD165/AB165</f>
        <v>-0.10085965000306049</v>
      </c>
    </row>
    <row r="166" spans="2:31" x14ac:dyDescent="0.35">
      <c r="B166" s="118">
        <f>B165+1</f>
        <v>2</v>
      </c>
      <c r="C166" s="63" t="str">
        <f>Chart!AS5</f>
        <v>Hạt iSS01G</v>
      </c>
      <c r="D166" s="148">
        <f>O166/E$1*10^3</f>
        <v>81.500374978905498</v>
      </c>
      <c r="E166" s="148">
        <f>Q166/G$1*10^3</f>
        <v>766.66666666666674</v>
      </c>
      <c r="F166" s="142">
        <f>R166/G$1*10^3</f>
        <v>779.29288064204979</v>
      </c>
      <c r="G166" s="143">
        <f>E166-F166</f>
        <v>-12.626213975383052</v>
      </c>
      <c r="H166" s="146">
        <f>G166/E166</f>
        <v>-1.6468974750499632E-2</v>
      </c>
      <c r="N166" s="118">
        <f>N165+1</f>
        <v>2</v>
      </c>
      <c r="O166" s="63">
        <v>2026</v>
      </c>
      <c r="P166" s="148" t="e">
        <f>AA166/Q$1*10^3</f>
        <v>#DIV/0!</v>
      </c>
      <c r="Q166" s="148">
        <f>Chart!$BD$10</f>
        <v>20074.395290823864</v>
      </c>
      <c r="R166" s="142">
        <f>Chart!$BH$10</f>
        <v>20404.999999999993</v>
      </c>
      <c r="S166" s="143">
        <f>Q166-R166</f>
        <v>-330.60470917612838</v>
      </c>
      <c r="T166" s="146">
        <f>S166/Q166</f>
        <v>-1.6468974750499705E-2</v>
      </c>
      <c r="Y166" s="118">
        <f>Y165+1</f>
        <v>3</v>
      </c>
      <c r="Z166" s="63">
        <v>2026</v>
      </c>
      <c r="AA166" s="148">
        <f>Chart!$AV$10</f>
        <v>660000</v>
      </c>
      <c r="AB166" s="148">
        <f>Chart!$BD$10</f>
        <v>20074.395290823864</v>
      </c>
      <c r="AC166" s="142">
        <f>Chart!$BH$10</f>
        <v>20404.999999999993</v>
      </c>
      <c r="AD166" s="143">
        <f>AB166-AC166</f>
        <v>-330.60470917612838</v>
      </c>
      <c r="AE166" s="146">
        <f>AD166/AB166</f>
        <v>-1.6468974750499705E-2</v>
      </c>
    </row>
    <row r="167" spans="2:31" x14ac:dyDescent="0.35">
      <c r="B167" s="118">
        <f t="shared" ref="B167:B172" si="27">B166+1</f>
        <v>3</v>
      </c>
      <c r="C167" s="63" t="str">
        <f>Chart!AS6</f>
        <v>Hạt WSS01G</v>
      </c>
      <c r="D167" s="148" t="e">
        <f>O167/F$1*10^3</f>
        <v>#VALUE!</v>
      </c>
      <c r="E167" s="148">
        <f>[1]Chart!$BF$226</f>
        <v>1018.1303078181913</v>
      </c>
      <c r="F167" s="142">
        <f>SUM([1]Chart!$BF$219:$BF$221)</f>
        <v>828.13030781819134</v>
      </c>
      <c r="G167" s="143">
        <f>E167-F167</f>
        <v>190</v>
      </c>
      <c r="H167" s="146">
        <f>G167/E167</f>
        <v>0.18661658389009328</v>
      </c>
      <c r="N167" s="118">
        <f t="shared" ref="N167:N169" si="28">N166+1</f>
        <v>3</v>
      </c>
      <c r="O167" s="63" t="s">
        <v>395</v>
      </c>
      <c r="P167" s="148" t="e">
        <f>AA167/R$1*10^3</f>
        <v>#DIV/0!</v>
      </c>
      <c r="Q167" s="148">
        <f>E167*26.5</f>
        <v>26980.45315718207</v>
      </c>
      <c r="R167" s="142">
        <f>F167*26.5</f>
        <v>21945.45315718207</v>
      </c>
      <c r="S167" s="143">
        <f t="shared" ref="S167:S168" si="29">Q167-R167</f>
        <v>5035</v>
      </c>
      <c r="T167" s="146">
        <f t="shared" ref="T167:T168" si="30">S167/Q167</f>
        <v>0.18661658389009328</v>
      </c>
      <c r="Y167" s="118">
        <f t="shared" ref="Y167:Y169" si="31">Y166+1</f>
        <v>4</v>
      </c>
    </row>
    <row r="168" spans="2:31" x14ac:dyDescent="0.35">
      <c r="B168" s="118">
        <f t="shared" si="27"/>
        <v>4</v>
      </c>
      <c r="C168" s="63" t="str">
        <f>Chart!AS7</f>
        <v>Hạt WSS03G</v>
      </c>
      <c r="D168" s="148">
        <f>[1]Chart!$BF$14</f>
        <v>1284.4978583339707</v>
      </c>
      <c r="E168" s="148">
        <f>'[2]Trình bày'!$H$17</f>
        <v>1060</v>
      </c>
      <c r="F168" s="142">
        <v>804</v>
      </c>
      <c r="G168" s="143">
        <f>E168-F168</f>
        <v>256</v>
      </c>
      <c r="H168" s="146">
        <f>G168/E168</f>
        <v>0.24150943396226415</v>
      </c>
      <c r="N168" s="118">
        <f t="shared" si="28"/>
        <v>4</v>
      </c>
      <c r="O168" s="63" t="s">
        <v>396</v>
      </c>
      <c r="P168" s="148">
        <f>[1]Chart!$BF$14</f>
        <v>1284.4978583339707</v>
      </c>
      <c r="Q168" s="148">
        <f>E168*26.5</f>
        <v>28090</v>
      </c>
      <c r="R168" s="142">
        <f>F168*26.5</f>
        <v>21306</v>
      </c>
      <c r="S168" s="143">
        <f t="shared" si="29"/>
        <v>6784</v>
      </c>
      <c r="T168" s="146">
        <f t="shared" si="30"/>
        <v>0.24150943396226415</v>
      </c>
      <c r="Y168" s="118">
        <f t="shared" si="31"/>
        <v>5</v>
      </c>
    </row>
    <row r="169" spans="2:31" x14ac:dyDescent="0.35">
      <c r="B169" s="118">
        <f t="shared" si="27"/>
        <v>5</v>
      </c>
      <c r="C169" s="63" t="str">
        <f>Chart!AS8</f>
        <v>Hạt WSS03G-PW</v>
      </c>
      <c r="D169" s="148">
        <f>[1]Chart!$BR$14</f>
        <v>1470</v>
      </c>
      <c r="N169" s="118">
        <f t="shared" si="28"/>
        <v>5</v>
      </c>
      <c r="P169" s="148">
        <f>[1]Chart!$BR$14</f>
        <v>1470</v>
      </c>
      <c r="Y169" s="118">
        <f t="shared" si="31"/>
        <v>6</v>
      </c>
    </row>
    <row r="170" spans="2:31" x14ac:dyDescent="0.35">
      <c r="B170" s="118">
        <f t="shared" si="27"/>
        <v>6</v>
      </c>
      <c r="C170" s="63" t="str">
        <f>Chart!AS9</f>
        <v>Hạt WSS05SB (sợi ngắn)</v>
      </c>
    </row>
    <row r="171" spans="2:31" x14ac:dyDescent="0.35">
      <c r="B171" s="118">
        <f t="shared" si="27"/>
        <v>7</v>
      </c>
      <c r="C171" s="63" t="str">
        <f>Chart!AS10</f>
        <v>Vảy FPET201-Out</v>
      </c>
    </row>
    <row r="172" spans="2:31" x14ac:dyDescent="0.35">
      <c r="B172" s="118">
        <f t="shared" si="27"/>
        <v>8</v>
      </c>
      <c r="C172" s="63" t="str">
        <f>Chart!AS11</f>
        <v>Dây Đai</v>
      </c>
    </row>
    <row r="187" spans="9:33" x14ac:dyDescent="0.35">
      <c r="I187" s="136"/>
      <c r="J187" s="136"/>
      <c r="U187" s="136"/>
      <c r="V187" s="136"/>
      <c r="AF187" s="136"/>
      <c r="AG187" s="136"/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AEE0-A678-4DA6-962A-C21F4B2BA2C6}">
  <dimension ref="B2:M77"/>
  <sheetViews>
    <sheetView topLeftCell="A25" workbookViewId="0">
      <selection activeCell="L36" sqref="L36"/>
    </sheetView>
  </sheetViews>
  <sheetFormatPr defaultRowHeight="14.5" x14ac:dyDescent="0.35"/>
  <cols>
    <col min="13" max="13" width="21.4140625" bestFit="1" customWidth="1"/>
  </cols>
  <sheetData>
    <row r="2" spans="2:2" ht="30" x14ac:dyDescent="0.8">
      <c r="B2" s="158" t="s">
        <v>404</v>
      </c>
    </row>
    <row r="12" spans="2:2" ht="24" x14ac:dyDescent="0.65">
      <c r="B12" s="159" t="s">
        <v>405</v>
      </c>
    </row>
    <row r="24" spans="2:13" ht="24" x14ac:dyDescent="0.65">
      <c r="B24" s="159" t="s">
        <v>406</v>
      </c>
    </row>
    <row r="26" spans="2:13" x14ac:dyDescent="0.35">
      <c r="L26" t="s">
        <v>370</v>
      </c>
    </row>
    <row r="27" spans="2:13" x14ac:dyDescent="0.35">
      <c r="L27">
        <v>1</v>
      </c>
      <c r="M27" t="s">
        <v>86</v>
      </c>
    </row>
    <row r="28" spans="2:13" x14ac:dyDescent="0.35">
      <c r="L28">
        <f>L27+1</f>
        <v>2</v>
      </c>
      <c r="M28" t="s">
        <v>416</v>
      </c>
    </row>
    <row r="29" spans="2:13" x14ac:dyDescent="0.35">
      <c r="L29">
        <f t="shared" ref="L29:L36" si="0">L28+1</f>
        <v>3</v>
      </c>
      <c r="M29" t="s">
        <v>417</v>
      </c>
    </row>
    <row r="30" spans="2:13" x14ac:dyDescent="0.35">
      <c r="L30">
        <f t="shared" si="0"/>
        <v>4</v>
      </c>
      <c r="M30" t="s">
        <v>418</v>
      </c>
    </row>
    <row r="31" spans="2:13" x14ac:dyDescent="0.35">
      <c r="L31">
        <f t="shared" si="0"/>
        <v>5</v>
      </c>
      <c r="M31" t="s">
        <v>419</v>
      </c>
    </row>
    <row r="32" spans="2:13" x14ac:dyDescent="0.35">
      <c r="L32">
        <f t="shared" si="0"/>
        <v>6</v>
      </c>
      <c r="M32" t="s">
        <v>420</v>
      </c>
    </row>
    <row r="33" spans="2:13" x14ac:dyDescent="0.35">
      <c r="L33">
        <f t="shared" si="0"/>
        <v>7</v>
      </c>
      <c r="M33" t="s">
        <v>54</v>
      </c>
    </row>
    <row r="34" spans="2:13" x14ac:dyDescent="0.35">
      <c r="L34">
        <f t="shared" si="0"/>
        <v>8</v>
      </c>
      <c r="M34" t="s">
        <v>421</v>
      </c>
    </row>
    <row r="35" spans="2:13" x14ac:dyDescent="0.35">
      <c r="L35">
        <f t="shared" si="0"/>
        <v>9</v>
      </c>
      <c r="M35" t="s">
        <v>422</v>
      </c>
    </row>
    <row r="36" spans="2:13" x14ac:dyDescent="0.35">
      <c r="L36">
        <f t="shared" si="0"/>
        <v>10</v>
      </c>
      <c r="M36" t="s">
        <v>31</v>
      </c>
    </row>
    <row r="45" spans="2:13" ht="24" x14ac:dyDescent="0.65">
      <c r="B45" s="159" t="s">
        <v>407</v>
      </c>
    </row>
    <row r="64" spans="2:2" ht="24" x14ac:dyDescent="0.65">
      <c r="B64" s="159" t="s">
        <v>408</v>
      </c>
    </row>
    <row r="77" spans="2:2" ht="24" x14ac:dyDescent="0.65">
      <c r="B77" s="159" t="s">
        <v>409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4523-3024-4412-AE74-45488A3CBE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Data-Cũ</vt:lpstr>
      <vt:lpstr>Tóm tắt</vt:lpstr>
      <vt:lpstr>Chart</vt:lpstr>
      <vt:lpstr>Chart (Suntory)</vt:lpstr>
      <vt:lpstr>Chart FC</vt:lpstr>
      <vt:lpstr>Chart SL</vt:lpstr>
      <vt:lpstr>Chart 1</vt:lpstr>
      <vt:lpstr>Chart 2_Thi truong</vt:lpstr>
      <vt:lpstr>Chart 2_KTQT</vt:lpstr>
      <vt:lpstr>Chart 2_TT&amp;KTQT</vt:lpstr>
      <vt:lpstr>Chart 2_TT&amp;KTQT (Suntory)</vt:lpstr>
      <vt:lpstr>Chart 3_TT5&amp;FC7_ByProduct_Cus</vt:lpstr>
      <vt:lpstr>Chart 3_TT5&amp;FC7_ByCustomer-Pro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2026-04-22T05:34:16Z</dcterms:created>
  <dcterms:modified xsi:type="dcterms:W3CDTF">2026-06-05T09:27:59Z</dcterms:modified>
</cp:coreProperties>
</file>