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drawings/drawing6.xml" ContentType="application/vnd.openxmlformats-officedocument.drawing+xml"/>
  <Override PartName="/xl/ctrlProps/ctrlProp2.xml" ContentType="application/vnd.ms-excel.controlproperties+xml"/>
  <Override PartName="/xl/drawings/drawing7.xml" ContentType="application/vnd.openxmlformats-officedocument.drawing+xml"/>
  <Override PartName="/xl/ctrlProps/ctrlProp3.xml" ContentType="application/vnd.ms-excel.controlproperties+xml"/>
  <Override PartName="/xl/drawings/drawing8.xml" ContentType="application/vnd.openxmlformats-officedocument.drawing+xml"/>
  <Override PartName="/xl/ctrlProps/ctrlProp4.xml" ContentType="application/vnd.ms-excel.controlproperties+xml"/>
  <Override PartName="/xl/drawings/drawing9.xml" ContentType="application/vnd.openxmlformats-officedocument.drawing+xml"/>
  <Override PartName="/xl/ctrlProps/ctrlProp5.xml" ContentType="application/vnd.ms-excel.controlpropertie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drawings/drawing1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1.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8.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9.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0.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1.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2.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4.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5.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6.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7.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8.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9.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0.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1.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2.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3.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4.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5.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6.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7.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8.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9.xml" ContentType="application/vnd.openxmlformats-officedocument.drawingml.chartshape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0.xml" ContentType="application/vnd.openxmlformats-officedocument.drawingml.chartshape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1.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42.xml" ContentType="application/vnd.openxmlformats-officedocument.drawingml.chartshapes+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43.xml" ContentType="application/vnd.openxmlformats-officedocument.drawingml.chartshapes+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44.xml" ContentType="application/vnd.openxmlformats-officedocument.drawingml.chartshapes+xml"/>
  <Override PartName="/xl/drawings/drawing45.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drawings/drawing46.xml" ContentType="application/vnd.openxmlformats-officedocument.drawing+xml"/>
  <Override PartName="/xl/comments8.xml" ContentType="application/vnd.openxmlformats-officedocument.spreadsheetml.comments+xml"/>
  <Override PartName="/xl/threadedComments/threadedComment7.xml" ContentType="application/vnd.ms-excel.threadedcomments+xml"/>
  <Override PartName="/xl/drawings/drawing47.xml" ContentType="application/vnd.openxmlformats-officedocument.drawing+xml"/>
  <Override PartName="/xl/comments9.xml" ContentType="application/vnd.openxmlformats-officedocument.spreadsheetml.comments+xml"/>
  <Override PartName="/xl/threadedComments/threadedComment8.xml" ContentType="application/vnd.ms-excel.threadedcomments+xml"/>
  <Override PartName="/xl/drawings/drawing48.xml" ContentType="application/vnd.openxmlformats-officedocument.drawing+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comments13.xml" ContentType="application/vnd.openxmlformats-officedocument.spreadsheetml.comments+xml"/>
  <Override PartName="/xl/threadedComments/threadedComment12.xml" ContentType="application/vnd.ms-excel.threadedcomments+xml"/>
  <Override PartName="/xl/comments14.xml" ContentType="application/vnd.openxmlformats-officedocument.spreadsheetml.comments+xml"/>
  <Override PartName="/xl/threadedComments/threadedComment13.xml" ContentType="application/vnd.ms-excel.threadedcomments+xml"/>
  <Override PartName="/xl/comments15.xml" ContentType="application/vnd.openxmlformats-officedocument.spreadsheetml.comments+xml"/>
  <Override PartName="/xl/threadedComments/threadedComment14.xml" ContentType="application/vnd.ms-excel.threadedcomments+xml"/>
  <Override PartName="/xl/drawings/drawing4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ata\GĐ Tài chính\Cost Controlling\Costing Flow Chart\"/>
    </mc:Choice>
  </mc:AlternateContent>
  <xr:revisionPtr revIDLastSave="0" documentId="13_ncr:1_{F0FFB2FC-B954-46DC-AFEF-3B57F4465FF5}" xr6:coauthVersionLast="47" xr6:coauthVersionMax="47" xr10:uidLastSave="{00000000-0000-0000-0000-000000000000}"/>
  <bookViews>
    <workbookView xWindow="-110" yWindow="-110" windowWidth="19420" windowHeight="10300" firstSheet="16" activeTab="19" xr2:uid="{840C037F-8C86-46AD-AB84-25CA35BE36E3}"/>
  </bookViews>
  <sheets>
    <sheet name="Sheet1" sheetId="35" r:id="rId1"/>
    <sheet name="Cảnh báo giá mua từ trạm" sheetId="21" r:id="rId2"/>
    <sheet name="BOM chuẩn DLOC" sheetId="26" r:id="rId3"/>
    <sheet name="BOM chuẩn KN" sheetId="36" r:id="rId4"/>
    <sheet name="BOM chuẩn DLA" sheetId="37" r:id="rId5"/>
    <sheet name="BOM&amp;NRV" sheetId="20" r:id="rId6"/>
    <sheet name="GAP" sheetId="17" r:id="rId7"/>
    <sheet name="GAP (KN)" sheetId="29" r:id="rId8"/>
    <sheet name="GAP (DLA)" sheetId="33" r:id="rId9"/>
    <sheet name="GAP (DLO)" sheetId="30" r:id="rId10"/>
    <sheet name="So sánh thiệt hại" sheetId="25" r:id="rId11"/>
    <sheet name="Giá mua Chai-Vảy (KN)" sheetId="28" r:id="rId12"/>
    <sheet name="Giá mua Chai-Vảy (DLA)" sheetId="32" r:id="rId13"/>
    <sheet name="Giá mua Chai-Vảy (DLO)" sheetId="31" r:id="rId14"/>
    <sheet name="Giá mua Chai-Vảy" sheetId="10" r:id="rId15"/>
    <sheet name="Giá mua Chai-Vảy (Giá giảm)" sheetId="13" r:id="rId16"/>
    <sheet name="Hiệu suất" sheetId="18" r:id="rId17"/>
    <sheet name="H_Tỷ lệ HH&amp;PS" sheetId="19" r:id="rId18"/>
    <sheet name="H_Tỷ lệ HH&amp;PS (-PS)" sheetId="24" r:id="rId19"/>
    <sheet name="Chart" sheetId="27" r:id="rId20"/>
    <sheet name="Hảo_R&amp;D" sheetId="8" r:id="rId21"/>
    <sheet name="Hảo_R&amp;D (Vảy sạch)" sheetId="9" r:id="rId22"/>
    <sheet name="Hảo_R&amp;D (Vảy sạch) (-PS)" sheetId="22" r:id="rId23"/>
    <sheet name="Hảo_R&amp;D (Vảy sạch) (-PS) (2)" sheetId="34" r:id="rId24"/>
    <sheet name="Hảo_R&amp;D (Vảy sạch) (giảm giá)" sheetId="12" r:id="rId25"/>
    <sheet name="Hảo_R&amp;D (Hạt)" sheetId="11" r:id="rId26"/>
    <sheet name="Hảo_R&amp;D (Hạt) (full stage)-Chai" sheetId="14" r:id="rId27"/>
    <sheet name="Hảo_R&amp;D (Hạt) (full stage)-MN" sheetId="15" r:id="rId28"/>
    <sheet name="Hảo_R&amp;D (Hạt-Full stage-Mix)" sheetId="16" r:id="rId29"/>
    <sheet name="Phượng_QC" sheetId="6" r:id="rId30"/>
    <sheet name="01. ĐỊNH NGHĨA" sheetId="1"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xlnm.Print_Area" localSheetId="18">'H_Tỷ lệ HH&amp;PS (-PS)'!$D$2:$AC$31</definedName>
    <definedName name="_xlnm.Print_Area" localSheetId="22">'Hảo_R&amp;D (Vảy sạch) (-PS)'!$S$1:$AF$33</definedName>
    <definedName name="_xlnm.Print_Area" localSheetId="23">'Hảo_R&amp;D (Vảy sạch) (-PS) (2)'!$S$1:$AF$33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7" i="36" l="1"/>
  <c r="AK7" i="36"/>
  <c r="AK7" i="37"/>
  <c r="AH7" i="37"/>
  <c r="AH3" i="37"/>
  <c r="AI5" i="37"/>
  <c r="AH5" i="37"/>
  <c r="AJ5" i="37"/>
  <c r="AG14" i="37"/>
  <c r="AG13" i="37"/>
  <c r="AG11" i="37"/>
  <c r="AG10" i="37"/>
  <c r="AG9" i="37"/>
  <c r="AG7" i="37"/>
  <c r="AJ5" i="36"/>
  <c r="AH17" i="36"/>
  <c r="AH16" i="36"/>
  <c r="AJ16" i="36" s="1"/>
  <c r="AL16" i="36" s="1"/>
  <c r="AI15" i="36"/>
  <c r="AH15" i="36"/>
  <c r="AJ15" i="36" s="1"/>
  <c r="AL15" i="36" s="1"/>
  <c r="AG14" i="36"/>
  <c r="AG13" i="36"/>
  <c r="AI12" i="36"/>
  <c r="AH12" i="36"/>
  <c r="AJ12" i="36" s="1"/>
  <c r="AL12" i="36" s="1"/>
  <c r="AG11" i="36"/>
  <c r="AG10" i="36"/>
  <c r="AG9" i="36"/>
  <c r="AI8" i="36"/>
  <c r="AH8" i="36"/>
  <c r="AJ8" i="36" s="1"/>
  <c r="AL8" i="36" s="1"/>
  <c r="AK6" i="36"/>
  <c r="AG6" i="36"/>
  <c r="AK6" i="37"/>
  <c r="AG6" i="37"/>
  <c r="AH16" i="37"/>
  <c r="AJ16" i="37" s="1"/>
  <c r="AI15" i="37"/>
  <c r="AH15" i="37"/>
  <c r="AJ15" i="37" s="1"/>
  <c r="AL15" i="37" s="1"/>
  <c r="AH14" i="37"/>
  <c r="AH13" i="37"/>
  <c r="AI12" i="37"/>
  <c r="AH12" i="37"/>
  <c r="AJ12" i="37" s="1"/>
  <c r="AL12" i="37" s="1"/>
  <c r="AH11" i="37"/>
  <c r="AH10" i="37"/>
  <c r="AH9" i="37"/>
  <c r="AI8" i="37"/>
  <c r="AH8" i="37"/>
  <c r="AJ8" i="37" s="1"/>
  <c r="AL8" i="37" s="1"/>
  <c r="G31" i="37"/>
  <c r="D30" i="37"/>
  <c r="D29" i="37"/>
  <c r="O28" i="37"/>
  <c r="D28" i="37"/>
  <c r="F28" i="37" s="1"/>
  <c r="H28" i="37" s="1"/>
  <c r="D27" i="37"/>
  <c r="G26" i="37"/>
  <c r="G21" i="37"/>
  <c r="E21" i="37"/>
  <c r="D20" i="37"/>
  <c r="D21" i="37" s="1"/>
  <c r="Z16" i="37"/>
  <c r="Y16" i="37"/>
  <c r="X16" i="37"/>
  <c r="W16" i="37"/>
  <c r="V16" i="37"/>
  <c r="U16" i="37"/>
  <c r="P16" i="37"/>
  <c r="AE15" i="37"/>
  <c r="Z14" i="37"/>
  <c r="Y14" i="37"/>
  <c r="X14" i="37"/>
  <c r="W14" i="37"/>
  <c r="V14" i="37"/>
  <c r="U14" i="37"/>
  <c r="O14" i="37"/>
  <c r="M14" i="37" s="1"/>
  <c r="F14" i="37"/>
  <c r="H14" i="37" s="1"/>
  <c r="Z13" i="37"/>
  <c r="Y13" i="37"/>
  <c r="X13" i="37"/>
  <c r="W13" i="37"/>
  <c r="V13" i="37"/>
  <c r="U13" i="37"/>
  <c r="H13" i="37"/>
  <c r="F13" i="37"/>
  <c r="AE12" i="37"/>
  <c r="F12" i="37"/>
  <c r="H12" i="37" s="1"/>
  <c r="Z11" i="37"/>
  <c r="Y11" i="37"/>
  <c r="X11" i="37"/>
  <c r="W11" i="37"/>
  <c r="V11" i="37"/>
  <c r="U11" i="37"/>
  <c r="F11" i="37"/>
  <c r="H11" i="37" s="1"/>
  <c r="Z10" i="37"/>
  <c r="Y10" i="37"/>
  <c r="X10" i="37"/>
  <c r="W10" i="37"/>
  <c r="V10" i="37"/>
  <c r="U10" i="37"/>
  <c r="O10" i="37"/>
  <c r="F10" i="37"/>
  <c r="H10" i="37" s="1"/>
  <c r="Z9" i="37"/>
  <c r="Y9" i="37"/>
  <c r="X9" i="37"/>
  <c r="W9" i="37"/>
  <c r="V9" i="37"/>
  <c r="U9" i="37"/>
  <c r="O9" i="37"/>
  <c r="F9" i="37"/>
  <c r="H9" i="37" s="1"/>
  <c r="AE8" i="37"/>
  <c r="F8" i="37"/>
  <c r="H8" i="37" s="1"/>
  <c r="Z7" i="37"/>
  <c r="Y7" i="37"/>
  <c r="X7" i="37"/>
  <c r="W7" i="37"/>
  <c r="V7" i="37"/>
  <c r="U7" i="37"/>
  <c r="O7" i="37"/>
  <c r="F7" i="37"/>
  <c r="Z6" i="37"/>
  <c r="Q6" i="37" s="1"/>
  <c r="X6" i="37"/>
  <c r="V6" i="37"/>
  <c r="I6" i="37"/>
  <c r="E6" i="37"/>
  <c r="Z5" i="37"/>
  <c r="X5" i="37"/>
  <c r="V5" i="37"/>
  <c r="M5" i="37"/>
  <c r="AF7" i="37" s="1"/>
  <c r="P7" i="26"/>
  <c r="M10" i="36"/>
  <c r="M14" i="36"/>
  <c r="M13" i="36"/>
  <c r="M11" i="36"/>
  <c r="M9" i="36"/>
  <c r="M7" i="36"/>
  <c r="X7" i="36"/>
  <c r="P7" i="36"/>
  <c r="O7" i="36"/>
  <c r="O8" i="36" s="1"/>
  <c r="O12" i="36" s="1"/>
  <c r="O14" i="36"/>
  <c r="O10" i="36"/>
  <c r="O11" i="36" s="1"/>
  <c r="O9" i="36"/>
  <c r="O13" i="36" s="1"/>
  <c r="G31" i="36"/>
  <c r="D31" i="36"/>
  <c r="D30" i="36"/>
  <c r="D29" i="36"/>
  <c r="O28" i="36"/>
  <c r="D28" i="36"/>
  <c r="F28" i="36" s="1"/>
  <c r="H28" i="36" s="1"/>
  <c r="D27" i="36"/>
  <c r="F27" i="36" s="1"/>
  <c r="G26" i="36"/>
  <c r="G21" i="36"/>
  <c r="F21" i="36"/>
  <c r="E21" i="36"/>
  <c r="D20" i="36"/>
  <c r="D21" i="36" s="1"/>
  <c r="Z16" i="36"/>
  <c r="Y16" i="36"/>
  <c r="X16" i="36"/>
  <c r="W16" i="36"/>
  <c r="V16" i="36"/>
  <c r="U16" i="36"/>
  <c r="P16" i="36"/>
  <c r="AE15" i="36"/>
  <c r="Z14" i="36"/>
  <c r="Y14" i="36"/>
  <c r="X14" i="36"/>
  <c r="W14" i="36"/>
  <c r="V14" i="36"/>
  <c r="U14" i="36"/>
  <c r="F14" i="36"/>
  <c r="H14" i="36" s="1"/>
  <c r="Z13" i="36"/>
  <c r="Y13" i="36"/>
  <c r="X13" i="36"/>
  <c r="W13" i="36"/>
  <c r="V13" i="36"/>
  <c r="U13" i="36"/>
  <c r="F13" i="36"/>
  <c r="H13" i="36" s="1"/>
  <c r="F12" i="36"/>
  <c r="H12" i="36" s="1"/>
  <c r="Z11" i="36"/>
  <c r="Y11" i="36"/>
  <c r="X11" i="36"/>
  <c r="W11" i="36"/>
  <c r="V11" i="36"/>
  <c r="U11" i="36"/>
  <c r="F11" i="36"/>
  <c r="H11" i="36" s="1"/>
  <c r="Z10" i="36"/>
  <c r="Y10" i="36"/>
  <c r="X10" i="36"/>
  <c r="W10" i="36"/>
  <c r="V10" i="36"/>
  <c r="U10" i="36"/>
  <c r="F10" i="36"/>
  <c r="H10" i="36" s="1"/>
  <c r="Z9" i="36"/>
  <c r="Y9" i="36"/>
  <c r="X9" i="36"/>
  <c r="W9" i="36"/>
  <c r="V9" i="36"/>
  <c r="U9" i="36"/>
  <c r="F9" i="36"/>
  <c r="H9" i="36" s="1"/>
  <c r="F8" i="36"/>
  <c r="H8" i="36" s="1"/>
  <c r="Z7" i="36"/>
  <c r="Y7" i="36"/>
  <c r="W7" i="36"/>
  <c r="V7" i="36"/>
  <c r="U7" i="36"/>
  <c r="F7" i="36"/>
  <c r="H7" i="36" s="1"/>
  <c r="Z6" i="36"/>
  <c r="X6" i="36"/>
  <c r="Q6" i="36" s="1"/>
  <c r="Q16" i="36" s="1"/>
  <c r="R16" i="36" s="1"/>
  <c r="S16" i="36" s="1"/>
  <c r="T16" i="36" s="1"/>
  <c r="V6" i="36"/>
  <c r="I6" i="36"/>
  <c r="E6" i="36"/>
  <c r="Z5" i="36"/>
  <c r="X5" i="36"/>
  <c r="V5" i="36"/>
  <c r="M5" i="36"/>
  <c r="C22" i="10"/>
  <c r="D14" i="10"/>
  <c r="D15" i="10"/>
  <c r="D16" i="10"/>
  <c r="D17" i="10"/>
  <c r="D18" i="10"/>
  <c r="D19" i="10"/>
  <c r="D20" i="10"/>
  <c r="D21" i="10"/>
  <c r="F14" i="35"/>
  <c r="D13" i="35"/>
  <c r="H9" i="29"/>
  <c r="J9" i="29"/>
  <c r="F19" i="35"/>
  <c r="C24" i="35"/>
  <c r="AZ2" i="34"/>
  <c r="AY2" i="34"/>
  <c r="AX2" i="34"/>
  <c r="AW2" i="34"/>
  <c r="AV2" i="34"/>
  <c r="AU2" i="34"/>
  <c r="BD37" i="34"/>
  <c r="BC37" i="34"/>
  <c r="AR37" i="34"/>
  <c r="AK37" i="34"/>
  <c r="AJ37" i="34"/>
  <c r="AG37" i="34"/>
  <c r="AE35" i="34"/>
  <c r="AF37" i="34" s="1"/>
  <c r="AS33" i="34"/>
  <c r="AR33" i="34"/>
  <c r="AZ33" i="34" s="1"/>
  <c r="AQ33" i="34"/>
  <c r="AY33" i="34" s="1"/>
  <c r="AP33" i="34"/>
  <c r="AX33" i="34" s="1"/>
  <c r="AO33" i="34"/>
  <c r="AW33" i="34" s="1"/>
  <c r="AN33" i="34"/>
  <c r="AV33" i="34" s="1"/>
  <c r="AM33" i="34"/>
  <c r="AU33" i="34" s="1"/>
  <c r="AJ33" i="34"/>
  <c r="AG33" i="34"/>
  <c r="AS29" i="34"/>
  <c r="AR29" i="34"/>
  <c r="AZ29" i="34" s="1"/>
  <c r="AQ29" i="34"/>
  <c r="AY29" i="34" s="1"/>
  <c r="AP29" i="34"/>
  <c r="AX29" i="34" s="1"/>
  <c r="AO29" i="34"/>
  <c r="AW29" i="34" s="1"/>
  <c r="AN29" i="34"/>
  <c r="AV29" i="34" s="1"/>
  <c r="AM29" i="34"/>
  <c r="AU29" i="34" s="1"/>
  <c r="AJ29" i="34"/>
  <c r="AG29" i="34"/>
  <c r="AR28" i="34"/>
  <c r="AZ28" i="34" s="1"/>
  <c r="AQ28" i="34"/>
  <c r="AY28" i="34" s="1"/>
  <c r="AP28" i="34"/>
  <c r="AX28" i="34" s="1"/>
  <c r="AO28" i="34"/>
  <c r="AW28" i="34" s="1"/>
  <c r="AN28" i="34"/>
  <c r="AV28" i="34" s="1"/>
  <c r="AM28" i="34"/>
  <c r="AK28" i="34"/>
  <c r="AJ28" i="34" s="1"/>
  <c r="AG28" i="34"/>
  <c r="AR27" i="34"/>
  <c r="AZ27" i="34" s="1"/>
  <c r="AQ27" i="34"/>
  <c r="AY27" i="34" s="1"/>
  <c r="AP27" i="34"/>
  <c r="AX27" i="34" s="1"/>
  <c r="AO27" i="34"/>
  <c r="AW27" i="34" s="1"/>
  <c r="AN27" i="34"/>
  <c r="AV27" i="34" s="1"/>
  <c r="AM27" i="34"/>
  <c r="AK27" i="34"/>
  <c r="AJ27" i="34"/>
  <c r="AG27" i="34"/>
  <c r="AR26" i="34"/>
  <c r="AZ26" i="34" s="1"/>
  <c r="AQ26" i="34"/>
  <c r="AY26" i="34" s="1"/>
  <c r="AP26" i="34"/>
  <c r="AX26" i="34" s="1"/>
  <c r="AO26" i="34"/>
  <c r="AW26" i="34" s="1"/>
  <c r="AN26" i="34"/>
  <c r="AV26" i="34" s="1"/>
  <c r="AM26" i="34"/>
  <c r="AK26" i="34"/>
  <c r="AJ26" i="34" s="1"/>
  <c r="AG26" i="34"/>
  <c r="CP25" i="34"/>
  <c r="CY25" i="34" s="1"/>
  <c r="BN25" i="34"/>
  <c r="BI25" i="34"/>
  <c r="AR25" i="34"/>
  <c r="AZ25" i="34" s="1"/>
  <c r="AQ25" i="34"/>
  <c r="AY25" i="34" s="1"/>
  <c r="AP25" i="34"/>
  <c r="AX25" i="34" s="1"/>
  <c r="AO25" i="34"/>
  <c r="AW25" i="34" s="1"/>
  <c r="AN25" i="34"/>
  <c r="AV25" i="34" s="1"/>
  <c r="AM25" i="34"/>
  <c r="AK25" i="34"/>
  <c r="AJ25" i="34" s="1"/>
  <c r="AG25" i="34"/>
  <c r="CP24" i="34"/>
  <c r="CY24" i="34" s="1"/>
  <c r="BN24" i="34"/>
  <c r="BI24" i="34"/>
  <c r="AR24" i="34"/>
  <c r="AZ24" i="34" s="1"/>
  <c r="AQ24" i="34"/>
  <c r="AY24" i="34" s="1"/>
  <c r="AP24" i="34"/>
  <c r="AX24" i="34" s="1"/>
  <c r="AO24" i="34"/>
  <c r="AW24" i="34" s="1"/>
  <c r="AN24" i="34"/>
  <c r="AV24" i="34" s="1"/>
  <c r="AM24" i="34"/>
  <c r="AU24" i="34" s="1"/>
  <c r="CP22" i="34"/>
  <c r="BN22" i="34"/>
  <c r="BI22" i="34"/>
  <c r="CP21" i="34"/>
  <c r="CY21" i="34" s="1"/>
  <c r="BN21" i="34"/>
  <c r="BM21" i="34"/>
  <c r="BI21" i="34"/>
  <c r="CP20" i="34"/>
  <c r="CY20" i="34" s="1"/>
  <c r="BN20" i="34"/>
  <c r="BI20" i="34"/>
  <c r="CP19" i="34"/>
  <c r="CY19" i="34" s="1"/>
  <c r="CG19" i="34"/>
  <c r="CF19" i="34"/>
  <c r="BN19" i="34"/>
  <c r="BI19" i="34"/>
  <c r="CH19" i="34" s="1"/>
  <c r="AR18" i="34"/>
  <c r="AZ18" i="34" s="1"/>
  <c r="AQ18" i="34"/>
  <c r="AY18" i="34" s="1"/>
  <c r="AP18" i="34"/>
  <c r="AO18" i="34"/>
  <c r="AW18" i="34" s="1"/>
  <c r="AN18" i="34"/>
  <c r="AV18" i="34" s="1"/>
  <c r="AM18" i="34"/>
  <c r="AU18" i="34" s="1"/>
  <c r="AK18" i="34"/>
  <c r="AJ18" i="34" s="1"/>
  <c r="AG18" i="34"/>
  <c r="BI17" i="34"/>
  <c r="AR17" i="34"/>
  <c r="AZ17" i="34" s="1"/>
  <c r="AQ17" i="34"/>
  <c r="AY17" i="34" s="1"/>
  <c r="AP17" i="34"/>
  <c r="AX17" i="34" s="1"/>
  <c r="AO17" i="34"/>
  <c r="AW17" i="34" s="1"/>
  <c r="AN17" i="34"/>
  <c r="AV17" i="34" s="1"/>
  <c r="AM17" i="34"/>
  <c r="AK17" i="34"/>
  <c r="AJ17" i="34"/>
  <c r="AG17" i="34"/>
  <c r="AR16" i="34"/>
  <c r="AZ16" i="34" s="1"/>
  <c r="AQ16" i="34"/>
  <c r="AY16" i="34" s="1"/>
  <c r="AP16" i="34"/>
  <c r="AX16" i="34" s="1"/>
  <c r="AO16" i="34"/>
  <c r="AW16" i="34" s="1"/>
  <c r="AN16" i="34"/>
  <c r="AV16" i="34" s="1"/>
  <c r="AM16" i="34"/>
  <c r="AK16" i="34"/>
  <c r="AJ16" i="34"/>
  <c r="AG16" i="34"/>
  <c r="AR15" i="34"/>
  <c r="AZ15" i="34" s="1"/>
  <c r="AQ15" i="34"/>
  <c r="AY15" i="34" s="1"/>
  <c r="AP15" i="34"/>
  <c r="AX15" i="34" s="1"/>
  <c r="AO15" i="34"/>
  <c r="AW15" i="34" s="1"/>
  <c r="AN15" i="34"/>
  <c r="AV15" i="34" s="1"/>
  <c r="AM15" i="34"/>
  <c r="AK15" i="34"/>
  <c r="AJ15" i="34"/>
  <c r="AG15" i="34"/>
  <c r="AR14" i="34"/>
  <c r="AZ14" i="34" s="1"/>
  <c r="AQ14" i="34"/>
  <c r="AY14" i="34" s="1"/>
  <c r="AP14" i="34"/>
  <c r="AX14" i="34" s="1"/>
  <c r="AO14" i="34"/>
  <c r="AW14" i="34" s="1"/>
  <c r="AN14" i="34"/>
  <c r="AV14" i="34" s="1"/>
  <c r="AM14" i="34"/>
  <c r="AU14" i="34" s="1"/>
  <c r="AR11" i="34"/>
  <c r="AZ11" i="34" s="1"/>
  <c r="AQ11" i="34"/>
  <c r="AY11" i="34" s="1"/>
  <c r="AP11" i="34"/>
  <c r="AX11" i="34" s="1"/>
  <c r="AO11" i="34"/>
  <c r="AW11" i="34" s="1"/>
  <c r="AN11" i="34"/>
  <c r="AV11" i="34" s="1"/>
  <c r="AM11" i="34"/>
  <c r="AJ11" i="34"/>
  <c r="AG11" i="34"/>
  <c r="AR10" i="34"/>
  <c r="AZ10" i="34" s="1"/>
  <c r="AQ10" i="34"/>
  <c r="AY10" i="34" s="1"/>
  <c r="AP10" i="34"/>
  <c r="AX10" i="34" s="1"/>
  <c r="AO10" i="34"/>
  <c r="AW10" i="34" s="1"/>
  <c r="AN10" i="34"/>
  <c r="AV10" i="34" s="1"/>
  <c r="AM10" i="34"/>
  <c r="AJ10" i="34"/>
  <c r="AG10" i="34"/>
  <c r="DN9" i="34"/>
  <c r="DO9" i="34" s="1"/>
  <c r="DP9" i="34" s="1"/>
  <c r="DL9" i="34"/>
  <c r="DF9" i="34"/>
  <c r="CU9" i="34"/>
  <c r="CP9" i="34"/>
  <c r="CF9" i="34"/>
  <c r="BZ9" i="34"/>
  <c r="BN9" i="34"/>
  <c r="AR9" i="34"/>
  <c r="AZ9" i="34" s="1"/>
  <c r="AQ9" i="34"/>
  <c r="AY9" i="34" s="1"/>
  <c r="AP9" i="34"/>
  <c r="AX9" i="34" s="1"/>
  <c r="AO9" i="34"/>
  <c r="AW9" i="34" s="1"/>
  <c r="AN9" i="34"/>
  <c r="AV9" i="34" s="1"/>
  <c r="AM9" i="34"/>
  <c r="AK9" i="34"/>
  <c r="AJ9" i="34"/>
  <c r="AG9" i="34"/>
  <c r="DL8" i="34"/>
  <c r="DF8" i="34"/>
  <c r="CU8" i="34"/>
  <c r="CP8" i="34"/>
  <c r="CF8" i="34"/>
  <c r="CF25" i="34" s="1"/>
  <c r="BZ8" i="34"/>
  <c r="BN8" i="34"/>
  <c r="BG8" i="34"/>
  <c r="AR8" i="34"/>
  <c r="AZ8" i="34" s="1"/>
  <c r="AQ8" i="34"/>
  <c r="AY8" i="34" s="1"/>
  <c r="AP8" i="34"/>
  <c r="AX8" i="34" s="1"/>
  <c r="AO8" i="34"/>
  <c r="AW8" i="34" s="1"/>
  <c r="AN8" i="34"/>
  <c r="AV8" i="34" s="1"/>
  <c r="AM8" i="34"/>
  <c r="AK8" i="34"/>
  <c r="AJ8" i="34" s="1"/>
  <c r="AG8" i="34"/>
  <c r="DN7" i="34"/>
  <c r="DO7" i="34" s="1"/>
  <c r="DP7" i="34" s="1"/>
  <c r="DL7" i="34"/>
  <c r="DF7" i="34"/>
  <c r="CU7" i="34"/>
  <c r="CP7" i="34"/>
  <c r="CF7" i="34"/>
  <c r="CF24" i="34" s="1"/>
  <c r="BZ7" i="34"/>
  <c r="BW7" i="34"/>
  <c r="BX7" i="34" s="1"/>
  <c r="BV7" i="34"/>
  <c r="BN7" i="34"/>
  <c r="BG7" i="34"/>
  <c r="AR7" i="34"/>
  <c r="AZ7" i="34" s="1"/>
  <c r="AQ7" i="34"/>
  <c r="AY7" i="34" s="1"/>
  <c r="AP7" i="34"/>
  <c r="AX7" i="34" s="1"/>
  <c r="AO7" i="34"/>
  <c r="AW7" i="34" s="1"/>
  <c r="AN7" i="34"/>
  <c r="AV7" i="34" s="1"/>
  <c r="AM7" i="34"/>
  <c r="AJ7" i="34"/>
  <c r="AG7" i="34"/>
  <c r="DO6" i="34"/>
  <c r="DP6" i="34" s="1"/>
  <c r="DN6" i="34"/>
  <c r="DL6" i="34"/>
  <c r="DF6" i="34"/>
  <c r="CU6" i="34"/>
  <c r="CP6" i="34"/>
  <c r="CF6" i="34"/>
  <c r="BZ6" i="34"/>
  <c r="BN6" i="34"/>
  <c r="BH6" i="34"/>
  <c r="BG6" i="34"/>
  <c r="AR6" i="34"/>
  <c r="AZ6" i="34" s="1"/>
  <c r="AQ6" i="34"/>
  <c r="AY6" i="34" s="1"/>
  <c r="AP6" i="34"/>
  <c r="AX6" i="34" s="1"/>
  <c r="AO6" i="34"/>
  <c r="AW6" i="34" s="1"/>
  <c r="AN6" i="34"/>
  <c r="AV6" i="34" s="1"/>
  <c r="AM6" i="34"/>
  <c r="AU6" i="34" s="1"/>
  <c r="DN5" i="34"/>
  <c r="DO5" i="34" s="1"/>
  <c r="DP5" i="34" s="1"/>
  <c r="DL5" i="34"/>
  <c r="DF5" i="34"/>
  <c r="CU5" i="34"/>
  <c r="CP5" i="34"/>
  <c r="CG5" i="34"/>
  <c r="CF5" i="34"/>
  <c r="BZ5" i="34"/>
  <c r="BW5" i="34"/>
  <c r="BX5" i="34" s="1"/>
  <c r="BV5" i="34"/>
  <c r="BN5" i="34"/>
  <c r="BM5" i="34"/>
  <c r="BG5" i="34"/>
  <c r="AR5" i="34"/>
  <c r="AZ5" i="34" s="1"/>
  <c r="AQ5" i="34"/>
  <c r="AY5" i="34" s="1"/>
  <c r="AP5" i="34"/>
  <c r="AX5" i="34" s="1"/>
  <c r="AO5" i="34"/>
  <c r="AW5" i="34" s="1"/>
  <c r="AN5" i="34"/>
  <c r="AV5" i="34" s="1"/>
  <c r="AM5" i="34"/>
  <c r="AU5" i="34" s="1"/>
  <c r="DO4" i="34"/>
  <c r="DP4" i="34" s="1"/>
  <c r="DL4" i="34"/>
  <c r="DF4" i="34"/>
  <c r="CU4" i="34"/>
  <c r="CF4" i="34"/>
  <c r="CF21" i="34" s="1"/>
  <c r="BZ4" i="34"/>
  <c r="BW4" i="34"/>
  <c r="BX4" i="34" s="1"/>
  <c r="BV4" i="34"/>
  <c r="BN4" i="34"/>
  <c r="BM4" i="34"/>
  <c r="BG4" i="34"/>
  <c r="DN3" i="34"/>
  <c r="DO3" i="34" s="1"/>
  <c r="DP3" i="34" s="1"/>
  <c r="DL3" i="34"/>
  <c r="DF3" i="34"/>
  <c r="CU3" i="34"/>
  <c r="CP3" i="34"/>
  <c r="CG3" i="34"/>
  <c r="CF3" i="34"/>
  <c r="CF20" i="34" s="1"/>
  <c r="BZ3" i="34"/>
  <c r="CA3" i="34" s="1"/>
  <c r="BW3" i="34"/>
  <c r="BX3" i="34" s="1"/>
  <c r="BV3" i="34"/>
  <c r="BN3" i="34"/>
  <c r="BM3" i="34"/>
  <c r="BG3" i="34"/>
  <c r="AC3" i="34"/>
  <c r="X3" i="34"/>
  <c r="DN2" i="34"/>
  <c r="DO2" i="34" s="1"/>
  <c r="DP2" i="34" s="1"/>
  <c r="DL2" i="34"/>
  <c r="DF2" i="34"/>
  <c r="CU2" i="34"/>
  <c r="CP2" i="34"/>
  <c r="BZ2" i="34"/>
  <c r="BW2" i="34"/>
  <c r="BV2" i="34"/>
  <c r="BN2" i="34"/>
  <c r="BM2" i="34"/>
  <c r="BG2" i="34"/>
  <c r="AR2" i="34"/>
  <c r="AQ2" i="34"/>
  <c r="AP2" i="34"/>
  <c r="AO2" i="34"/>
  <c r="AN2" i="34"/>
  <c r="AM2" i="34"/>
  <c r="AE2" i="34"/>
  <c r="AA2" i="34"/>
  <c r="Y2" i="34"/>
  <c r="X2" i="34"/>
  <c r="W2" i="34"/>
  <c r="U2" i="34"/>
  <c r="AH7" i="34" s="1"/>
  <c r="DL1" i="34"/>
  <c r="DM1" i="34" s="1"/>
  <c r="DF1" i="34"/>
  <c r="CU1" i="34"/>
  <c r="CV1" i="34" s="1"/>
  <c r="CN1" i="34"/>
  <c r="CO1" i="34" s="1"/>
  <c r="AE1" i="34"/>
  <c r="AE3" i="34" s="1"/>
  <c r="AD1" i="34"/>
  <c r="AC1" i="34"/>
  <c r="AA1" i="34"/>
  <c r="AA3" i="34" s="1"/>
  <c r="Y1" i="34"/>
  <c r="Y3" i="34" s="1"/>
  <c r="W1" i="34"/>
  <c r="W3" i="34" s="1"/>
  <c r="U1" i="34"/>
  <c r="U3" i="34" s="1"/>
  <c r="BA3" i="22"/>
  <c r="DR49" i="24"/>
  <c r="AB270" i="27"/>
  <c r="AB269" i="27"/>
  <c r="AB268" i="27"/>
  <c r="BS265" i="27"/>
  <c r="BS269" i="27"/>
  <c r="BS222" i="27"/>
  <c r="BS226" i="27"/>
  <c r="BR269" i="27"/>
  <c r="BF266" i="27"/>
  <c r="BF265" i="27"/>
  <c r="BE261" i="27"/>
  <c r="BQ261" i="27" s="1"/>
  <c r="BP263" i="27"/>
  <c r="BP264" i="27" s="1"/>
  <c r="BP265" i="27" s="1"/>
  <c r="BP266" i="27" s="1"/>
  <c r="BP267" i="27" s="1"/>
  <c r="BP268" i="27" s="1"/>
  <c r="BP269" i="27" s="1"/>
  <c r="BD263" i="27"/>
  <c r="BD264" i="27" s="1"/>
  <c r="BD265" i="27" s="1"/>
  <c r="BD266" i="27" s="1"/>
  <c r="BD267" i="27" s="1"/>
  <c r="BD268" i="27" s="1"/>
  <c r="BD269" i="27" s="1"/>
  <c r="AN264" i="27"/>
  <c r="AN265" i="27" s="1"/>
  <c r="AN266" i="27" s="1"/>
  <c r="AN267" i="27" s="1"/>
  <c r="AN268" i="27" s="1"/>
  <c r="AN269" i="27" s="1"/>
  <c r="AN270" i="27" s="1"/>
  <c r="AN271" i="27" s="1"/>
  <c r="Z264" i="27"/>
  <c r="Z265" i="27" s="1"/>
  <c r="Z266" i="27" s="1"/>
  <c r="Z267" i="27" s="1"/>
  <c r="Z268" i="27" s="1"/>
  <c r="Z269" i="27" s="1"/>
  <c r="Z270" i="27" s="1"/>
  <c r="Z271" i="27" s="1"/>
  <c r="AO262" i="27"/>
  <c r="AA262" i="27"/>
  <c r="DL9" i="22"/>
  <c r="DL8" i="22"/>
  <c r="DL7" i="22"/>
  <c r="DL6" i="22"/>
  <c r="DL5" i="22"/>
  <c r="DL4" i="22"/>
  <c r="DL3" i="22"/>
  <c r="DL2" i="22"/>
  <c r="O5" i="24"/>
  <c r="AH14" i="36" l="1"/>
  <c r="AH13" i="36"/>
  <c r="AH11" i="36"/>
  <c r="AH10" i="36"/>
  <c r="AH9" i="36"/>
  <c r="AH7" i="36"/>
  <c r="AL16" i="37"/>
  <c r="D31" i="37"/>
  <c r="F27" i="37"/>
  <c r="M28" i="37"/>
  <c r="M10" i="37"/>
  <c r="O11" i="37"/>
  <c r="M11" i="37" s="1"/>
  <c r="O13" i="37"/>
  <c r="M13" i="37" s="1"/>
  <c r="M9" i="37"/>
  <c r="M7" i="37"/>
  <c r="O8" i="37"/>
  <c r="O12" i="37" s="1"/>
  <c r="H7" i="37"/>
  <c r="H21" i="37" s="1"/>
  <c r="F21" i="37"/>
  <c r="Q16" i="37"/>
  <c r="R16" i="37" s="1"/>
  <c r="S16" i="37" s="1"/>
  <c r="T16" i="37" s="1"/>
  <c r="I12" i="37"/>
  <c r="J12" i="37" s="1"/>
  <c r="K12" i="37" s="1"/>
  <c r="I14" i="37"/>
  <c r="I13" i="37"/>
  <c r="I11" i="37"/>
  <c r="I10" i="37"/>
  <c r="I7" i="37"/>
  <c r="I9" i="37"/>
  <c r="I8" i="37"/>
  <c r="J8" i="37" s="1"/>
  <c r="K8" i="37" s="1"/>
  <c r="H27" i="36"/>
  <c r="H31" i="36" s="1"/>
  <c r="F31" i="36"/>
  <c r="F26" i="36"/>
  <c r="AF7" i="36"/>
  <c r="H21" i="36"/>
  <c r="AU28" i="34"/>
  <c r="AS28" i="34"/>
  <c r="AU27" i="34"/>
  <c r="AS27" i="34"/>
  <c r="AS26" i="34"/>
  <c r="AU26" i="34"/>
  <c r="AU25" i="34"/>
  <c r="AS25" i="34"/>
  <c r="CY22" i="34"/>
  <c r="CE19" i="34"/>
  <c r="CG20" i="34"/>
  <c r="AS18" i="34"/>
  <c r="AX18" i="34"/>
  <c r="AS17" i="34"/>
  <c r="AU17" i="34"/>
  <c r="AU16" i="34"/>
  <c r="AS16" i="34"/>
  <c r="AU15" i="34"/>
  <c r="AS15" i="34"/>
  <c r="AS11" i="34"/>
  <c r="AU11" i="34"/>
  <c r="AU10" i="34"/>
  <c r="AS10" i="34"/>
  <c r="CA9" i="34"/>
  <c r="AS9" i="34"/>
  <c r="AU9" i="34"/>
  <c r="DN8" i="34"/>
  <c r="DO8" i="34" s="1"/>
  <c r="DP8" i="34" s="1"/>
  <c r="CA8" i="34"/>
  <c r="BH8" i="34"/>
  <c r="AS8" i="34"/>
  <c r="AU8" i="34"/>
  <c r="CA7" i="34"/>
  <c r="BH7" i="34"/>
  <c r="AS7" i="34"/>
  <c r="AU7" i="34"/>
  <c r="CA6" i="34"/>
  <c r="BH9" i="34"/>
  <c r="CG6" i="34"/>
  <c r="CF22" i="34"/>
  <c r="CA5" i="34"/>
  <c r="BH5" i="34"/>
  <c r="CA4" i="34"/>
  <c r="BH4" i="34"/>
  <c r="BH3" i="34"/>
  <c r="AD10" i="34"/>
  <c r="AD16" i="34"/>
  <c r="AD18" i="34"/>
  <c r="AD26" i="34"/>
  <c r="AD11" i="34"/>
  <c r="AD8" i="34"/>
  <c r="AD28" i="34"/>
  <c r="AD17" i="34"/>
  <c r="AD25" i="34"/>
  <c r="AD29" i="34"/>
  <c r="AD33" i="34"/>
  <c r="AD37" i="34"/>
  <c r="AD9" i="34"/>
  <c r="AD15" i="34"/>
  <c r="AD7" i="34"/>
  <c r="AD27" i="34"/>
  <c r="BZ10" i="34"/>
  <c r="BY2" i="34"/>
  <c r="CA2" i="34"/>
  <c r="BX2" i="34"/>
  <c r="BX10" i="34" s="1"/>
  <c r="BW10" i="34"/>
  <c r="BH2" i="34"/>
  <c r="AF11" i="34"/>
  <c r="AF16" i="34"/>
  <c r="AF7" i="34"/>
  <c r="AF10" i="34"/>
  <c r="AF29" i="34"/>
  <c r="AF25" i="34"/>
  <c r="AF28" i="34"/>
  <c r="AF33" i="34"/>
  <c r="AF8" i="34"/>
  <c r="AF17" i="34"/>
  <c r="AF18" i="34"/>
  <c r="AF26" i="34"/>
  <c r="AF27" i="34"/>
  <c r="AF9" i="34"/>
  <c r="AF15" i="34"/>
  <c r="AB8" i="34"/>
  <c r="AB11" i="34"/>
  <c r="AB17" i="34"/>
  <c r="AB28" i="34"/>
  <c r="AB10" i="34"/>
  <c r="AB15" i="34"/>
  <c r="AB25" i="34"/>
  <c r="AB9" i="34"/>
  <c r="AB16" i="34"/>
  <c r="AB18" i="34"/>
  <c r="AB26" i="34"/>
  <c r="AB27" i="34"/>
  <c r="AB29" i="34"/>
  <c r="AB7" i="34"/>
  <c r="Z8" i="34"/>
  <c r="Z28" i="34"/>
  <c r="Z7" i="34"/>
  <c r="Z25" i="34"/>
  <c r="Z27" i="34"/>
  <c r="Z37" i="34"/>
  <c r="Z9" i="34"/>
  <c r="Z10" i="34"/>
  <c r="Z33" i="34"/>
  <c r="Z17" i="34"/>
  <c r="Z18" i="34"/>
  <c r="Z26" i="34"/>
  <c r="Z11" i="34"/>
  <c r="Z16" i="34"/>
  <c r="Z15" i="34"/>
  <c r="Z29" i="34"/>
  <c r="X15" i="34"/>
  <c r="X8" i="34"/>
  <c r="X9" i="34"/>
  <c r="X10" i="34"/>
  <c r="X7" i="34"/>
  <c r="X16" i="34"/>
  <c r="X17" i="34"/>
  <c r="X18" i="34"/>
  <c r="X25" i="34"/>
  <c r="X26" i="34"/>
  <c r="X1" i="34"/>
  <c r="X11" i="34"/>
  <c r="X27" i="34"/>
  <c r="X29" i="34"/>
  <c r="X33" i="34"/>
  <c r="X28" i="34"/>
  <c r="X37" i="34"/>
  <c r="V18" i="34"/>
  <c r="AI18" i="34" s="1"/>
  <c r="V17" i="34"/>
  <c r="AI17" i="34" s="1"/>
  <c r="V15" i="34"/>
  <c r="AI15" i="34" s="1"/>
  <c r="V29" i="34"/>
  <c r="AI29" i="34" s="1"/>
  <c r="V37" i="34"/>
  <c r="AI37" i="34" s="1"/>
  <c r="V8" i="34"/>
  <c r="AI8" i="34" s="1"/>
  <c r="V25" i="34"/>
  <c r="AI25" i="34" s="1"/>
  <c r="V28" i="34"/>
  <c r="AI28" i="34" s="1"/>
  <c r="V7" i="34"/>
  <c r="AI7" i="34" s="1"/>
  <c r="V9" i="34"/>
  <c r="AI9" i="34" s="1"/>
  <c r="V16" i="34"/>
  <c r="AI16" i="34" s="1"/>
  <c r="V11" i="34"/>
  <c r="AI11" i="34" s="1"/>
  <c r="AI13" i="34" s="1"/>
  <c r="V26" i="34"/>
  <c r="AI26" i="34" s="1"/>
  <c r="V10" i="34"/>
  <c r="AI10" i="34" s="1"/>
  <c r="V27" i="34"/>
  <c r="AI27" i="34" s="1"/>
  <c r="V33" i="34"/>
  <c r="AI33" i="34" s="1"/>
  <c r="CH20" i="34"/>
  <c r="BF267" i="27"/>
  <c r="BR265" i="27"/>
  <c r="AP270" i="27"/>
  <c r="AP269" i="27"/>
  <c r="AP268" i="27"/>
  <c r="I14" i="10"/>
  <c r="E21" i="10"/>
  <c r="E22" i="10" s="1"/>
  <c r="E23" i="10"/>
  <c r="AH6" i="37" l="1"/>
  <c r="AH6" i="36"/>
  <c r="F31" i="37"/>
  <c r="H27" i="37"/>
  <c r="H31" i="37" s="1"/>
  <c r="F26" i="37"/>
  <c r="M27" i="37"/>
  <c r="M21" i="37"/>
  <c r="N7" i="37"/>
  <c r="J14" i="37"/>
  <c r="K14" i="37" s="1"/>
  <c r="Q14" i="37" s="1"/>
  <c r="P14" i="37"/>
  <c r="R14" i="37" s="1"/>
  <c r="J13" i="37"/>
  <c r="K13" i="37" s="1"/>
  <c r="Q13" i="37" s="1"/>
  <c r="I26" i="37"/>
  <c r="P13" i="37"/>
  <c r="R13" i="37" s="1"/>
  <c r="P11" i="37"/>
  <c r="J11" i="37"/>
  <c r="K11" i="37" s="1"/>
  <c r="Q11" i="37" s="1"/>
  <c r="P10" i="37"/>
  <c r="J10" i="37"/>
  <c r="K10" i="37" s="1"/>
  <c r="Q10" i="37" s="1"/>
  <c r="J7" i="37"/>
  <c r="P7" i="37"/>
  <c r="I21" i="37"/>
  <c r="P21" i="37" s="1"/>
  <c r="P22" i="37" s="1"/>
  <c r="J9" i="37"/>
  <c r="K9" i="37" s="1"/>
  <c r="Q9" i="37" s="1"/>
  <c r="P9" i="37"/>
  <c r="M28" i="36"/>
  <c r="M27" i="36"/>
  <c r="M21" i="36"/>
  <c r="I13" i="36"/>
  <c r="I9" i="36"/>
  <c r="I7" i="36"/>
  <c r="I10" i="36"/>
  <c r="I14" i="36"/>
  <c r="I12" i="36"/>
  <c r="I8" i="36"/>
  <c r="I11" i="36"/>
  <c r="AS24" i="34"/>
  <c r="CG21" i="34"/>
  <c r="CE20" i="34"/>
  <c r="AS14" i="34"/>
  <c r="AS6" i="34"/>
  <c r="CG7" i="34"/>
  <c r="BY10" i="34"/>
  <c r="BY3" i="34"/>
  <c r="CA10" i="34"/>
  <c r="BY8" i="34"/>
  <c r="BY7" i="34"/>
  <c r="BY6" i="34"/>
  <c r="BY5" i="34"/>
  <c r="BY4" i="34"/>
  <c r="BY9" i="34"/>
  <c r="BF268" i="27"/>
  <c r="BE218" i="27"/>
  <c r="BR226" i="27"/>
  <c r="FM2" i="24"/>
  <c r="FL2" i="24"/>
  <c r="FS71" i="24"/>
  <c r="FS72" i="24"/>
  <c r="FS69" i="24"/>
  <c r="FS66" i="24"/>
  <c r="FS65" i="24"/>
  <c r="FS64" i="24"/>
  <c r="FS63" i="24"/>
  <c r="FS62" i="24"/>
  <c r="FS61" i="24"/>
  <c r="FS60" i="24"/>
  <c r="FS59" i="24"/>
  <c r="FS57" i="24"/>
  <c r="FS56" i="24"/>
  <c r="FS55" i="24"/>
  <c r="FS54" i="24"/>
  <c r="FS53" i="24"/>
  <c r="FS48" i="24"/>
  <c r="FS50" i="24"/>
  <c r="FS49" i="24"/>
  <c r="FS42" i="24"/>
  <c r="FS47" i="24"/>
  <c r="FS45" i="24"/>
  <c r="FS43" i="24"/>
  <c r="FS44" i="24"/>
  <c r="FS35" i="24"/>
  <c r="FS34" i="24"/>
  <c r="FS33" i="24"/>
  <c r="FS31" i="24"/>
  <c r="FS29" i="24"/>
  <c r="FS32" i="24"/>
  <c r="FS30" i="24"/>
  <c r="FS28" i="24"/>
  <c r="FS27" i="24"/>
  <c r="FS26" i="24"/>
  <c r="FS25" i="24"/>
  <c r="FS21" i="24"/>
  <c r="FS19" i="24"/>
  <c r="DV65" i="24"/>
  <c r="DV63" i="24"/>
  <c r="DV61" i="24"/>
  <c r="DV59" i="24"/>
  <c r="EK61" i="24"/>
  <c r="EJ61" i="24"/>
  <c r="EX61" i="24" s="1"/>
  <c r="EK60" i="24"/>
  <c r="EJ60" i="24"/>
  <c r="EI61" i="24"/>
  <c r="EI60" i="24"/>
  <c r="ER59" i="24"/>
  <c r="EO72" i="24"/>
  <c r="EO63" i="24"/>
  <c r="EO56" i="24"/>
  <c r="EY72" i="24"/>
  <c r="FM72" i="24" s="1"/>
  <c r="EY69" i="24"/>
  <c r="EY68" i="24"/>
  <c r="EX66" i="24"/>
  <c r="EW66" i="24"/>
  <c r="EY65" i="24"/>
  <c r="EX65" i="24"/>
  <c r="EW65" i="24"/>
  <c r="EZ65" i="24" s="1"/>
  <c r="EY64" i="24"/>
  <c r="EX64" i="24"/>
  <c r="EW64" i="24"/>
  <c r="EZ64" i="24" s="1"/>
  <c r="EY63" i="24"/>
  <c r="EX63" i="24"/>
  <c r="EW63" i="24"/>
  <c r="EZ63" i="24" s="1"/>
  <c r="EY62" i="24"/>
  <c r="EX62" i="24"/>
  <c r="EW62" i="24"/>
  <c r="EZ62" i="24" s="1"/>
  <c r="EW61" i="24"/>
  <c r="EY60" i="24"/>
  <c r="FM60" i="24" s="1"/>
  <c r="EX60" i="24"/>
  <c r="EW60" i="24"/>
  <c r="EY59" i="24"/>
  <c r="EX59" i="24"/>
  <c r="EW59" i="24"/>
  <c r="EZ59" i="24" s="1"/>
  <c r="FM69" i="24"/>
  <c r="FL69" i="24"/>
  <c r="FM68" i="24"/>
  <c r="FL68" i="24"/>
  <c r="BF223" i="27"/>
  <c r="BF222" i="27"/>
  <c r="EB66" i="24"/>
  <c r="EB65" i="24"/>
  <c r="FK65" i="24" s="1"/>
  <c r="EB64" i="24"/>
  <c r="EB63" i="24"/>
  <c r="EB62" i="24"/>
  <c r="EB61" i="24"/>
  <c r="FK61" i="24" s="1"/>
  <c r="EB60" i="24"/>
  <c r="EB59" i="24"/>
  <c r="AZ354" i="24"/>
  <c r="AZ337" i="24"/>
  <c r="AZ371" i="24"/>
  <c r="AZ387" i="24"/>
  <c r="DV66" i="24"/>
  <c r="DV64" i="24"/>
  <c r="FI64" i="24" s="1"/>
  <c r="DV62" i="24"/>
  <c r="DV60" i="24"/>
  <c r="FY69" i="24"/>
  <c r="ET69" i="24"/>
  <c r="FF69" i="24" s="1"/>
  <c r="EO69" i="24"/>
  <c r="EK69" i="24"/>
  <c r="EJ69" i="24"/>
  <c r="EI69" i="24"/>
  <c r="FE69" i="24" s="1"/>
  <c r="DY69" i="24"/>
  <c r="DX69" i="24"/>
  <c r="FY72" i="24"/>
  <c r="FL72" i="24"/>
  <c r="ET72" i="24"/>
  <c r="FF72" i="24" s="1"/>
  <c r="EK72" i="24"/>
  <c r="EJ72" i="24"/>
  <c r="EI72" i="24"/>
  <c r="FE72" i="24" s="1"/>
  <c r="EB72" i="24"/>
  <c r="DY72" i="24"/>
  <c r="DX72" i="24"/>
  <c r="DZ72" i="24"/>
  <c r="DY71" i="24"/>
  <c r="DX71" i="24"/>
  <c r="FY71" i="24"/>
  <c r="FL71" i="24"/>
  <c r="EK71" i="24"/>
  <c r="EJ71" i="24"/>
  <c r="EI71" i="24"/>
  <c r="FY66" i="24"/>
  <c r="FK66" i="24"/>
  <c r="FJ66" i="24"/>
  <c r="FI66" i="24"/>
  <c r="FD66" i="24"/>
  <c r="FC66" i="24"/>
  <c r="FB66" i="24"/>
  <c r="ER66" i="24"/>
  <c r="EK66" i="24"/>
  <c r="EJ66" i="24"/>
  <c r="EI66" i="24"/>
  <c r="EE66" i="24"/>
  <c r="FY65" i="24"/>
  <c r="FJ65" i="24"/>
  <c r="FI65" i="24"/>
  <c r="FC65" i="24"/>
  <c r="FB65" i="24"/>
  <c r="ER65" i="24"/>
  <c r="EK65" i="24"/>
  <c r="EJ65" i="24"/>
  <c r="EI65" i="24"/>
  <c r="EE65" i="24"/>
  <c r="FY64" i="24"/>
  <c r="FL64" i="24"/>
  <c r="FK64" i="24"/>
  <c r="FJ64" i="24"/>
  <c r="FD64" i="24"/>
  <c r="FC64" i="24"/>
  <c r="FB64" i="24"/>
  <c r="ES64" i="24"/>
  <c r="ER64" i="24"/>
  <c r="EO64" i="24"/>
  <c r="FM64" i="24" s="1"/>
  <c r="EK64" i="24"/>
  <c r="EJ64" i="24"/>
  <c r="EI64" i="24"/>
  <c r="FE64" i="24" s="1"/>
  <c r="EE64" i="24"/>
  <c r="FY63" i="24"/>
  <c r="FL63" i="24"/>
  <c r="FK63" i="24"/>
  <c r="FJ63" i="24"/>
  <c r="FI63" i="24"/>
  <c r="FE63" i="24"/>
  <c r="FD63" i="24"/>
  <c r="FC63" i="24"/>
  <c r="FB63" i="24"/>
  <c r="ES63" i="24"/>
  <c r="ER63" i="24"/>
  <c r="EK63" i="24"/>
  <c r="EJ63" i="24"/>
  <c r="EI63" i="24"/>
  <c r="EL63" i="24" s="1"/>
  <c r="EE63" i="24"/>
  <c r="EG63" i="24" s="1"/>
  <c r="EN63" i="24" s="1"/>
  <c r="EP63" i="24" s="1"/>
  <c r="FY62" i="24"/>
  <c r="FK62" i="24"/>
  <c r="FJ62" i="24"/>
  <c r="FI62" i="24"/>
  <c r="FE62" i="24"/>
  <c r="FD62" i="24"/>
  <c r="FC62" i="24"/>
  <c r="FB62" i="24"/>
  <c r="ES62" i="24"/>
  <c r="ER62" i="24"/>
  <c r="EO62" i="24"/>
  <c r="EN62" i="24"/>
  <c r="EP62" i="24" s="1"/>
  <c r="EK62" i="24"/>
  <c r="EJ62" i="24"/>
  <c r="EI62" i="24"/>
  <c r="EE62" i="24"/>
  <c r="EG62" i="24" s="1"/>
  <c r="FY61" i="24"/>
  <c r="FJ61" i="24"/>
  <c r="FI61" i="24"/>
  <c r="FC61" i="24"/>
  <c r="FB61" i="24"/>
  <c r="ER61" i="24"/>
  <c r="EO61" i="24"/>
  <c r="EY61" i="24" s="1"/>
  <c r="FM61" i="24" s="1"/>
  <c r="FY60" i="24"/>
  <c r="FK60" i="24"/>
  <c r="FJ60" i="24"/>
  <c r="FI60" i="24"/>
  <c r="FD60" i="24"/>
  <c r="FC60" i="24"/>
  <c r="FB60" i="24"/>
  <c r="ER60" i="24"/>
  <c r="EO60" i="24"/>
  <c r="ES60" i="24"/>
  <c r="EE60" i="24"/>
  <c r="FY59" i="24"/>
  <c r="FK59" i="24"/>
  <c r="FJ59" i="24"/>
  <c r="FI59" i="24"/>
  <c r="FD59" i="24"/>
  <c r="FC59" i="24"/>
  <c r="FB59" i="24"/>
  <c r="FM59" i="24"/>
  <c r="ET59" i="24"/>
  <c r="FF59" i="24" s="1"/>
  <c r="EO59" i="24"/>
  <c r="EK59" i="24"/>
  <c r="EJ59" i="24"/>
  <c r="EI59" i="24"/>
  <c r="EE59" i="24"/>
  <c r="FY57" i="24"/>
  <c r="FM57" i="24"/>
  <c r="FL57" i="24"/>
  <c r="EY57" i="24"/>
  <c r="ET57" i="24"/>
  <c r="FF57" i="24" s="1"/>
  <c r="EO57" i="24"/>
  <c r="EK57" i="24"/>
  <c r="EJ57" i="24"/>
  <c r="EI57" i="24"/>
  <c r="FY56" i="24"/>
  <c r="FL56" i="24"/>
  <c r="EY56" i="24"/>
  <c r="FM56" i="24" s="1"/>
  <c r="ET56" i="24"/>
  <c r="FF56" i="24" s="1"/>
  <c r="EK56" i="24"/>
  <c r="EJ56" i="24"/>
  <c r="EI56" i="24"/>
  <c r="FE56" i="24" s="1"/>
  <c r="FY55" i="24"/>
  <c r="FL55" i="24"/>
  <c r="EO55" i="24"/>
  <c r="EY55" i="24" s="1"/>
  <c r="FM55" i="24" s="1"/>
  <c r="EK55" i="24"/>
  <c r="EJ55" i="24"/>
  <c r="EI55" i="24"/>
  <c r="FE55" i="24" s="1"/>
  <c r="FY53" i="24"/>
  <c r="FM53" i="24"/>
  <c r="FL53" i="24"/>
  <c r="EY53" i="24"/>
  <c r="ET53" i="24"/>
  <c r="FF53" i="24" s="1"/>
  <c r="EO53" i="24"/>
  <c r="EK53" i="24"/>
  <c r="EJ53" i="24"/>
  <c r="EI53" i="24"/>
  <c r="FY50" i="24"/>
  <c r="FM50" i="24"/>
  <c r="FL50" i="24"/>
  <c r="EY50" i="24"/>
  <c r="ET50" i="24"/>
  <c r="FF50" i="24" s="1"/>
  <c r="EO50" i="24"/>
  <c r="EK50" i="24"/>
  <c r="EJ50" i="24"/>
  <c r="EI50" i="24"/>
  <c r="FY48" i="24"/>
  <c r="FM48" i="24"/>
  <c r="FL48" i="24"/>
  <c r="EY48" i="24"/>
  <c r="ET48" i="24"/>
  <c r="FF48" i="24" s="1"/>
  <c r="EO48" i="24"/>
  <c r="EK48" i="24"/>
  <c r="EJ48" i="24"/>
  <c r="EI48" i="24"/>
  <c r="FY45" i="24"/>
  <c r="FM45" i="24"/>
  <c r="FL45" i="24"/>
  <c r="EY45" i="24"/>
  <c r="ET45" i="24"/>
  <c r="FF45" i="24" s="1"/>
  <c r="EO45" i="24"/>
  <c r="EK45" i="24"/>
  <c r="EJ45" i="24"/>
  <c r="EI45" i="24"/>
  <c r="FY43" i="24"/>
  <c r="FM43" i="24"/>
  <c r="FL43" i="24"/>
  <c r="EY43" i="24"/>
  <c r="ET43" i="24"/>
  <c r="FF43" i="24" s="1"/>
  <c r="EO43" i="24"/>
  <c r="EK43" i="24"/>
  <c r="EJ43" i="24"/>
  <c r="EI43" i="24"/>
  <c r="FY41" i="24"/>
  <c r="FS41" i="24"/>
  <c r="FL41" i="24"/>
  <c r="ET41" i="24"/>
  <c r="FF41" i="24" s="1"/>
  <c r="EO41" i="24"/>
  <c r="EY41" i="24" s="1"/>
  <c r="FM41" i="24" s="1"/>
  <c r="EK41" i="24"/>
  <c r="FE41" i="24" s="1"/>
  <c r="EJ41" i="24"/>
  <c r="EI41" i="24"/>
  <c r="FY31" i="24"/>
  <c r="FM31" i="24"/>
  <c r="FL31" i="24"/>
  <c r="EY31" i="24"/>
  <c r="ET31" i="24"/>
  <c r="FF31" i="24" s="1"/>
  <c r="EO31" i="24"/>
  <c r="EK31" i="24"/>
  <c r="EJ31" i="24"/>
  <c r="EI31" i="24"/>
  <c r="FY33" i="24"/>
  <c r="FM33" i="24"/>
  <c r="FL33" i="24"/>
  <c r="EY33" i="24"/>
  <c r="ET33" i="24"/>
  <c r="FF33" i="24" s="1"/>
  <c r="EO33" i="24"/>
  <c r="EK33" i="24"/>
  <c r="EJ33" i="24"/>
  <c r="EI33" i="24"/>
  <c r="FY35" i="24"/>
  <c r="EY35" i="24"/>
  <c r="FM35" i="24" s="1"/>
  <c r="ET35" i="24"/>
  <c r="FF35" i="24" s="1"/>
  <c r="EO35" i="24"/>
  <c r="EK35" i="24"/>
  <c r="EJ35" i="24"/>
  <c r="EI35" i="24"/>
  <c r="FY39" i="24"/>
  <c r="FS39" i="24"/>
  <c r="FM39" i="24"/>
  <c r="FL39" i="24"/>
  <c r="EY39" i="24"/>
  <c r="ET39" i="24"/>
  <c r="FF39" i="24" s="1"/>
  <c r="EO39" i="24"/>
  <c r="EK39" i="24"/>
  <c r="EJ39" i="24"/>
  <c r="EI39" i="24"/>
  <c r="EB57" i="24"/>
  <c r="EB56" i="24"/>
  <c r="EB55" i="24"/>
  <c r="DY57" i="24"/>
  <c r="BA290" i="24"/>
  <c r="DS51" i="24" s="1"/>
  <c r="BA337" i="24"/>
  <c r="DP66" i="24"/>
  <c r="DP64" i="24"/>
  <c r="DP62" i="24"/>
  <c r="DU62" i="24" s="1"/>
  <c r="DP60" i="24"/>
  <c r="AX337" i="24" s="1"/>
  <c r="AX354" i="24"/>
  <c r="AG139" i="24"/>
  <c r="BA354" i="24"/>
  <c r="BA305" i="24"/>
  <c r="DS53" i="24" s="1"/>
  <c r="DS55" i="24"/>
  <c r="DS60" i="24"/>
  <c r="S14" i="37" l="1"/>
  <c r="T14" i="37" s="1"/>
  <c r="AE14" i="37" s="1"/>
  <c r="AI14" i="37"/>
  <c r="AJ14" i="37" s="1"/>
  <c r="AL14" i="37" s="1"/>
  <c r="S13" i="37"/>
  <c r="T13" i="37" s="1"/>
  <c r="AE13" i="37" s="1"/>
  <c r="AI13" i="37"/>
  <c r="AJ13" i="37" s="1"/>
  <c r="AL13" i="37" s="1"/>
  <c r="R9" i="37"/>
  <c r="M31" i="37"/>
  <c r="N14" i="37"/>
  <c r="N17" i="37"/>
  <c r="N8" i="37"/>
  <c r="N12" i="37"/>
  <c r="N15" i="37"/>
  <c r="N16" i="37"/>
  <c r="T21" i="37"/>
  <c r="I27" i="37"/>
  <c r="J27" i="37" s="1"/>
  <c r="K27" i="37" s="1"/>
  <c r="I28" i="37"/>
  <c r="J28" i="37" s="1"/>
  <c r="K28" i="37" s="1"/>
  <c r="K7" i="37"/>
  <c r="J6" i="37"/>
  <c r="R11" i="37"/>
  <c r="R10" i="37"/>
  <c r="N10" i="37"/>
  <c r="N11" i="37"/>
  <c r="N13" i="37"/>
  <c r="N9" i="37"/>
  <c r="M31" i="36"/>
  <c r="T21" i="36"/>
  <c r="N8" i="36"/>
  <c r="N12" i="36"/>
  <c r="N15" i="36"/>
  <c r="N16" i="36"/>
  <c r="N17" i="36"/>
  <c r="I26" i="36"/>
  <c r="P13" i="36"/>
  <c r="J13" i="36"/>
  <c r="K13" i="36" s="1"/>
  <c r="Q13" i="36" s="1"/>
  <c r="P9" i="36"/>
  <c r="J9" i="36"/>
  <c r="K9" i="36" s="1"/>
  <c r="Q9" i="36" s="1"/>
  <c r="I21" i="36"/>
  <c r="P21" i="36" s="1"/>
  <c r="P22" i="36" s="1"/>
  <c r="J7" i="36"/>
  <c r="P10" i="36"/>
  <c r="J10" i="36"/>
  <c r="K10" i="36" s="1"/>
  <c r="Q10" i="36" s="1"/>
  <c r="P14" i="36"/>
  <c r="J14" i="36"/>
  <c r="K14" i="36" s="1"/>
  <c r="Q14" i="36" s="1"/>
  <c r="J12" i="36"/>
  <c r="K12" i="36" s="1"/>
  <c r="J8" i="36"/>
  <c r="K8" i="36" s="1"/>
  <c r="P11" i="36"/>
  <c r="J11" i="36"/>
  <c r="K11" i="36" s="1"/>
  <c r="Q11" i="36" s="1"/>
  <c r="N10" i="36"/>
  <c r="N11" i="36"/>
  <c r="N14" i="36"/>
  <c r="N13" i="36"/>
  <c r="N9" i="36"/>
  <c r="N7" i="36"/>
  <c r="CH21" i="34"/>
  <c r="CE21" i="34"/>
  <c r="CG22" i="34"/>
  <c r="AS2" i="34"/>
  <c r="BA6" i="34" s="1"/>
  <c r="CG8" i="34"/>
  <c r="CG10" i="34" s="1"/>
  <c r="BF224" i="27"/>
  <c r="BF225" i="27" s="1"/>
  <c r="EM63" i="24"/>
  <c r="EZ61" i="24"/>
  <c r="EZ60" i="24"/>
  <c r="FD65" i="24"/>
  <c r="FT64" i="24"/>
  <c r="FU64" i="24" s="1"/>
  <c r="FD61" i="24"/>
  <c r="EE61" i="24"/>
  <c r="EG61" i="24" s="1"/>
  <c r="EN61" i="24" s="1"/>
  <c r="EP61" i="24" s="1"/>
  <c r="EL69" i="24"/>
  <c r="EL72" i="24"/>
  <c r="EL71" i="24"/>
  <c r="FE71" i="24"/>
  <c r="FG59" i="24"/>
  <c r="FP59" i="24" s="1"/>
  <c r="EG64" i="24"/>
  <c r="EN64" i="24" s="1"/>
  <c r="EP64" i="24" s="1"/>
  <c r="FT60" i="24"/>
  <c r="FU60" i="24" s="1"/>
  <c r="FM62" i="24"/>
  <c r="ET62" i="24"/>
  <c r="FF62" i="24" s="1"/>
  <c r="EG59" i="24"/>
  <c r="EN59" i="24" s="1"/>
  <c r="EP59" i="24" s="1"/>
  <c r="ES59" i="24"/>
  <c r="EU59" i="24" s="1"/>
  <c r="FE59" i="24"/>
  <c r="FL59" i="24"/>
  <c r="EL59" i="24"/>
  <c r="EM59" i="24" s="1"/>
  <c r="FN59" i="24"/>
  <c r="FO59" i="24" s="1"/>
  <c r="EM65" i="24"/>
  <c r="FT59" i="24"/>
  <c r="FU59" i="24" s="1"/>
  <c r="FG62" i="24"/>
  <c r="FV62" i="24" s="1"/>
  <c r="FW62" i="24" s="1"/>
  <c r="EG65" i="24"/>
  <c r="EN65" i="24" s="1"/>
  <c r="FE65" i="24"/>
  <c r="EL65" i="24"/>
  <c r="FL65" i="24"/>
  <c r="ES65" i="24"/>
  <c r="EM66" i="24"/>
  <c r="FM63" i="24"/>
  <c r="FN63" i="24" s="1"/>
  <c r="FO63" i="24" s="1"/>
  <c r="ET63" i="24"/>
  <c r="FF63" i="24" s="1"/>
  <c r="EG66" i="24"/>
  <c r="EN66" i="24" s="1"/>
  <c r="EG60" i="24"/>
  <c r="EN60" i="24" s="1"/>
  <c r="EP60" i="24" s="1"/>
  <c r="EU63" i="24"/>
  <c r="ES66" i="24"/>
  <c r="FE66" i="24"/>
  <c r="FL66" i="24"/>
  <c r="EL66" i="24"/>
  <c r="EU62" i="24"/>
  <c r="FT61" i="24"/>
  <c r="FU61" i="24" s="1"/>
  <c r="FN64" i="24"/>
  <c r="FE60" i="24"/>
  <c r="FT62" i="24"/>
  <c r="FU62" i="24" s="1"/>
  <c r="FL61" i="24"/>
  <c r="FN61" i="24" s="1"/>
  <c r="ES61" i="24"/>
  <c r="EU61" i="24" s="1"/>
  <c r="EL60" i="24"/>
  <c r="EM60" i="24" s="1"/>
  <c r="FE61" i="24"/>
  <c r="FG61" i="24" s="1"/>
  <c r="FT63" i="24"/>
  <c r="FU63" i="24" s="1"/>
  <c r="ET64" i="24"/>
  <c r="FF64" i="24" s="1"/>
  <c r="EL61" i="24"/>
  <c r="EO65" i="24"/>
  <c r="ET60" i="24"/>
  <c r="FF60" i="24" s="1"/>
  <c r="FL60" i="24"/>
  <c r="FN60" i="24" s="1"/>
  <c r="FL62" i="24"/>
  <c r="EO66" i="24"/>
  <c r="ET61" i="24"/>
  <c r="FF61" i="24" s="1"/>
  <c r="EL62" i="24"/>
  <c r="EM62" i="24" s="1"/>
  <c r="FT66" i="24"/>
  <c r="FU66" i="24" s="1"/>
  <c r="EL64" i="24"/>
  <c r="EM64" i="24" s="1"/>
  <c r="FT65" i="24"/>
  <c r="FU65" i="24" s="1"/>
  <c r="EL57" i="24"/>
  <c r="EL56" i="24"/>
  <c r="EL55" i="24"/>
  <c r="ET55" i="24"/>
  <c r="FF55" i="24" s="1"/>
  <c r="FE57" i="24"/>
  <c r="EL53" i="24"/>
  <c r="FE53" i="24"/>
  <c r="FE50" i="24"/>
  <c r="EL50" i="24"/>
  <c r="EL48" i="24"/>
  <c r="FE48" i="24"/>
  <c r="EL45" i="24"/>
  <c r="FE45" i="24"/>
  <c r="EL43" i="24"/>
  <c r="FE43" i="24"/>
  <c r="EL41" i="24"/>
  <c r="EL31" i="24"/>
  <c r="FE31" i="24"/>
  <c r="EL33" i="24"/>
  <c r="FE33" i="24"/>
  <c r="FL35" i="24"/>
  <c r="FE35" i="24"/>
  <c r="EL35" i="24"/>
  <c r="EL39" i="24"/>
  <c r="FE39" i="24"/>
  <c r="BR222" i="27"/>
  <c r="BP220" i="27"/>
  <c r="BP221" i="27" s="1"/>
  <c r="BP222" i="27" s="1"/>
  <c r="BP223" i="27" s="1"/>
  <c r="BP224" i="27" s="1"/>
  <c r="BP225" i="27" s="1"/>
  <c r="BP226" i="27" s="1"/>
  <c r="BD220" i="27"/>
  <c r="BD221" i="27" s="1"/>
  <c r="BD222" i="27" s="1"/>
  <c r="BD223" i="27" s="1"/>
  <c r="BD224" i="27" s="1"/>
  <c r="BD225" i="27" s="1"/>
  <c r="BD226" i="27" s="1"/>
  <c r="BQ218" i="27"/>
  <c r="R10" i="36" l="1"/>
  <c r="S9" i="37"/>
  <c r="T9" i="37" s="1"/>
  <c r="AE9" i="37" s="1"/>
  <c r="AI9" i="37"/>
  <c r="AJ9" i="37" s="1"/>
  <c r="AL9" i="37" s="1"/>
  <c r="S11" i="37"/>
  <c r="T11" i="37" s="1"/>
  <c r="AE11" i="37" s="1"/>
  <c r="AI11" i="37"/>
  <c r="AJ11" i="37" s="1"/>
  <c r="AL11" i="37" s="1"/>
  <c r="S10" i="37"/>
  <c r="T10" i="37" s="1"/>
  <c r="AE10" i="37" s="1"/>
  <c r="AI10" i="37"/>
  <c r="AJ10" i="37" s="1"/>
  <c r="AL10" i="37" s="1"/>
  <c r="Q7" i="37"/>
  <c r="R7" i="37" s="1"/>
  <c r="K6" i="37"/>
  <c r="N28" i="37"/>
  <c r="N27" i="37"/>
  <c r="I27" i="36"/>
  <c r="J27" i="36" s="1"/>
  <c r="K27" i="36" s="1"/>
  <c r="I28" i="36"/>
  <c r="J28" i="36" s="1"/>
  <c r="K28" i="36" s="1"/>
  <c r="K7" i="36"/>
  <c r="J6" i="36"/>
  <c r="R14" i="36"/>
  <c r="AE12" i="36"/>
  <c r="AE8" i="36"/>
  <c r="R11" i="36"/>
  <c r="R13" i="36"/>
  <c r="R9" i="36"/>
  <c r="N28" i="36"/>
  <c r="N27" i="36"/>
  <c r="CH22" i="34"/>
  <c r="CG24" i="34"/>
  <c r="CE22" i="34"/>
  <c r="BC6" i="34"/>
  <c r="BE6" i="34" s="1"/>
  <c r="BD6" i="34"/>
  <c r="BF6" i="34" s="1"/>
  <c r="BA15" i="34"/>
  <c r="BA7" i="34"/>
  <c r="BA14" i="34"/>
  <c r="BA1" i="34" s="1"/>
  <c r="BA24" i="34"/>
  <c r="BA25" i="34"/>
  <c r="BA11" i="34"/>
  <c r="BA17" i="34"/>
  <c r="BA9" i="34"/>
  <c r="BA10" i="34"/>
  <c r="BA16" i="34"/>
  <c r="BA18" i="34"/>
  <c r="BA26" i="34"/>
  <c r="BA27" i="34"/>
  <c r="BA28" i="34"/>
  <c r="BA8" i="34"/>
  <c r="BA29" i="34"/>
  <c r="BA33" i="34"/>
  <c r="AO1" i="34"/>
  <c r="AN1" i="34"/>
  <c r="AP1" i="34"/>
  <c r="AM1" i="34"/>
  <c r="AQ1" i="34"/>
  <c r="AS1" i="34"/>
  <c r="AR1" i="34"/>
  <c r="FO61" i="24"/>
  <c r="EY66" i="24"/>
  <c r="EZ66" i="24" s="1"/>
  <c r="EO71" i="24"/>
  <c r="FN62" i="24"/>
  <c r="FO62" i="24" s="1"/>
  <c r="FO60" i="24"/>
  <c r="EM61" i="24"/>
  <c r="FO64" i="24"/>
  <c r="EU65" i="24"/>
  <c r="FH61" i="24"/>
  <c r="FV61" i="24"/>
  <c r="FW61" i="24" s="1"/>
  <c r="FM65" i="24"/>
  <c r="FN65" i="24" s="1"/>
  <c r="FO65" i="24" s="1"/>
  <c r="ET65" i="24"/>
  <c r="FF65" i="24" s="1"/>
  <c r="FG60" i="24"/>
  <c r="FG64" i="24"/>
  <c r="EU64" i="24"/>
  <c r="FQ61" i="24"/>
  <c r="FP61" i="24"/>
  <c r="FH59" i="24"/>
  <c r="FQ59" i="24"/>
  <c r="ET66" i="24"/>
  <c r="FF66" i="24" s="1"/>
  <c r="EU66" i="24"/>
  <c r="EU60" i="24"/>
  <c r="EP65" i="24"/>
  <c r="EP66" i="24"/>
  <c r="FH62" i="24"/>
  <c r="FQ62" i="24"/>
  <c r="FP62" i="24"/>
  <c r="FV59" i="24"/>
  <c r="FW59" i="24" s="1"/>
  <c r="FG63" i="24"/>
  <c r="BA85" i="24"/>
  <c r="DS23" i="24" s="1"/>
  <c r="BA210" i="24"/>
  <c r="DS37" i="24" s="1"/>
  <c r="EO29" i="24"/>
  <c r="EY29" i="24" s="1"/>
  <c r="FM29" i="24" s="1"/>
  <c r="EO44" i="24"/>
  <c r="EO42" i="24"/>
  <c r="EO34" i="24"/>
  <c r="ET34" i="24" s="1"/>
  <c r="FF34" i="24" s="1"/>
  <c r="EO28" i="24"/>
  <c r="FY27" i="24"/>
  <c r="FO37" i="24"/>
  <c r="FO36" i="24"/>
  <c r="EO25" i="24"/>
  <c r="EY25" i="24" s="1"/>
  <c r="FM25" i="24" s="1"/>
  <c r="FY21" i="24"/>
  <c r="EO21" i="24"/>
  <c r="EY21" i="24" s="1"/>
  <c r="FM21" i="24" s="1"/>
  <c r="FY19" i="24"/>
  <c r="EO19" i="24"/>
  <c r="EY19" i="24" s="1"/>
  <c r="FM19" i="24" s="1"/>
  <c r="DR65" i="24"/>
  <c r="DR63" i="24"/>
  <c r="DR61" i="24"/>
  <c r="DQ66" i="24"/>
  <c r="DQ64" i="24"/>
  <c r="DQ62" i="24"/>
  <c r="DQ60" i="24"/>
  <c r="DR59" i="24"/>
  <c r="DP59" i="24"/>
  <c r="DR54" i="24"/>
  <c r="DR56" i="24"/>
  <c r="DQ57" i="24"/>
  <c r="DQ55" i="24"/>
  <c r="DQ53" i="24"/>
  <c r="DR52" i="24"/>
  <c r="DP52" i="24"/>
  <c r="DQ50" i="24"/>
  <c r="DP49" i="24"/>
  <c r="DR44" i="24"/>
  <c r="FY44" i="24" s="1"/>
  <c r="DQ45" i="24"/>
  <c r="DR42" i="24"/>
  <c r="FY42" i="24" s="1"/>
  <c r="DQ43" i="24"/>
  <c r="DR34" i="24"/>
  <c r="FY34" i="24" s="1"/>
  <c r="DQ35" i="24"/>
  <c r="DR32" i="24"/>
  <c r="DQ33" i="24"/>
  <c r="D13" i="18"/>
  <c r="D16" i="18"/>
  <c r="D17" i="18" s="1"/>
  <c r="D18" i="18" s="1"/>
  <c r="D14" i="18"/>
  <c r="DR30" i="24"/>
  <c r="DQ31" i="24"/>
  <c r="DR28" i="24"/>
  <c r="DQ29" i="24"/>
  <c r="DR26" i="24"/>
  <c r="DQ27" i="24"/>
  <c r="DQ21" i="24"/>
  <c r="DR20" i="24"/>
  <c r="F225" i="27"/>
  <c r="P225" i="27" s="1"/>
  <c r="C218" i="27"/>
  <c r="O218" i="27" s="1"/>
  <c r="N220" i="27"/>
  <c r="N221" i="27" s="1"/>
  <c r="N222" i="27" s="1"/>
  <c r="N223" i="27" s="1"/>
  <c r="N224" i="27" s="1"/>
  <c r="N225" i="27" s="1"/>
  <c r="N226" i="27" s="1"/>
  <c r="B220" i="27"/>
  <c r="B221" i="27" s="1"/>
  <c r="B222" i="27" s="1"/>
  <c r="B223" i="27" s="1"/>
  <c r="B224" i="27" s="1"/>
  <c r="B225" i="27" s="1"/>
  <c r="B226" i="27" s="1"/>
  <c r="AI10" i="36" l="1"/>
  <c r="AJ10" i="36" s="1"/>
  <c r="AL10" i="36" s="1"/>
  <c r="S10" i="36"/>
  <c r="T10" i="36" s="1"/>
  <c r="AE10" i="36" s="1"/>
  <c r="S7" i="37"/>
  <c r="T7" i="37" s="1"/>
  <c r="AE7" i="37" s="1"/>
  <c r="AI7" i="37"/>
  <c r="S14" i="36"/>
  <c r="T14" i="36" s="1"/>
  <c r="AE14" i="36" s="1"/>
  <c r="AI14" i="36"/>
  <c r="AJ14" i="36" s="1"/>
  <c r="AL14" i="36" s="1"/>
  <c r="S11" i="36"/>
  <c r="T11" i="36" s="1"/>
  <c r="AE11" i="36" s="1"/>
  <c r="AI11" i="36"/>
  <c r="AJ11" i="36" s="1"/>
  <c r="AL11" i="36" s="1"/>
  <c r="S13" i="36"/>
  <c r="T13" i="36" s="1"/>
  <c r="AE13" i="36" s="1"/>
  <c r="AI13" i="36"/>
  <c r="AJ13" i="36" s="1"/>
  <c r="AL13" i="36" s="1"/>
  <c r="S9" i="36"/>
  <c r="T9" i="36" s="1"/>
  <c r="AE9" i="36" s="1"/>
  <c r="AI9" i="36"/>
  <c r="AJ9" i="36" s="1"/>
  <c r="AL9" i="36" s="1"/>
  <c r="Q7" i="36"/>
  <c r="R7" i="36" s="1"/>
  <c r="K6" i="36"/>
  <c r="CH24" i="34"/>
  <c r="CE24" i="34"/>
  <c r="CG25" i="34"/>
  <c r="BD15" i="34"/>
  <c r="BF15" i="34" s="1"/>
  <c r="BC15" i="34"/>
  <c r="BE15" i="34" s="1"/>
  <c r="BD7" i="34"/>
  <c r="BC7" i="34"/>
  <c r="BD14" i="34"/>
  <c r="BF14" i="34" s="1"/>
  <c r="BC14" i="34"/>
  <c r="BE14" i="34" s="1"/>
  <c r="BD24" i="34"/>
  <c r="BF24" i="34" s="1"/>
  <c r="BC24" i="34"/>
  <c r="BE24" i="34" s="1"/>
  <c r="BC25" i="34"/>
  <c r="BE25" i="34" s="1"/>
  <c r="BD25" i="34"/>
  <c r="BF25" i="34" s="1"/>
  <c r="BC11" i="34"/>
  <c r="BD11" i="34"/>
  <c r="BC17" i="34"/>
  <c r="BD17" i="34"/>
  <c r="BD9" i="34"/>
  <c r="BC9" i="34"/>
  <c r="BC10" i="34"/>
  <c r="BD10" i="34"/>
  <c r="BD16" i="34"/>
  <c r="BF16" i="34" s="1"/>
  <c r="BC16" i="34"/>
  <c r="BE16" i="34" s="1"/>
  <c r="BD18" i="34"/>
  <c r="BC18" i="34"/>
  <c r="BC26" i="34"/>
  <c r="BE26" i="34" s="1"/>
  <c r="BD26" i="34"/>
  <c r="BF26" i="34" s="1"/>
  <c r="BD27" i="34"/>
  <c r="BF27" i="34" s="1"/>
  <c r="BC27" i="34"/>
  <c r="BE27" i="34" s="1"/>
  <c r="BD28" i="34"/>
  <c r="BF28" i="34" s="1"/>
  <c r="BC28" i="34"/>
  <c r="BE28" i="34" s="1"/>
  <c r="BD8" i="34"/>
  <c r="BC8" i="34"/>
  <c r="BD29" i="34"/>
  <c r="BF29" i="34" s="1"/>
  <c r="BC29" i="34"/>
  <c r="BE29" i="34" s="1"/>
  <c r="BD33" i="34"/>
  <c r="BC33" i="34"/>
  <c r="AW4" i="34"/>
  <c r="AW3" i="34" s="1"/>
  <c r="AO4" i="34"/>
  <c r="AO3" i="34" s="1"/>
  <c r="AW1" i="34"/>
  <c r="AV4" i="34"/>
  <c r="AV3" i="34" s="1"/>
  <c r="AN4" i="34"/>
  <c r="AN3" i="34" s="1"/>
  <c r="AV1" i="34"/>
  <c r="AP4" i="34"/>
  <c r="AP3" i="34" s="1"/>
  <c r="AX1" i="34"/>
  <c r="AX4" i="34"/>
  <c r="AX3" i="34" s="1"/>
  <c r="AU4" i="34"/>
  <c r="AU3" i="34" s="1"/>
  <c r="AU1" i="34"/>
  <c r="AM4" i="34"/>
  <c r="AM3" i="34" s="1"/>
  <c r="AQ4" i="34"/>
  <c r="AY4" i="34"/>
  <c r="AY3" i="34" s="1"/>
  <c r="AY1" i="34"/>
  <c r="BA4" i="34"/>
  <c r="BF4" i="34" s="1"/>
  <c r="AS4" i="34"/>
  <c r="BE4" i="34" s="1"/>
  <c r="AZ1" i="34"/>
  <c r="AR4" i="34"/>
  <c r="AR3" i="34" s="1"/>
  <c r="AZ4" i="34"/>
  <c r="AZ3" i="34" s="1"/>
  <c r="ET71" i="24"/>
  <c r="EY71" i="24"/>
  <c r="FH63" i="24"/>
  <c r="FV63" i="24"/>
  <c r="FW63" i="24" s="1"/>
  <c r="FP63" i="24"/>
  <c r="FQ63" i="24"/>
  <c r="FV64" i="24"/>
  <c r="FW64" i="24" s="1"/>
  <c r="FH64" i="24"/>
  <c r="FP64" i="24"/>
  <c r="FQ64" i="24"/>
  <c r="FH60" i="24"/>
  <c r="FV60" i="24"/>
  <c r="FW60" i="24" s="1"/>
  <c r="FG65" i="24"/>
  <c r="FP60" i="24"/>
  <c r="FG66" i="24"/>
  <c r="FQ66" i="24" s="1"/>
  <c r="FQ60" i="24"/>
  <c r="FM66" i="24"/>
  <c r="FN66" i="24" s="1"/>
  <c r="ET29" i="24"/>
  <c r="FF29" i="24" s="1"/>
  <c r="EO27" i="24"/>
  <c r="EY27" i="24" s="1"/>
  <c r="FM27" i="24" s="1"/>
  <c r="ET19" i="24"/>
  <c r="FF19" i="24" s="1"/>
  <c r="ET21" i="24"/>
  <c r="FF21" i="24" s="1"/>
  <c r="ET25" i="24"/>
  <c r="FF25" i="24" s="1"/>
  <c r="EY42" i="24"/>
  <c r="FM42" i="24" s="1"/>
  <c r="ET42" i="24"/>
  <c r="FF42" i="24" s="1"/>
  <c r="EY34" i="24"/>
  <c r="FM34" i="24" s="1"/>
  <c r="AJ7" i="37" l="1"/>
  <c r="AI6" i="37"/>
  <c r="AI3" i="37" s="1"/>
  <c r="AI7" i="36"/>
  <c r="S7" i="36"/>
  <c r="T7" i="36" s="1"/>
  <c r="AE7" i="36" s="1"/>
  <c r="CH25" i="34"/>
  <c r="CE25" i="34" s="1"/>
  <c r="BQ4" i="34"/>
  <c r="BF7" i="34"/>
  <c r="BE7" i="34"/>
  <c r="BP4" i="34"/>
  <c r="BE11" i="34"/>
  <c r="BP8" i="34"/>
  <c r="BF11" i="34"/>
  <c r="BQ8" i="34"/>
  <c r="BE17" i="34"/>
  <c r="BP2" i="34"/>
  <c r="BF17" i="34"/>
  <c r="BQ2" i="34"/>
  <c r="BQ6" i="34"/>
  <c r="BF9" i="34"/>
  <c r="BP6" i="34"/>
  <c r="BE9" i="34"/>
  <c r="BE10" i="34"/>
  <c r="BP7" i="34"/>
  <c r="BF10" i="34"/>
  <c r="BQ7" i="34"/>
  <c r="BQ5" i="34"/>
  <c r="BF18" i="34"/>
  <c r="BP5" i="34"/>
  <c r="BE18" i="34"/>
  <c r="BQ3" i="34"/>
  <c r="BF8" i="34"/>
  <c r="BE8" i="34"/>
  <c r="BP3" i="34"/>
  <c r="BQ9" i="34"/>
  <c r="BF33" i="34"/>
  <c r="BP9" i="34"/>
  <c r="BE33" i="34"/>
  <c r="AQ37" i="34"/>
  <c r="AS37" i="34" s="1"/>
  <c r="AQ3" i="34"/>
  <c r="BA3" i="34"/>
  <c r="FM71" i="24"/>
  <c r="FF71" i="24"/>
  <c r="FH65" i="24"/>
  <c r="FV65" i="24"/>
  <c r="FW65" i="24" s="1"/>
  <c r="FP65" i="24"/>
  <c r="FQ65" i="24"/>
  <c r="FO66" i="24"/>
  <c r="FH66" i="24"/>
  <c r="FV66" i="24"/>
  <c r="FW66" i="24" s="1"/>
  <c r="FP66" i="24"/>
  <c r="ET27" i="24"/>
  <c r="FF27" i="24" s="1"/>
  <c r="AL7" i="37" l="1"/>
  <c r="AL6" i="37" s="1"/>
  <c r="AM6" i="37" s="1"/>
  <c r="AJ6" i="37"/>
  <c r="AJ3" i="37" s="1"/>
  <c r="AJ7" i="36"/>
  <c r="AI6" i="36"/>
  <c r="AS3" i="34"/>
  <c r="BA2" i="34"/>
  <c r="BB4" i="34" s="1"/>
  <c r="BU4" i="34"/>
  <c r="BT4" i="34"/>
  <c r="BT8" i="34"/>
  <c r="CI8" i="34" s="1"/>
  <c r="CJ8" i="34" s="1"/>
  <c r="BU8" i="34"/>
  <c r="BT2" i="34"/>
  <c r="BP10" i="34"/>
  <c r="BP1" i="34"/>
  <c r="BR7" i="34" s="1"/>
  <c r="BU2" i="34"/>
  <c r="BQ10" i="34"/>
  <c r="BQ1" i="34"/>
  <c r="BS2" i="34"/>
  <c r="BU6" i="34"/>
  <c r="BS6" i="34"/>
  <c r="BT6" i="34"/>
  <c r="CI6" i="34" s="1"/>
  <c r="CJ6" i="34" s="1"/>
  <c r="BT7" i="34"/>
  <c r="CI7" i="34" s="1"/>
  <c r="CJ7" i="34" s="1"/>
  <c r="BS7" i="34"/>
  <c r="BU7" i="34"/>
  <c r="BU5" i="34"/>
  <c r="BS5" i="34"/>
  <c r="BR5" i="34"/>
  <c r="BT5" i="34"/>
  <c r="CI5" i="34" s="1"/>
  <c r="CJ5" i="34" s="1"/>
  <c r="BS3" i="34"/>
  <c r="BU3" i="34"/>
  <c r="BT3" i="34"/>
  <c r="BR3" i="34"/>
  <c r="BS9" i="34"/>
  <c r="BU9" i="34"/>
  <c r="BR9" i="34"/>
  <c r="BT9" i="34"/>
  <c r="CI9" i="34" s="1"/>
  <c r="CJ9" i="34" s="1"/>
  <c r="R14" i="29"/>
  <c r="R12" i="29"/>
  <c r="R11" i="29"/>
  <c r="R10" i="29"/>
  <c r="R9" i="29"/>
  <c r="R14" i="33"/>
  <c r="R12" i="33"/>
  <c r="R11" i="33"/>
  <c r="R10" i="33"/>
  <c r="R9" i="33"/>
  <c r="D14" i="29"/>
  <c r="J14" i="33"/>
  <c r="D14" i="33"/>
  <c r="D14" i="30"/>
  <c r="J11" i="29"/>
  <c r="J11" i="33"/>
  <c r="J10" i="30"/>
  <c r="J12" i="30"/>
  <c r="J11" i="30"/>
  <c r="J9" i="30"/>
  <c r="H10" i="33"/>
  <c r="J10" i="33"/>
  <c r="D30" i="33"/>
  <c r="D29" i="33"/>
  <c r="D28" i="33"/>
  <c r="D27" i="33"/>
  <c r="D26" i="33"/>
  <c r="D25" i="33"/>
  <c r="D24" i="33"/>
  <c r="D23" i="33"/>
  <c r="D22" i="33"/>
  <c r="D21" i="33"/>
  <c r="D20" i="33"/>
  <c r="D18" i="33"/>
  <c r="D19" i="33" s="1"/>
  <c r="F14" i="33"/>
  <c r="H14" i="33"/>
  <c r="L13" i="33"/>
  <c r="P12" i="33"/>
  <c r="Q12" i="33" s="1"/>
  <c r="J12" i="33"/>
  <c r="F12" i="33"/>
  <c r="H12" i="33" s="1"/>
  <c r="P11" i="33"/>
  <c r="Q11" i="33" s="1"/>
  <c r="H11" i="33"/>
  <c r="G11" i="33"/>
  <c r="F11" i="33"/>
  <c r="F10" i="33"/>
  <c r="P9" i="33"/>
  <c r="Q9" i="33" s="1"/>
  <c r="J9" i="33"/>
  <c r="G9" i="33"/>
  <c r="F9" i="33"/>
  <c r="H9" i="33" s="1"/>
  <c r="C42" i="32"/>
  <c r="C43" i="32" s="1"/>
  <c r="F41" i="32"/>
  <c r="G41" i="32" s="1"/>
  <c r="S40" i="32"/>
  <c r="O40" i="32"/>
  <c r="L40" i="32"/>
  <c r="F40" i="32"/>
  <c r="G40" i="32" s="1"/>
  <c r="S39" i="32"/>
  <c r="L39" i="32"/>
  <c r="G39" i="32"/>
  <c r="F39" i="32"/>
  <c r="F42" i="32" s="1"/>
  <c r="F44" i="32" s="1"/>
  <c r="S38" i="32"/>
  <c r="O38" i="32"/>
  <c r="L38" i="32" s="1"/>
  <c r="F38" i="32"/>
  <c r="G38" i="32" s="1"/>
  <c r="S37" i="32"/>
  <c r="O37" i="32"/>
  <c r="L37" i="32"/>
  <c r="G37" i="32"/>
  <c r="F37" i="32"/>
  <c r="S36" i="32"/>
  <c r="O36" i="32"/>
  <c r="L36" i="32"/>
  <c r="G36" i="32"/>
  <c r="F36" i="32"/>
  <c r="S35" i="32"/>
  <c r="Y35" i="32" s="1"/>
  <c r="L35" i="32"/>
  <c r="F35" i="32"/>
  <c r="G35" i="32" s="1"/>
  <c r="E26" i="32"/>
  <c r="D22" i="32"/>
  <c r="C22" i="32"/>
  <c r="C21" i="32"/>
  <c r="L20" i="32"/>
  <c r="G20" i="32"/>
  <c r="F20" i="32"/>
  <c r="S19" i="32"/>
  <c r="F19" i="32"/>
  <c r="G19" i="32" s="1"/>
  <c r="E19" i="32"/>
  <c r="D19" i="32" s="1"/>
  <c r="AD18" i="32"/>
  <c r="AE18" i="32" s="1"/>
  <c r="S18" i="32"/>
  <c r="F18" i="32"/>
  <c r="G18" i="32" s="1"/>
  <c r="E18" i="32"/>
  <c r="D18" i="32" s="1"/>
  <c r="S17" i="32"/>
  <c r="F17" i="32"/>
  <c r="G17" i="32" s="1"/>
  <c r="E17" i="32"/>
  <c r="L17" i="32" s="1"/>
  <c r="D17" i="32"/>
  <c r="S16" i="32"/>
  <c r="F16" i="32"/>
  <c r="G16" i="32" s="1"/>
  <c r="L16" i="32" s="1"/>
  <c r="E16" i="32"/>
  <c r="S15" i="32"/>
  <c r="F15" i="32"/>
  <c r="G15" i="32" s="1"/>
  <c r="E15" i="32"/>
  <c r="D15" i="32" s="1"/>
  <c r="AE14" i="32"/>
  <c r="S14" i="32"/>
  <c r="F14" i="32"/>
  <c r="E14" i="32"/>
  <c r="D14" i="32"/>
  <c r="C10" i="32"/>
  <c r="C9" i="32"/>
  <c r="C11" i="32" s="1"/>
  <c r="C26" i="32" s="1"/>
  <c r="I21" i="21"/>
  <c r="AJ6" i="36" l="1"/>
  <c r="AJ3" i="36" s="1"/>
  <c r="AL7" i="36"/>
  <c r="AL6" i="36" s="1"/>
  <c r="AM6" i="36" s="1"/>
  <c r="W37" i="32"/>
  <c r="W18" i="32"/>
  <c r="W40" i="32"/>
  <c r="X40" i="32"/>
  <c r="Y40" i="32"/>
  <c r="X39" i="32"/>
  <c r="Y39" i="32"/>
  <c r="W39" i="32"/>
  <c r="Y37" i="32"/>
  <c r="X37" i="32"/>
  <c r="X36" i="32"/>
  <c r="W36" i="32"/>
  <c r="Y36" i="32"/>
  <c r="X19" i="32"/>
  <c r="Y19" i="32"/>
  <c r="W19" i="32"/>
  <c r="Y16" i="32"/>
  <c r="X16" i="32"/>
  <c r="W16" i="32"/>
  <c r="X15" i="32"/>
  <c r="Y15" i="32"/>
  <c r="W15" i="32"/>
  <c r="BB3" i="34"/>
  <c r="BR2" i="34"/>
  <c r="BR6" i="34"/>
  <c r="CB4" i="34"/>
  <c r="CC4" i="34" s="1"/>
  <c r="CI4" i="34"/>
  <c r="CJ4" i="34" s="1"/>
  <c r="CB2" i="34"/>
  <c r="BT10" i="34"/>
  <c r="CI2" i="34"/>
  <c r="CI3" i="34"/>
  <c r="CJ3" i="34" s="1"/>
  <c r="CB3" i="34"/>
  <c r="CC3" i="34" s="1"/>
  <c r="BU10" i="34"/>
  <c r="BR1" i="34"/>
  <c r="BR4" i="34"/>
  <c r="BR8" i="34"/>
  <c r="BS1" i="34"/>
  <c r="BS4" i="34"/>
  <c r="BS8" i="34"/>
  <c r="C29" i="32"/>
  <c r="L19" i="32"/>
  <c r="H19" i="32"/>
  <c r="I19" i="32" s="1"/>
  <c r="Y38" i="32"/>
  <c r="X38" i="32"/>
  <c r="W38" i="32"/>
  <c r="Y14" i="32"/>
  <c r="X14" i="32"/>
  <c r="W14" i="32"/>
  <c r="Y18" i="32"/>
  <c r="X18" i="32"/>
  <c r="F21" i="32"/>
  <c r="F23" i="32" s="1"/>
  <c r="L18" i="32"/>
  <c r="Y17" i="32"/>
  <c r="X17" i="32"/>
  <c r="W17" i="32"/>
  <c r="L41" i="32"/>
  <c r="G42" i="32"/>
  <c r="L42" i="32"/>
  <c r="L15" i="32"/>
  <c r="G14" i="32"/>
  <c r="G21" i="32" s="1"/>
  <c r="E21" i="32"/>
  <c r="E22" i="32" s="1"/>
  <c r="H14" i="32"/>
  <c r="D16" i="32"/>
  <c r="D21" i="32" s="1"/>
  <c r="D23" i="32" s="1"/>
  <c r="D24" i="32" s="1"/>
  <c r="W35" i="32"/>
  <c r="E23" i="32"/>
  <c r="X35" i="32"/>
  <c r="Z36" i="32" l="1"/>
  <c r="Z15" i="32"/>
  <c r="CC2" i="34"/>
  <c r="CC10" i="34" s="1"/>
  <c r="CB10" i="34"/>
  <c r="CJ2" i="34"/>
  <c r="CI10" i="34"/>
  <c r="CJ10" i="34" s="1"/>
  <c r="CG11" i="34"/>
  <c r="H16" i="32"/>
  <c r="R19" i="32"/>
  <c r="H20" i="32"/>
  <c r="J19" i="32"/>
  <c r="K19" i="32" s="1"/>
  <c r="L14" i="32"/>
  <c r="H41" i="32"/>
  <c r="I14" i="32"/>
  <c r="C31" i="32"/>
  <c r="C30" i="32"/>
  <c r="H18" i="32"/>
  <c r="H15" i="32"/>
  <c r="H21" i="32" s="1"/>
  <c r="H17" i="32"/>
  <c r="J14" i="32"/>
  <c r="AB36" i="32" l="1"/>
  <c r="AA36" i="32"/>
  <c r="Z37" i="32"/>
  <c r="AB15" i="32"/>
  <c r="AA15" i="32"/>
  <c r="Z16" i="32"/>
  <c r="N19" i="32"/>
  <c r="M19" i="32"/>
  <c r="I17" i="32"/>
  <c r="J17" i="32"/>
  <c r="T19" i="32"/>
  <c r="U19" i="32" s="1"/>
  <c r="I18" i="32"/>
  <c r="J18" i="32"/>
  <c r="I20" i="32"/>
  <c r="K20" i="32" s="1"/>
  <c r="J20" i="32"/>
  <c r="I41" i="32"/>
  <c r="J41" i="32"/>
  <c r="I15" i="32"/>
  <c r="I21" i="32" s="1"/>
  <c r="J15" i="32"/>
  <c r="J21" i="32" s="1"/>
  <c r="K14" i="32"/>
  <c r="M14" i="32" s="1"/>
  <c r="R14" i="32"/>
  <c r="I16" i="32"/>
  <c r="J16" i="32"/>
  <c r="L21" i="32"/>
  <c r="Z38" i="32" l="1"/>
  <c r="AA37" i="32"/>
  <c r="AB37" i="32"/>
  <c r="Z17" i="32"/>
  <c r="AA16" i="32"/>
  <c r="AB16" i="32"/>
  <c r="K41" i="32"/>
  <c r="AA38" i="32"/>
  <c r="Z39" i="32"/>
  <c r="AB38" i="32"/>
  <c r="N20" i="32"/>
  <c r="P20" i="32" s="1"/>
  <c r="Q20" i="32" s="1"/>
  <c r="M20" i="32"/>
  <c r="R15" i="32"/>
  <c r="K15" i="32"/>
  <c r="AA17" i="32"/>
  <c r="Z18" i="32"/>
  <c r="AB17" i="32"/>
  <c r="K18" i="32"/>
  <c r="R18" i="32"/>
  <c r="R16" i="32"/>
  <c r="K16" i="32"/>
  <c r="K17" i="32"/>
  <c r="R17" i="32"/>
  <c r="V14" i="32"/>
  <c r="T14" i="32"/>
  <c r="U14" i="32" s="1"/>
  <c r="N14" i="32"/>
  <c r="E40" i="32"/>
  <c r="P19" i="32"/>
  <c r="Q19" i="32" s="1"/>
  <c r="V18" i="32" l="1"/>
  <c r="T18" i="32"/>
  <c r="U18" i="32" s="1"/>
  <c r="N15" i="32"/>
  <c r="M15" i="32"/>
  <c r="AB18" i="32"/>
  <c r="AA18" i="32"/>
  <c r="Z19" i="32"/>
  <c r="E35" i="32"/>
  <c r="P14" i="32"/>
  <c r="Q14" i="32" s="1"/>
  <c r="N21" i="32"/>
  <c r="P21" i="32" s="1"/>
  <c r="T15" i="32"/>
  <c r="U15" i="32" s="1"/>
  <c r="V15" i="32"/>
  <c r="K21" i="32"/>
  <c r="N18" i="32"/>
  <c r="M18" i="32"/>
  <c r="V17" i="32"/>
  <c r="T17" i="32"/>
  <c r="U17" i="32" s="1"/>
  <c r="AB39" i="32"/>
  <c r="AA39" i="32"/>
  <c r="Z40" i="32"/>
  <c r="N17" i="32"/>
  <c r="M17" i="32"/>
  <c r="N16" i="32"/>
  <c r="M16" i="32"/>
  <c r="N41" i="32"/>
  <c r="P41" i="32" s="1"/>
  <c r="Q41" i="32" s="1"/>
  <c r="M41" i="32"/>
  <c r="V16" i="32"/>
  <c r="T16" i="32"/>
  <c r="U16" i="32" s="1"/>
  <c r="V19" i="32"/>
  <c r="N22" i="32" l="1"/>
  <c r="P22" i="32" s="1"/>
  <c r="E37" i="32"/>
  <c r="P16" i="32"/>
  <c r="Q16" i="32" s="1"/>
  <c r="AB19" i="32"/>
  <c r="AA19" i="32"/>
  <c r="AB40" i="32"/>
  <c r="AA40" i="32"/>
  <c r="M21" i="32"/>
  <c r="P17" i="32"/>
  <c r="Q17" i="32" s="1"/>
  <c r="E38" i="32"/>
  <c r="E36" i="32"/>
  <c r="H36" i="32" s="1"/>
  <c r="P15" i="32"/>
  <c r="Q15" i="32" s="1"/>
  <c r="H40" i="32"/>
  <c r="P18" i="32"/>
  <c r="Q18" i="32" s="1"/>
  <c r="E39" i="32"/>
  <c r="I40" i="32" l="1"/>
  <c r="J40" i="32"/>
  <c r="I36" i="32"/>
  <c r="J36" i="32"/>
  <c r="H38" i="32"/>
  <c r="H35" i="32"/>
  <c r="H39" i="32"/>
  <c r="H37" i="32"/>
  <c r="I39" i="32" l="1"/>
  <c r="J39" i="32"/>
  <c r="I38" i="32"/>
  <c r="J38" i="32"/>
  <c r="I37" i="32"/>
  <c r="J37" i="32"/>
  <c r="R36" i="32"/>
  <c r="K36" i="32"/>
  <c r="N36" i="32" s="1"/>
  <c r="H42" i="32"/>
  <c r="I35" i="32"/>
  <c r="J35" i="32"/>
  <c r="J42" i="32" s="1"/>
  <c r="R40" i="32"/>
  <c r="K40" i="32"/>
  <c r="N40" i="32" s="1"/>
  <c r="R37" i="32" l="1"/>
  <c r="K37" i="32"/>
  <c r="N37" i="32" s="1"/>
  <c r="V40" i="32"/>
  <c r="T40" i="32"/>
  <c r="U40" i="32" s="1"/>
  <c r="K35" i="32"/>
  <c r="I42" i="32"/>
  <c r="R35" i="32"/>
  <c r="T36" i="32"/>
  <c r="U36" i="32" s="1"/>
  <c r="V36" i="32"/>
  <c r="M40" i="32"/>
  <c r="P40" i="32"/>
  <c r="Q40" i="32" s="1"/>
  <c r="P36" i="32"/>
  <c r="Q36" i="32" s="1"/>
  <c r="M36" i="32"/>
  <c r="K38" i="32"/>
  <c r="N38" i="32" s="1"/>
  <c r="R38" i="32"/>
  <c r="R39" i="32"/>
  <c r="K39" i="32"/>
  <c r="N39" i="32" s="1"/>
  <c r="P38" i="32" l="1"/>
  <c r="Q38" i="32" s="1"/>
  <c r="M38" i="32"/>
  <c r="V35" i="32"/>
  <c r="T35" i="32"/>
  <c r="U35" i="32" s="1"/>
  <c r="K42" i="32"/>
  <c r="N35" i="32"/>
  <c r="P39" i="32"/>
  <c r="Q39" i="32" s="1"/>
  <c r="M39" i="32"/>
  <c r="V39" i="32"/>
  <c r="T39" i="32"/>
  <c r="U39" i="32" s="1"/>
  <c r="M37" i="32"/>
  <c r="P37" i="32"/>
  <c r="Q37" i="32" s="1"/>
  <c r="V38" i="32"/>
  <c r="T38" i="32"/>
  <c r="U38" i="32" s="1"/>
  <c r="V37" i="32"/>
  <c r="T37" i="32"/>
  <c r="U37" i="32" s="1"/>
  <c r="P35" i="32" l="1"/>
  <c r="Q35" i="32" s="1"/>
  <c r="M35" i="32"/>
  <c r="M42" i="32" s="1"/>
  <c r="CT30" i="24" l="1"/>
  <c r="CT32" i="24" l="1"/>
  <c r="CU32" i="24" s="1"/>
  <c r="CI28" i="24"/>
  <c r="CI30" i="24"/>
  <c r="CO29" i="24"/>
  <c r="CO31" i="24" s="1"/>
  <c r="AO7" i="15"/>
  <c r="AN7" i="15"/>
  <c r="AK7" i="15"/>
  <c r="V8" i="15"/>
  <c r="X8" i="15"/>
  <c r="X7" i="15"/>
  <c r="AG8" i="9"/>
  <c r="AG7" i="9"/>
  <c r="C21" i="31"/>
  <c r="C22" i="31"/>
  <c r="C10" i="31"/>
  <c r="C11" i="31"/>
  <c r="CQ31" i="24" l="1"/>
  <c r="CR31" i="24"/>
  <c r="CI31" i="24"/>
  <c r="CK31" i="24" s="1"/>
  <c r="BP128" i="27"/>
  <c r="BP129" i="27" s="1"/>
  <c r="BP130" i="27" s="1"/>
  <c r="BP131" i="27" s="1"/>
  <c r="BP132" i="27" s="1"/>
  <c r="BP133" i="27" s="1"/>
  <c r="BP134" i="27" s="1"/>
  <c r="BP83" i="27"/>
  <c r="BP84" i="27" s="1"/>
  <c r="BP85" i="27" s="1"/>
  <c r="BP86" i="27" s="1"/>
  <c r="BP87" i="27" s="1"/>
  <c r="BP88" i="27" s="1"/>
  <c r="BP89" i="27" s="1"/>
  <c r="BP47" i="27"/>
  <c r="BP48" i="27" s="1"/>
  <c r="BP49" i="27" s="1"/>
  <c r="BP50" i="27" s="1"/>
  <c r="BP51" i="27" s="1"/>
  <c r="BP52" i="27" s="1"/>
  <c r="BP53" i="27" s="1"/>
  <c r="BP8" i="27"/>
  <c r="BP9" i="27" s="1"/>
  <c r="BP10" i="27" s="1"/>
  <c r="BP11" i="27" s="1"/>
  <c r="BP12" i="27" s="1"/>
  <c r="BP13" i="27" s="1"/>
  <c r="BP14" i="27" s="1"/>
  <c r="E26" i="31"/>
  <c r="E26" i="28"/>
  <c r="F26" i="31" s="1"/>
  <c r="G10" i="30"/>
  <c r="G9" i="30"/>
  <c r="D22" i="31"/>
  <c r="D13" i="31"/>
  <c r="D15" i="31"/>
  <c r="D14" i="28"/>
  <c r="D21" i="28" s="1"/>
  <c r="D23" i="28" s="1"/>
  <c r="D24" i="28" s="1"/>
  <c r="D15" i="28"/>
  <c r="D16" i="28"/>
  <c r="D17" i="28"/>
  <c r="D18" i="28"/>
  <c r="D19" i="28"/>
  <c r="D22" i="28"/>
  <c r="G30" i="21"/>
  <c r="H10" i="30"/>
  <c r="E19" i="31"/>
  <c r="E18" i="31"/>
  <c r="E17" i="31"/>
  <c r="L17" i="31" s="1"/>
  <c r="E16" i="31"/>
  <c r="D16" i="31" s="1"/>
  <c r="E15" i="31"/>
  <c r="L15" i="31" s="1"/>
  <c r="E14" i="31"/>
  <c r="G11" i="30"/>
  <c r="C42" i="31"/>
  <c r="C43" i="31" s="1"/>
  <c r="F41" i="31"/>
  <c r="G41" i="31" s="1"/>
  <c r="S40" i="31"/>
  <c r="O40" i="31"/>
  <c r="F40" i="31"/>
  <c r="G40" i="31" s="1"/>
  <c r="S39" i="31"/>
  <c r="L39" i="31"/>
  <c r="F39" i="31"/>
  <c r="G39" i="31" s="1"/>
  <c r="S38" i="31"/>
  <c r="O38" i="31"/>
  <c r="L38" i="31" s="1"/>
  <c r="F38" i="31"/>
  <c r="G38" i="31" s="1"/>
  <c r="S37" i="31"/>
  <c r="O37" i="31"/>
  <c r="L37" i="31"/>
  <c r="F37" i="31"/>
  <c r="G37" i="31" s="1"/>
  <c r="S36" i="31"/>
  <c r="O36" i="31"/>
  <c r="L36" i="31"/>
  <c r="F36" i="31"/>
  <c r="S35" i="31"/>
  <c r="L35" i="31"/>
  <c r="F35" i="31"/>
  <c r="G35" i="31" s="1"/>
  <c r="G20" i="31"/>
  <c r="L20" i="31" s="1"/>
  <c r="F20" i="31"/>
  <c r="S19" i="31"/>
  <c r="F19" i="31"/>
  <c r="G19" i="31" s="1"/>
  <c r="AD18" i="31"/>
  <c r="AE18" i="31" s="1"/>
  <c r="S18" i="31"/>
  <c r="L18" i="31"/>
  <c r="F18" i="31"/>
  <c r="G18" i="31" s="1"/>
  <c r="S17" i="31"/>
  <c r="G17" i="31"/>
  <c r="F17" i="31"/>
  <c r="S16" i="31"/>
  <c r="W14" i="31" s="1"/>
  <c r="G16" i="31"/>
  <c r="F16" i="31"/>
  <c r="S15" i="31"/>
  <c r="Y15" i="31" s="1"/>
  <c r="F15" i="31"/>
  <c r="G15" i="31" s="1"/>
  <c r="AE14" i="31"/>
  <c r="S14" i="31"/>
  <c r="F14" i="31"/>
  <c r="C26" i="31"/>
  <c r="C9" i="31"/>
  <c r="D30" i="30"/>
  <c r="D29" i="30"/>
  <c r="D28" i="30"/>
  <c r="D27" i="30"/>
  <c r="D26" i="30"/>
  <c r="D25" i="30"/>
  <c r="D24" i="30"/>
  <c r="D23" i="30"/>
  <c r="D22" i="30"/>
  <c r="D21" i="30"/>
  <c r="D20" i="30"/>
  <c r="D18" i="30"/>
  <c r="D19" i="30" s="1"/>
  <c r="F14" i="30"/>
  <c r="H14" i="30" s="1"/>
  <c r="L13" i="30"/>
  <c r="P12" i="30"/>
  <c r="Q12" i="30" s="1"/>
  <c r="F12" i="30"/>
  <c r="H12" i="30" s="1"/>
  <c r="P11" i="30"/>
  <c r="Q11" i="30" s="1"/>
  <c r="F11" i="30"/>
  <c r="F10" i="30"/>
  <c r="P9" i="30"/>
  <c r="Q9" i="30" s="1"/>
  <c r="F9" i="30"/>
  <c r="H9" i="30" s="1"/>
  <c r="G28" i="21"/>
  <c r="H28" i="21" s="1"/>
  <c r="D27" i="21"/>
  <c r="E23" i="28"/>
  <c r="E19" i="28"/>
  <c r="L19" i="28" s="1"/>
  <c r="E18" i="28"/>
  <c r="E21" i="28" s="1"/>
  <c r="E22" i="28" s="1"/>
  <c r="E17" i="28"/>
  <c r="E16" i="28"/>
  <c r="L16" i="28" s="1"/>
  <c r="E15" i="28"/>
  <c r="E14" i="28"/>
  <c r="G9" i="29"/>
  <c r="G11" i="29"/>
  <c r="D30" i="29"/>
  <c r="D29" i="29"/>
  <c r="D28" i="29"/>
  <c r="D27" i="29"/>
  <c r="D26" i="29"/>
  <c r="D25" i="29"/>
  <c r="D24" i="29"/>
  <c r="D23" i="29"/>
  <c r="D22" i="29"/>
  <c r="D21" i="29"/>
  <c r="D20" i="29"/>
  <c r="D18" i="29"/>
  <c r="D19" i="29" s="1"/>
  <c r="J14" i="29"/>
  <c r="L13" i="29"/>
  <c r="P12" i="29"/>
  <c r="Q12" i="29" s="1"/>
  <c r="J12" i="29"/>
  <c r="F12" i="29"/>
  <c r="H12" i="29" s="1"/>
  <c r="P11" i="29"/>
  <c r="Q11" i="29" s="1"/>
  <c r="F11" i="29"/>
  <c r="J10" i="29"/>
  <c r="F10" i="29"/>
  <c r="H10" i="29" s="1"/>
  <c r="P9" i="29"/>
  <c r="Q9" i="29" s="1"/>
  <c r="F9" i="29"/>
  <c r="C42" i="28"/>
  <c r="C43" i="28" s="1"/>
  <c r="F41" i="28"/>
  <c r="G41" i="28" s="1"/>
  <c r="X40" i="28"/>
  <c r="S40" i="28"/>
  <c r="Y40" i="28" s="1"/>
  <c r="O40" i="28"/>
  <c r="G40" i="28"/>
  <c r="F40" i="28"/>
  <c r="X39" i="28"/>
  <c r="S39" i="28"/>
  <c r="Y39" i="28" s="1"/>
  <c r="L39" i="28"/>
  <c r="F39" i="28"/>
  <c r="G39" i="28" s="1"/>
  <c r="S38" i="28"/>
  <c r="F38" i="28"/>
  <c r="G38" i="28" s="1"/>
  <c r="S37" i="28"/>
  <c r="O37" i="28"/>
  <c r="O38" i="28" s="1"/>
  <c r="L37" i="28"/>
  <c r="F37" i="28"/>
  <c r="G37" i="28" s="1"/>
  <c r="S36" i="28"/>
  <c r="O36" i="28"/>
  <c r="L36" i="28"/>
  <c r="F36" i="28"/>
  <c r="S35" i="28"/>
  <c r="Y35" i="28" s="1"/>
  <c r="L35" i="28"/>
  <c r="F35" i="28"/>
  <c r="G35" i="28" s="1"/>
  <c r="C21" i="28"/>
  <c r="C22" i="28" s="1"/>
  <c r="F20" i="28"/>
  <c r="G20" i="28" s="1"/>
  <c r="L20" i="28" s="1"/>
  <c r="Y19" i="28"/>
  <c r="S19" i="28"/>
  <c r="F19" i="28"/>
  <c r="G19" i="28" s="1"/>
  <c r="AD18" i="28"/>
  <c r="AE18" i="28" s="1"/>
  <c r="Y18" i="28"/>
  <c r="X18" i="28"/>
  <c r="S18" i="28"/>
  <c r="F18" i="28"/>
  <c r="G18" i="28" s="1"/>
  <c r="S17" i="28"/>
  <c r="F17" i="28"/>
  <c r="G17" i="28" s="1"/>
  <c r="S16" i="28"/>
  <c r="F16" i="28"/>
  <c r="G16" i="28" s="1"/>
  <c r="S15" i="28"/>
  <c r="F15" i="28"/>
  <c r="F21" i="28" s="1"/>
  <c r="F23" i="28" s="1"/>
  <c r="AE14" i="28"/>
  <c r="S14" i="28"/>
  <c r="F14" i="28"/>
  <c r="G14" i="28" s="1"/>
  <c r="L14" i="28" s="1"/>
  <c r="C9" i="28"/>
  <c r="E24" i="32"/>
  <c r="E25" i="32" s="1"/>
  <c r="H23" i="21"/>
  <c r="F22" i="21"/>
  <c r="H22" i="21"/>
  <c r="F17" i="21"/>
  <c r="W39" i="28" l="1"/>
  <c r="W37" i="28"/>
  <c r="X40" i="31"/>
  <c r="Y40" i="31"/>
  <c r="X39" i="31"/>
  <c r="Y39" i="31"/>
  <c r="X37" i="31"/>
  <c r="Y37" i="31"/>
  <c r="Y36" i="31"/>
  <c r="X36" i="31"/>
  <c r="X17" i="31"/>
  <c r="Y17" i="31"/>
  <c r="Y14" i="31"/>
  <c r="X14" i="31"/>
  <c r="Y37" i="28"/>
  <c r="X37" i="28"/>
  <c r="Y36" i="28"/>
  <c r="X36" i="28"/>
  <c r="W36" i="28"/>
  <c r="X16" i="28"/>
  <c r="W40" i="28"/>
  <c r="W18" i="28"/>
  <c r="Y16" i="28"/>
  <c r="W16" i="28"/>
  <c r="X15" i="28"/>
  <c r="W15" i="28"/>
  <c r="Y15" i="28"/>
  <c r="X14" i="28"/>
  <c r="Y14" i="28"/>
  <c r="W14" i="28"/>
  <c r="G26" i="31"/>
  <c r="F27" i="31" s="1"/>
  <c r="E24" i="31"/>
  <c r="E24" i="28"/>
  <c r="E25" i="28" s="1"/>
  <c r="CL31" i="24"/>
  <c r="CT31" i="24" s="1"/>
  <c r="CU30" i="24" s="1"/>
  <c r="H24" i="21"/>
  <c r="D17" i="31"/>
  <c r="D18" i="31"/>
  <c r="D19" i="31"/>
  <c r="D14" i="31"/>
  <c r="J14" i="30"/>
  <c r="H11" i="30"/>
  <c r="Z36" i="31"/>
  <c r="Z15" i="31"/>
  <c r="H17" i="31"/>
  <c r="I17" i="31" s="1"/>
  <c r="C29" i="31"/>
  <c r="E23" i="31"/>
  <c r="E25" i="31" s="1"/>
  <c r="L14" i="31"/>
  <c r="E21" i="31"/>
  <c r="E22" i="31" s="1"/>
  <c r="H14" i="31"/>
  <c r="X15" i="31"/>
  <c r="W15" i="31"/>
  <c r="L19" i="31"/>
  <c r="Y16" i="31"/>
  <c r="W40" i="31"/>
  <c r="W39" i="31"/>
  <c r="W19" i="31"/>
  <c r="W36" i="31"/>
  <c r="W16" i="31"/>
  <c r="W17" i="31"/>
  <c r="X16" i="31"/>
  <c r="H20" i="31"/>
  <c r="I20" i="31" s="1"/>
  <c r="L41" i="31"/>
  <c r="F42" i="31"/>
  <c r="F44" i="31" s="1"/>
  <c r="Y35" i="31"/>
  <c r="X35" i="31"/>
  <c r="W35" i="31"/>
  <c r="L40" i="31"/>
  <c r="L16" i="31"/>
  <c r="Y18" i="31"/>
  <c r="X18" i="31"/>
  <c r="W18" i="31"/>
  <c r="Y19" i="31"/>
  <c r="X19" i="31"/>
  <c r="F21" i="31"/>
  <c r="F23" i="31" s="1"/>
  <c r="G14" i="31"/>
  <c r="G21" i="31" s="1"/>
  <c r="G36" i="31"/>
  <c r="G42" i="31" s="1"/>
  <c r="W37" i="31"/>
  <c r="Y38" i="31"/>
  <c r="X38" i="31"/>
  <c r="W38" i="31"/>
  <c r="H18" i="31"/>
  <c r="I18" i="31" s="1"/>
  <c r="L18" i="28"/>
  <c r="F14" i="29"/>
  <c r="H14" i="29" s="1"/>
  <c r="H11" i="29"/>
  <c r="Y17" i="28"/>
  <c r="X17" i="28"/>
  <c r="W17" i="28"/>
  <c r="L38" i="28"/>
  <c r="L17" i="28"/>
  <c r="H17" i="28"/>
  <c r="I17" i="28" s="1"/>
  <c r="H16" i="28"/>
  <c r="I16" i="28" s="1"/>
  <c r="F42" i="28"/>
  <c r="F44" i="28" s="1"/>
  <c r="L41" i="28"/>
  <c r="H41" i="28"/>
  <c r="I41" i="28" s="1"/>
  <c r="H14" i="28"/>
  <c r="G15" i="28"/>
  <c r="G21" i="28" s="1"/>
  <c r="X19" i="28"/>
  <c r="W19" i="28"/>
  <c r="G36" i="28"/>
  <c r="G42" i="28" s="1"/>
  <c r="L40" i="28"/>
  <c r="X35" i="28"/>
  <c r="W35" i="28"/>
  <c r="C11" i="28"/>
  <c r="C26" i="28" s="1"/>
  <c r="C10" i="28"/>
  <c r="Y38" i="28"/>
  <c r="X38" i="28"/>
  <c r="W38" i="28"/>
  <c r="H19" i="28"/>
  <c r="I19" i="28" s="1"/>
  <c r="Z36" i="28" l="1"/>
  <c r="Z15" i="28"/>
  <c r="E27" i="31"/>
  <c r="G27" i="31"/>
  <c r="CU31" i="24"/>
  <c r="D21" i="31"/>
  <c r="D23" i="31" s="1"/>
  <c r="J17" i="31"/>
  <c r="K17" i="31" s="1"/>
  <c r="C31" i="31"/>
  <c r="C30" i="31"/>
  <c r="L21" i="31"/>
  <c r="J18" i="31"/>
  <c r="H15" i="31"/>
  <c r="R18" i="31"/>
  <c r="K18" i="31"/>
  <c r="I14" i="31"/>
  <c r="R17" i="31"/>
  <c r="H19" i="31"/>
  <c r="J20" i="31"/>
  <c r="K20" i="31" s="1"/>
  <c r="Z16" i="31"/>
  <c r="AA15" i="31"/>
  <c r="AB15" i="31"/>
  <c r="H16" i="31"/>
  <c r="Z37" i="31"/>
  <c r="AA36" i="31"/>
  <c r="AB36" i="31"/>
  <c r="J14" i="31"/>
  <c r="L42" i="31"/>
  <c r="H41" i="31"/>
  <c r="I14" i="28"/>
  <c r="J41" i="28"/>
  <c r="K41" i="28" s="1"/>
  <c r="J17" i="28"/>
  <c r="K17" i="28" s="1"/>
  <c r="J16" i="28"/>
  <c r="K16" i="28" s="1"/>
  <c r="J14" i="28"/>
  <c r="J19" i="28"/>
  <c r="K19" i="28" s="1"/>
  <c r="C29" i="28"/>
  <c r="R16" i="28"/>
  <c r="R17" i="28"/>
  <c r="R19" i="28"/>
  <c r="L42" i="28"/>
  <c r="L15" i="28"/>
  <c r="H18" i="28"/>
  <c r="I18" i="28" s="1"/>
  <c r="H15" i="28"/>
  <c r="I15" i="28" s="1"/>
  <c r="H20" i="28"/>
  <c r="I20" i="28" s="1"/>
  <c r="AA36" i="28" l="1"/>
  <c r="AB36" i="28"/>
  <c r="Z37" i="28"/>
  <c r="AB15" i="28"/>
  <c r="Z16" i="28"/>
  <c r="AA15" i="28"/>
  <c r="D24" i="31"/>
  <c r="H21" i="31"/>
  <c r="N17" i="31"/>
  <c r="M17" i="31"/>
  <c r="T17" i="31"/>
  <c r="U17" i="31" s="1"/>
  <c r="N20" i="31"/>
  <c r="P20" i="31" s="1"/>
  <c r="Q20" i="31" s="1"/>
  <c r="M20" i="31"/>
  <c r="R14" i="31"/>
  <c r="K14" i="31"/>
  <c r="N18" i="31"/>
  <c r="M18" i="31"/>
  <c r="Z38" i="31"/>
  <c r="AB37" i="31"/>
  <c r="AA37" i="31"/>
  <c r="T18" i="31"/>
  <c r="U18" i="31" s="1"/>
  <c r="I16" i="31"/>
  <c r="J16" i="31"/>
  <c r="I15" i="31"/>
  <c r="J15" i="31"/>
  <c r="AB16" i="31"/>
  <c r="AA16" i="31"/>
  <c r="Z17" i="31"/>
  <c r="I41" i="31"/>
  <c r="J41" i="31"/>
  <c r="I19" i="31"/>
  <c r="J19" i="31"/>
  <c r="J15" i="28"/>
  <c r="K15" i="28" s="1"/>
  <c r="J18" i="28"/>
  <c r="K18" i="28" s="1"/>
  <c r="N16" i="28"/>
  <c r="M16" i="28"/>
  <c r="N41" i="28"/>
  <c r="P41" i="28" s="1"/>
  <c r="Q41" i="28" s="1"/>
  <c r="M41" i="28"/>
  <c r="N17" i="28"/>
  <c r="M17" i="28"/>
  <c r="C31" i="28"/>
  <c r="C30" i="28"/>
  <c r="L21" i="28"/>
  <c r="R15" i="28"/>
  <c r="R18" i="28"/>
  <c r="V19" i="28"/>
  <c r="T19" i="28"/>
  <c r="U19" i="28" s="1"/>
  <c r="H21" i="28"/>
  <c r="N19" i="28"/>
  <c r="M19" i="28"/>
  <c r="I21" i="28"/>
  <c r="K14" i="28"/>
  <c r="R14" i="28"/>
  <c r="V17" i="28"/>
  <c r="T17" i="28"/>
  <c r="U17" i="28" s="1"/>
  <c r="J20" i="28"/>
  <c r="K20" i="28" s="1"/>
  <c r="V16" i="28"/>
  <c r="T16" i="28"/>
  <c r="U16" i="28" s="1"/>
  <c r="AB37" i="28" l="1"/>
  <c r="AA37" i="28"/>
  <c r="Z38" i="28"/>
  <c r="Z17" i="28"/>
  <c r="AB16" i="28"/>
  <c r="AA16" i="28"/>
  <c r="I21" i="31"/>
  <c r="J21" i="31"/>
  <c r="AA38" i="31"/>
  <c r="AB38" i="31"/>
  <c r="Z39" i="31"/>
  <c r="P18" i="31"/>
  <c r="Q18" i="31" s="1"/>
  <c r="E39" i="31"/>
  <c r="AB17" i="31"/>
  <c r="AA17" i="31"/>
  <c r="Z18" i="31"/>
  <c r="N14" i="31"/>
  <c r="M14" i="31"/>
  <c r="T14" i="31"/>
  <c r="U14" i="31" s="1"/>
  <c r="V14" i="31"/>
  <c r="K15" i="31"/>
  <c r="R15" i="31"/>
  <c r="K19" i="31"/>
  <c r="R19" i="31"/>
  <c r="K16" i="31"/>
  <c r="R16" i="31"/>
  <c r="K41" i="31"/>
  <c r="P17" i="31"/>
  <c r="Q17" i="31" s="1"/>
  <c r="E38" i="31"/>
  <c r="N15" i="28"/>
  <c r="E36" i="28" s="1"/>
  <c r="M15" i="28"/>
  <c r="J21" i="28"/>
  <c r="N20" i="28"/>
  <c r="P20" i="28" s="1"/>
  <c r="Q20" i="28" s="1"/>
  <c r="M20" i="28"/>
  <c r="E40" i="28"/>
  <c r="P19" i="28"/>
  <c r="Q19" i="28" s="1"/>
  <c r="N18" i="28"/>
  <c r="M18" i="28"/>
  <c r="V18" i="28"/>
  <c r="T18" i="28"/>
  <c r="U18" i="28" s="1"/>
  <c r="P17" i="28"/>
  <c r="Q17" i="28" s="1"/>
  <c r="E38" i="28"/>
  <c r="T15" i="28"/>
  <c r="U15" i="28" s="1"/>
  <c r="V15" i="28"/>
  <c r="K21" i="28"/>
  <c r="N14" i="28"/>
  <c r="M14" i="28"/>
  <c r="V14" i="28"/>
  <c r="T14" i="28"/>
  <c r="U14" i="28" s="1"/>
  <c r="E37" i="28"/>
  <c r="P16" i="28"/>
  <c r="Q16" i="28" s="1"/>
  <c r="AB38" i="28" l="1"/>
  <c r="Z39" i="28"/>
  <c r="AA38" i="28"/>
  <c r="AB17" i="28"/>
  <c r="AA17" i="28"/>
  <c r="Z18" i="28"/>
  <c r="Z19" i="31"/>
  <c r="AB18" i="31"/>
  <c r="AA18" i="31"/>
  <c r="N41" i="31"/>
  <c r="P41" i="31" s="1"/>
  <c r="Q41" i="31" s="1"/>
  <c r="M41" i="31"/>
  <c r="V16" i="31"/>
  <c r="T16" i="31"/>
  <c r="U16" i="31" s="1"/>
  <c r="V17" i="31"/>
  <c r="V18" i="31"/>
  <c r="N15" i="31"/>
  <c r="M15" i="31"/>
  <c r="K21" i="31"/>
  <c r="P14" i="31"/>
  <c r="Q14" i="31" s="1"/>
  <c r="E35" i="31"/>
  <c r="N16" i="31"/>
  <c r="M16" i="31"/>
  <c r="V19" i="31"/>
  <c r="T19" i="31"/>
  <c r="U19" i="31" s="1"/>
  <c r="AB39" i="31"/>
  <c r="AA39" i="31"/>
  <c r="Z40" i="31"/>
  <c r="N19" i="31"/>
  <c r="M19" i="31"/>
  <c r="V15" i="31"/>
  <c r="T15" i="31"/>
  <c r="U15" i="31" s="1"/>
  <c r="P15" i="28"/>
  <c r="Q15" i="28" s="1"/>
  <c r="M21" i="28"/>
  <c r="E39" i="28"/>
  <c r="P18" i="28"/>
  <c r="Q18" i="28" s="1"/>
  <c r="N21" i="28"/>
  <c r="P21" i="28" s="1"/>
  <c r="P14" i="28"/>
  <c r="Q14" i="28" s="1"/>
  <c r="E35" i="28"/>
  <c r="Z40" i="28" l="1"/>
  <c r="AA39" i="28"/>
  <c r="AB39" i="28"/>
  <c r="Z19" i="28"/>
  <c r="AA18" i="28"/>
  <c r="AB18" i="28"/>
  <c r="M21" i="31"/>
  <c r="E40" i="31"/>
  <c r="P19" i="31"/>
  <c r="Q19" i="31" s="1"/>
  <c r="E36" i="31"/>
  <c r="P15" i="31"/>
  <c r="Q15" i="31" s="1"/>
  <c r="AB40" i="31"/>
  <c r="AA40" i="31"/>
  <c r="E37" i="31"/>
  <c r="P16" i="31"/>
  <c r="Q16" i="31" s="1"/>
  <c r="N21" i="31"/>
  <c r="P21" i="31" s="1"/>
  <c r="AB19" i="31"/>
  <c r="AA19" i="31"/>
  <c r="H40" i="28"/>
  <c r="I40" i="28" s="1"/>
  <c r="H38" i="28"/>
  <c r="J38" i="28" s="1"/>
  <c r="N22" i="28"/>
  <c r="P22" i="28" s="1"/>
  <c r="H35" i="28"/>
  <c r="J35" i="28" s="1"/>
  <c r="H36" i="28"/>
  <c r="I36" i="28" s="1"/>
  <c r="J40" i="28"/>
  <c r="H37" i="28"/>
  <c r="H39" i="28"/>
  <c r="AA40" i="28" l="1"/>
  <c r="AB40" i="28"/>
  <c r="AB19" i="28"/>
  <c r="AA19" i="28"/>
  <c r="H35" i="31"/>
  <c r="I35" i="31" s="1"/>
  <c r="H37" i="31"/>
  <c r="I37" i="31" s="1"/>
  <c r="H36" i="31"/>
  <c r="H40" i="31"/>
  <c r="N22" i="31"/>
  <c r="P22" i="31" s="1"/>
  <c r="H38" i="31"/>
  <c r="H39" i="31"/>
  <c r="I38" i="28"/>
  <c r="K38" i="28" s="1"/>
  <c r="N38" i="28" s="1"/>
  <c r="I35" i="28"/>
  <c r="K35" i="28" s="1"/>
  <c r="J36" i="28"/>
  <c r="K36" i="28" s="1"/>
  <c r="N36" i="28" s="1"/>
  <c r="I39" i="28"/>
  <c r="J39" i="28"/>
  <c r="I37" i="28"/>
  <c r="I42" i="28" s="1"/>
  <c r="J37" i="28"/>
  <c r="R36" i="28"/>
  <c r="H42" i="28"/>
  <c r="R40" i="28"/>
  <c r="K40" i="28"/>
  <c r="N40" i="28" s="1"/>
  <c r="J35" i="31" l="1"/>
  <c r="K35" i="31" s="1"/>
  <c r="J37" i="31"/>
  <c r="K37" i="31" s="1"/>
  <c r="N37" i="31" s="1"/>
  <c r="I38" i="31"/>
  <c r="J38" i="31"/>
  <c r="I36" i="31"/>
  <c r="J36" i="31"/>
  <c r="R35" i="31"/>
  <c r="I39" i="31"/>
  <c r="J39" i="31"/>
  <c r="I40" i="31"/>
  <c r="J40" i="31"/>
  <c r="R37" i="31"/>
  <c r="H42" i="31"/>
  <c r="R38" i="28"/>
  <c r="R35" i="28"/>
  <c r="V35" i="28" s="1"/>
  <c r="J42" i="28"/>
  <c r="P38" i="28"/>
  <c r="Q38" i="28" s="1"/>
  <c r="M38" i="28"/>
  <c r="P40" i="28"/>
  <c r="Q40" i="28" s="1"/>
  <c r="M40" i="28"/>
  <c r="V40" i="28"/>
  <c r="T40" i="28"/>
  <c r="U40" i="28" s="1"/>
  <c r="N35" i="28"/>
  <c r="T36" i="28"/>
  <c r="U36" i="28" s="1"/>
  <c r="V36" i="28"/>
  <c r="P36" i="28"/>
  <c r="Q36" i="28" s="1"/>
  <c r="M36" i="28"/>
  <c r="R37" i="28"/>
  <c r="K37" i="28"/>
  <c r="N37" i="28" s="1"/>
  <c r="V38" i="28"/>
  <c r="T38" i="28"/>
  <c r="U38" i="28" s="1"/>
  <c r="R39" i="28"/>
  <c r="K39" i="28"/>
  <c r="N39" i="28" s="1"/>
  <c r="J42" i="31" l="1"/>
  <c r="R40" i="31"/>
  <c r="K40" i="31"/>
  <c r="N40" i="31" s="1"/>
  <c r="R39" i="31"/>
  <c r="K39" i="31"/>
  <c r="N39" i="31" s="1"/>
  <c r="I42" i="31"/>
  <c r="N35" i="31"/>
  <c r="R36" i="31"/>
  <c r="K36" i="31"/>
  <c r="N36" i="31" s="1"/>
  <c r="P37" i="31"/>
  <c r="Q37" i="31" s="1"/>
  <c r="M37" i="31"/>
  <c r="V37" i="31"/>
  <c r="T37" i="31"/>
  <c r="U37" i="31" s="1"/>
  <c r="V35" i="31"/>
  <c r="T35" i="31"/>
  <c r="U35" i="31" s="1"/>
  <c r="K38" i="31"/>
  <c r="N38" i="31" s="1"/>
  <c r="R38" i="31"/>
  <c r="T35" i="28"/>
  <c r="U35" i="28" s="1"/>
  <c r="K42" i="28"/>
  <c r="P35" i="28"/>
  <c r="Q35" i="28" s="1"/>
  <c r="M35" i="28"/>
  <c r="V39" i="28"/>
  <c r="T39" i="28"/>
  <c r="U39" i="28" s="1"/>
  <c r="M37" i="28"/>
  <c r="P37" i="28"/>
  <c r="Q37" i="28" s="1"/>
  <c r="P39" i="28"/>
  <c r="Q39" i="28" s="1"/>
  <c r="M39" i="28"/>
  <c r="T37" i="28"/>
  <c r="U37" i="28" s="1"/>
  <c r="V37" i="28"/>
  <c r="M36" i="31" l="1"/>
  <c r="P36" i="31"/>
  <c r="Q36" i="31" s="1"/>
  <c r="V36" i="31"/>
  <c r="T36" i="31"/>
  <c r="U36" i="31" s="1"/>
  <c r="P35" i="31"/>
  <c r="Q35" i="31" s="1"/>
  <c r="M35" i="31"/>
  <c r="K42" i="31"/>
  <c r="V38" i="31"/>
  <c r="T38" i="31"/>
  <c r="U38" i="31" s="1"/>
  <c r="V39" i="31"/>
  <c r="T39" i="31"/>
  <c r="U39" i="31" s="1"/>
  <c r="P39" i="31"/>
  <c r="Q39" i="31" s="1"/>
  <c r="M39" i="31"/>
  <c r="P38" i="31"/>
  <c r="Q38" i="31" s="1"/>
  <c r="M38" i="31"/>
  <c r="P40" i="31"/>
  <c r="Q40" i="31" s="1"/>
  <c r="M40" i="31"/>
  <c r="V40" i="31"/>
  <c r="T40" i="31"/>
  <c r="U40" i="31" s="1"/>
  <c r="M42" i="28"/>
  <c r="M42" i="31" l="1"/>
  <c r="BZ2" i="22" l="1"/>
  <c r="C6" i="13"/>
  <c r="AN135" i="27" l="1"/>
  <c r="AN136" i="27" s="1"/>
  <c r="AN137" i="27" s="1"/>
  <c r="AN138" i="27" s="1"/>
  <c r="AN139" i="27" s="1"/>
  <c r="AN140" i="27" s="1"/>
  <c r="AN141" i="27" s="1"/>
  <c r="AN142" i="27" s="1"/>
  <c r="AN91" i="27"/>
  <c r="AN92" i="27" s="1"/>
  <c r="AN93" i="27" s="1"/>
  <c r="AN94" i="27" s="1"/>
  <c r="AN95" i="27" s="1"/>
  <c r="AN96" i="27" s="1"/>
  <c r="AN97" i="27" s="1"/>
  <c r="AN98" i="27" s="1"/>
  <c r="AN48" i="27"/>
  <c r="AN49" i="27" s="1"/>
  <c r="AN50" i="27" s="1"/>
  <c r="AN51" i="27" s="1"/>
  <c r="AN52" i="27" s="1"/>
  <c r="AN53" i="27" s="1"/>
  <c r="AN54" i="27" s="1"/>
  <c r="AN55" i="27" s="1"/>
  <c r="AN8" i="27"/>
  <c r="AN9" i="27" s="1"/>
  <c r="AN10" i="27" s="1"/>
  <c r="AN11" i="27" s="1"/>
  <c r="AN12" i="27" s="1"/>
  <c r="AN13" i="27" s="1"/>
  <c r="AN14" i="27" s="1"/>
  <c r="AN15" i="27" s="1"/>
  <c r="Z135" i="27"/>
  <c r="Z136" i="27" s="1"/>
  <c r="Z137" i="27" s="1"/>
  <c r="Z138" i="27" s="1"/>
  <c r="Z139" i="27" s="1"/>
  <c r="Z140" i="27" s="1"/>
  <c r="Z141" i="27" s="1"/>
  <c r="Z142" i="27" s="1"/>
  <c r="Z91" i="27"/>
  <c r="Z92" i="27" s="1"/>
  <c r="Z93" i="27" s="1"/>
  <c r="Z94" i="27" s="1"/>
  <c r="Z95" i="27" s="1"/>
  <c r="Z96" i="27" s="1"/>
  <c r="Z97" i="27" s="1"/>
  <c r="Z98" i="27" s="1"/>
  <c r="Z48" i="27" l="1"/>
  <c r="Z49" i="27" s="1"/>
  <c r="Z50" i="27" s="1"/>
  <c r="Z51" i="27" s="1"/>
  <c r="Z52" i="27" s="1"/>
  <c r="Z53" i="27" s="1"/>
  <c r="Z54" i="27" s="1"/>
  <c r="Z55" i="27" s="1"/>
  <c r="Z8" i="27"/>
  <c r="Z9" i="27" s="1"/>
  <c r="Z10" i="27" s="1"/>
  <c r="Z11" i="27" s="1"/>
  <c r="Z12" i="27" s="1"/>
  <c r="Z13" i="27" s="1"/>
  <c r="Z14" i="27" s="1"/>
  <c r="Z15" i="27" s="1"/>
  <c r="P12" i="17"/>
  <c r="Q12" i="17" s="1"/>
  <c r="P11" i="17"/>
  <c r="Q11" i="17" s="1"/>
  <c r="P9" i="17"/>
  <c r="Q9" i="17" s="1"/>
  <c r="J9" i="17"/>
  <c r="GC10" i="24"/>
  <c r="GD10" i="24" s="1"/>
  <c r="FY70" i="24"/>
  <c r="FY68" i="24"/>
  <c r="FY54" i="24"/>
  <c r="FY52" i="24"/>
  <c r="FY49" i="24"/>
  <c r="FY47" i="24"/>
  <c r="FY37" i="24"/>
  <c r="FY32" i="24"/>
  <c r="FY30" i="24"/>
  <c r="FY29" i="24"/>
  <c r="FY28" i="24"/>
  <c r="FY26" i="24"/>
  <c r="FY25" i="24"/>
  <c r="FY22" i="24"/>
  <c r="FY20" i="24"/>
  <c r="FY17" i="24"/>
  <c r="FY13" i="24" l="1"/>
  <c r="FY11" i="24"/>
  <c r="FY9" i="24"/>
  <c r="FY7" i="24"/>
  <c r="EB5" i="24" l="1"/>
  <c r="EB7" i="24" s="1"/>
  <c r="EB4" i="24"/>
  <c r="ED5" i="24"/>
  <c r="ED9" i="24" s="1"/>
  <c r="ED17" i="24" s="1"/>
  <c r="ED4" i="24"/>
  <c r="ED6" i="24" s="1"/>
  <c r="AB13" i="27" s="1"/>
  <c r="AP13" i="27" s="1"/>
  <c r="EB41" i="24" l="1"/>
  <c r="EB48" i="24"/>
  <c r="EB50" i="24"/>
  <c r="EB53" i="24"/>
  <c r="EB19" i="24"/>
  <c r="EB21" i="24"/>
  <c r="EB6" i="24"/>
  <c r="EB16" i="24" s="1"/>
  <c r="EB26" i="24"/>
  <c r="ED7" i="24"/>
  <c r="AB12" i="27"/>
  <c r="AP12" i="27" s="1"/>
  <c r="ED8" i="24"/>
  <c r="Z6" i="24"/>
  <c r="AB53" i="27" l="1"/>
  <c r="AP53" i="27" s="1"/>
  <c r="ED16" i="24"/>
  <c r="N47" i="27"/>
  <c r="N48" i="27" s="1"/>
  <c r="N49" i="27" s="1"/>
  <c r="N50" i="27" s="1"/>
  <c r="N51" i="27" s="1"/>
  <c r="N52" i="27" s="1"/>
  <c r="N53" i="27" s="1"/>
  <c r="F13" i="27"/>
  <c r="P13" i="27" s="1"/>
  <c r="N8" i="27"/>
  <c r="N9" i="27" s="1"/>
  <c r="N10" i="27" s="1"/>
  <c r="N11" i="27" s="1"/>
  <c r="N12" i="27" s="1"/>
  <c r="N13" i="27" s="1"/>
  <c r="N14" i="27" s="1"/>
  <c r="N91" i="27"/>
  <c r="N92" i="27" s="1"/>
  <c r="N93" i="27" s="1"/>
  <c r="N94" i="27" s="1"/>
  <c r="N95" i="27" s="1"/>
  <c r="N96" i="27" s="1"/>
  <c r="N97" i="27" s="1"/>
  <c r="N135" i="27"/>
  <c r="N136" i="27" s="1"/>
  <c r="N137" i="27" s="1"/>
  <c r="N138" i="27" s="1"/>
  <c r="N139" i="27" s="1"/>
  <c r="N140" i="27" s="1"/>
  <c r="N141" i="27" s="1"/>
  <c r="N179" i="27"/>
  <c r="N180" i="27" s="1"/>
  <c r="N181" i="27" s="1"/>
  <c r="N182" i="27" s="1"/>
  <c r="N183" i="27" s="1"/>
  <c r="N184" i="27" s="1"/>
  <c r="N185" i="27" s="1"/>
  <c r="F184" i="27"/>
  <c r="P184" i="27" s="1"/>
  <c r="F140" i="27"/>
  <c r="P140" i="27" s="1"/>
  <c r="F96" i="27"/>
  <c r="P96" i="27" s="1"/>
  <c r="F52" i="27"/>
  <c r="P52" i="27" s="1"/>
  <c r="B179" i="27"/>
  <c r="B180" i="27" s="1"/>
  <c r="B181" i="27" s="1"/>
  <c r="B182" i="27" s="1"/>
  <c r="B183" i="27" s="1"/>
  <c r="B184" i="27" s="1"/>
  <c r="B185" i="27" s="1"/>
  <c r="B135" i="27"/>
  <c r="B136" i="27" s="1"/>
  <c r="B137" i="27" s="1"/>
  <c r="B138" i="27" s="1"/>
  <c r="B139" i="27" s="1"/>
  <c r="B140" i="27" s="1"/>
  <c r="B141" i="27" s="1"/>
  <c r="B91" i="27"/>
  <c r="B92" i="27" s="1"/>
  <c r="B93" i="27" s="1"/>
  <c r="B94" i="27" s="1"/>
  <c r="B95" i="27" s="1"/>
  <c r="B96" i="27" s="1"/>
  <c r="B97" i="27" s="1"/>
  <c r="B47" i="27"/>
  <c r="B48" i="27" s="1"/>
  <c r="B49" i="27" s="1"/>
  <c r="B50" i="27" s="1"/>
  <c r="B51" i="27" s="1"/>
  <c r="B52" i="27" s="1"/>
  <c r="B53" i="27" s="1"/>
  <c r="B8" i="27"/>
  <c r="B9" i="27" s="1"/>
  <c r="B10" i="27" s="1"/>
  <c r="B11" i="27" s="1"/>
  <c r="B12" i="27" s="1"/>
  <c r="B13" i="27" s="1"/>
  <c r="B14" i="27" s="1"/>
  <c r="EC5" i="24" l="1"/>
  <c r="EC4" i="24"/>
  <c r="EC12" i="24" l="1"/>
  <c r="EC30" i="24" s="1"/>
  <c r="EC26" i="24"/>
  <c r="EC13" i="24"/>
  <c r="EC27" i="24"/>
  <c r="AB140" i="27"/>
  <c r="AP140" i="27" s="1"/>
  <c r="EC20" i="24"/>
  <c r="EC11" i="24"/>
  <c r="EC10" i="24"/>
  <c r="EC42" i="24" s="1"/>
  <c r="EC43" i="24" l="1"/>
  <c r="EC45" i="24"/>
  <c r="EC40" i="24"/>
  <c r="EC38" i="24"/>
  <c r="EC41" i="24"/>
  <c r="EC39" i="24"/>
  <c r="EC34" i="24"/>
  <c r="EC28" i="24"/>
  <c r="EC32" i="24"/>
  <c r="EC21" i="24"/>
  <c r="EC31" i="24"/>
  <c r="EC35" i="24"/>
  <c r="EC29" i="24"/>
  <c r="EC33" i="24"/>
  <c r="EC44" i="24"/>
  <c r="EC24" i="24"/>
  <c r="EC19" i="24"/>
  <c r="EC25" i="24"/>
  <c r="AB96" i="27"/>
  <c r="AP96" i="27" s="1"/>
  <c r="EC18" i="24"/>
  <c r="FS10" i="24"/>
  <c r="BR89" i="27" s="1"/>
  <c r="BS89" i="27" l="1"/>
  <c r="FS24" i="24"/>
  <c r="FS18" i="24"/>
  <c r="FS52" i="24"/>
  <c r="FS11" i="24"/>
  <c r="BD128" i="27" l="1"/>
  <c r="BD129" i="27" s="1"/>
  <c r="BD130" i="27" s="1"/>
  <c r="BD131" i="27" s="1"/>
  <c r="BD132" i="27" s="1"/>
  <c r="BD133" i="27" s="1"/>
  <c r="BD134" i="27" s="1"/>
  <c r="BD83" i="27"/>
  <c r="BD84" i="27" s="1"/>
  <c r="BD85" i="27" s="1"/>
  <c r="BD86" i="27" s="1"/>
  <c r="BD87" i="27" s="1"/>
  <c r="BD88" i="27" s="1"/>
  <c r="BD89" i="27" s="1"/>
  <c r="BD47" i="27"/>
  <c r="BD48" i="27" s="1"/>
  <c r="BD49" i="27" s="1"/>
  <c r="BD50" i="27" s="1"/>
  <c r="BD51" i="27" s="1"/>
  <c r="BD52" i="27" s="1"/>
  <c r="BD53" i="27" s="1"/>
  <c r="BD8" i="27"/>
  <c r="BD9" i="27" s="1"/>
  <c r="BD10" i="27" s="1"/>
  <c r="BD11" i="27" s="1"/>
  <c r="BD12" i="27" s="1"/>
  <c r="BD13" i="27" s="1"/>
  <c r="BD14" i="27" s="1"/>
  <c r="EK5" i="24" l="1"/>
  <c r="EK6" i="24" s="1"/>
  <c r="EK7" i="24" s="1"/>
  <c r="EK29" i="24" s="1"/>
  <c r="EJ5" i="24"/>
  <c r="EJ6" i="24" s="1"/>
  <c r="EJ7" i="24" s="1"/>
  <c r="EJ29" i="24" s="1"/>
  <c r="EI5" i="24"/>
  <c r="EI6" i="24" s="1"/>
  <c r="EI7" i="24" s="1"/>
  <c r="EI29" i="24" s="1"/>
  <c r="EL4" i="24"/>
  <c r="FE29" i="24" l="1"/>
  <c r="FL29" i="24"/>
  <c r="EL29" i="24"/>
  <c r="EJ21" i="24"/>
  <c r="EJ19" i="24"/>
  <c r="EJ25" i="24"/>
  <c r="EI17" i="24"/>
  <c r="EI25" i="24"/>
  <c r="EI21" i="24"/>
  <c r="EI19" i="24"/>
  <c r="EK17" i="24"/>
  <c r="EK21" i="24"/>
  <c r="EK19" i="24"/>
  <c r="EK25" i="24"/>
  <c r="FL7" i="24"/>
  <c r="EJ17" i="24"/>
  <c r="EL5" i="24"/>
  <c r="FE7" i="24"/>
  <c r="FL6" i="24"/>
  <c r="FE6" i="24"/>
  <c r="BF10" i="27" s="1"/>
  <c r="BR10" i="27" s="1"/>
  <c r="EL17" i="24" l="1"/>
  <c r="FL19" i="24"/>
  <c r="EL19" i="24"/>
  <c r="FE19" i="24"/>
  <c r="FE25" i="24"/>
  <c r="FL25" i="24"/>
  <c r="EL25" i="24"/>
  <c r="FE21" i="24"/>
  <c r="FL21" i="24"/>
  <c r="EL21" i="24"/>
  <c r="FE17" i="24"/>
  <c r="FL17" i="24"/>
  <c r="EN2" i="24"/>
  <c r="DQ19" i="24" l="1"/>
  <c r="CA3" i="24" l="1"/>
  <c r="ET13" i="24" l="1"/>
  <c r="FF13" i="24" s="1"/>
  <c r="ET12" i="24"/>
  <c r="FF12" i="24" s="1"/>
  <c r="ET11" i="24"/>
  <c r="ET10" i="24"/>
  <c r="ET9" i="24"/>
  <c r="FF9" i="24" s="1"/>
  <c r="ET8" i="24"/>
  <c r="FF8" i="24" s="1"/>
  <c r="ET7" i="24"/>
  <c r="FF7" i="24" s="1"/>
  <c r="EY13" i="24"/>
  <c r="FM13" i="24" s="1"/>
  <c r="EY12" i="24"/>
  <c r="FM12" i="24" s="1"/>
  <c r="EY11" i="24"/>
  <c r="EY10" i="24"/>
  <c r="EY9" i="24"/>
  <c r="FM9" i="24" s="1"/>
  <c r="EY8" i="24"/>
  <c r="FM8" i="24" s="1"/>
  <c r="EY7" i="24"/>
  <c r="FM7" i="24" s="1"/>
  <c r="EY6" i="24"/>
  <c r="FM6" i="24" s="1"/>
  <c r="ET6" i="24"/>
  <c r="BF50" i="27" l="1"/>
  <c r="BF131" i="27"/>
  <c r="EY2" i="24"/>
  <c r="FM11" i="24"/>
  <c r="ET1" i="24"/>
  <c r="FF10" i="24"/>
  <c r="ET2" i="24"/>
  <c r="FF11" i="24"/>
  <c r="EY1" i="24"/>
  <c r="FM10" i="24"/>
  <c r="FM1" i="24" s="1"/>
  <c r="FF6" i="24"/>
  <c r="EO40" i="24"/>
  <c r="EO38" i="24"/>
  <c r="EO32" i="24"/>
  <c r="EO30" i="24"/>
  <c r="EO24" i="24"/>
  <c r="EO26" i="24"/>
  <c r="EO20" i="24"/>
  <c r="EO18" i="24"/>
  <c r="EY18" i="24" s="1"/>
  <c r="FM18" i="24" s="1"/>
  <c r="EO16" i="24"/>
  <c r="EO17" i="24" l="1"/>
  <c r="ET17" i="24" s="1"/>
  <c r="FF17" i="24" s="1"/>
  <c r="EO47" i="24"/>
  <c r="EY40" i="24"/>
  <c r="FM40" i="24" s="1"/>
  <c r="ET40" i="24"/>
  <c r="FF40" i="24" s="1"/>
  <c r="ET18" i="24"/>
  <c r="FF18" i="24" s="1"/>
  <c r="BF11" i="27"/>
  <c r="ET20" i="24"/>
  <c r="FF20" i="24" s="1"/>
  <c r="EY20" i="24"/>
  <c r="FM20" i="24" s="1"/>
  <c r="EY24" i="24"/>
  <c r="FM24" i="24" s="1"/>
  <c r="ET24" i="24"/>
  <c r="FF24" i="24" s="1"/>
  <c r="ET30" i="24"/>
  <c r="FF30" i="24" s="1"/>
  <c r="EY30" i="24"/>
  <c r="FM30" i="24" s="1"/>
  <c r="ET16" i="24"/>
  <c r="FF16" i="24" s="1"/>
  <c r="EY16" i="24"/>
  <c r="FM16" i="24" s="1"/>
  <c r="BF132" i="27"/>
  <c r="BF133" i="27" s="1"/>
  <c r="ET26" i="24"/>
  <c r="FF26" i="24" s="1"/>
  <c r="EY26" i="24"/>
  <c r="FM26" i="24" s="1"/>
  <c r="ET28" i="24"/>
  <c r="FF28" i="24" s="1"/>
  <c r="EY28" i="24"/>
  <c r="FF2" i="24"/>
  <c r="BF51" i="27"/>
  <c r="ET32" i="24"/>
  <c r="FF32" i="24" s="1"/>
  <c r="EY32" i="24"/>
  <c r="FM32" i="24" s="1"/>
  <c r="FF1" i="24"/>
  <c r="BF86" i="27"/>
  <c r="EY38" i="24"/>
  <c r="FM38" i="24" s="1"/>
  <c r="ET38" i="24"/>
  <c r="FF38" i="24" s="1"/>
  <c r="EO49" i="24"/>
  <c r="EO52" i="24"/>
  <c r="EY17" i="24" l="1"/>
  <c r="FM17" i="24" s="1"/>
  <c r="FM28" i="24"/>
  <c r="ET44" i="24"/>
  <c r="FF44" i="24" s="1"/>
  <c r="EY44" i="24"/>
  <c r="BF12" i="27"/>
  <c r="BF87" i="27"/>
  <c r="BF88" i="27" s="1"/>
  <c r="BF52" i="27"/>
  <c r="ET49" i="24"/>
  <c r="FF49" i="24" s="1"/>
  <c r="EY49" i="24"/>
  <c r="FM49" i="24" s="1"/>
  <c r="ET52" i="24"/>
  <c r="FF52" i="24" s="1"/>
  <c r="EY52" i="24"/>
  <c r="FM52" i="24" s="1"/>
  <c r="EY47" i="24"/>
  <c r="FM47" i="24" s="1"/>
  <c r="ET47" i="24"/>
  <c r="FF47" i="24" s="1"/>
  <c r="EO54" i="24"/>
  <c r="FM44" i="24" l="1"/>
  <c r="EO68" i="24"/>
  <c r="EY54" i="24"/>
  <c r="FM54" i="24" s="1"/>
  <c r="ET54" i="24"/>
  <c r="FF54" i="24" s="1"/>
  <c r="BF13" i="27"/>
  <c r="ET68" i="24" l="1"/>
  <c r="FF68" i="24" s="1"/>
  <c r="AA8" i="8"/>
  <c r="V3" i="14" l="1"/>
  <c r="AJ5" i="24" l="1"/>
  <c r="DI3" i="24"/>
  <c r="DD3" i="24"/>
  <c r="DC3" i="24"/>
  <c r="DM2" i="24"/>
  <c r="BI17" i="22" l="1"/>
  <c r="EO2" i="24"/>
  <c r="DW3" i="24"/>
  <c r="EA3" i="24"/>
  <c r="DV3" i="24"/>
  <c r="DQ6" i="24"/>
  <c r="DQ8" i="24" s="1"/>
  <c r="DQ10" i="24" s="1"/>
  <c r="DQ12" i="24" s="1"/>
  <c r="BB7" i="24"/>
  <c r="CR3" i="24"/>
  <c r="CL3" i="24"/>
  <c r="CE3" i="24"/>
  <c r="BT3" i="24"/>
  <c r="BU3" i="24"/>
  <c r="BV3" i="24"/>
  <c r="Z70" i="24"/>
  <c r="O40" i="13"/>
  <c r="O39" i="13"/>
  <c r="O38" i="13"/>
  <c r="O37" i="13"/>
  <c r="O36" i="13"/>
  <c r="O35" i="13"/>
  <c r="N27" i="20"/>
  <c r="F27" i="20"/>
  <c r="F31" i="20"/>
  <c r="F26" i="20"/>
  <c r="N7" i="20"/>
  <c r="M7" i="20"/>
  <c r="C21" i="10"/>
  <c r="O21" i="13"/>
  <c r="O22" i="13"/>
  <c r="BH12" i="24"/>
  <c r="BH14" i="24"/>
  <c r="BH10" i="24"/>
  <c r="BH8" i="24"/>
  <c r="BH6" i="24"/>
  <c r="O94" i="24"/>
  <c r="O69" i="24"/>
  <c r="O41" i="24"/>
  <c r="BX9" i="24"/>
  <c r="EJ2" i="24"/>
  <c r="EI9" i="24"/>
  <c r="EK2" i="24" l="1"/>
  <c r="CM3" i="24"/>
  <c r="CB3" i="24"/>
  <c r="EI2" i="24"/>
  <c r="O123" i="24"/>
  <c r="EL2" i="24" l="1"/>
  <c r="EJ13" i="24"/>
  <c r="EJ27" i="24" s="1"/>
  <c r="EI13" i="24"/>
  <c r="EI27" i="24" s="1"/>
  <c r="EK11" i="24"/>
  <c r="EJ11" i="24"/>
  <c r="EK9" i="24"/>
  <c r="EJ9" i="24"/>
  <c r="EL7" i="24"/>
  <c r="CO7" i="24"/>
  <c r="DF7" i="24" s="1"/>
  <c r="CC7" i="24"/>
  <c r="DF5" i="24" l="1"/>
  <c r="DF13" i="24"/>
  <c r="DF9" i="24"/>
  <c r="DF11" i="24"/>
  <c r="DF27" i="24"/>
  <c r="FL9" i="24"/>
  <c r="FE9" i="24"/>
  <c r="EB9" i="24"/>
  <c r="EB35" i="24" s="1"/>
  <c r="EB17" i="24"/>
  <c r="CC15" i="24"/>
  <c r="CO11" i="24"/>
  <c r="CO15" i="24" s="1"/>
  <c r="EB2" i="24"/>
  <c r="EC2" i="24"/>
  <c r="CC11" i="24"/>
  <c r="CC5" i="24"/>
  <c r="CO5" i="24"/>
  <c r="CC9" i="24"/>
  <c r="CO9" i="24"/>
  <c r="EK13" i="24"/>
  <c r="EI11" i="24"/>
  <c r="FE13" i="24" l="1"/>
  <c r="EK27" i="24"/>
  <c r="CO13" i="24"/>
  <c r="DF18" i="24"/>
  <c r="DF29" i="24"/>
  <c r="DF31" i="24"/>
  <c r="DF2" i="24"/>
  <c r="FL13" i="24"/>
  <c r="FL11" i="24"/>
  <c r="FE11" i="24"/>
  <c r="EL13" i="24"/>
  <c r="DE45" i="24"/>
  <c r="DE49" i="24" s="1"/>
  <c r="DE27" i="24"/>
  <c r="DE29" i="24" s="1"/>
  <c r="DE47" i="24"/>
  <c r="EB11" i="24"/>
  <c r="CO2" i="24"/>
  <c r="CC2" i="24"/>
  <c r="CC13" i="24"/>
  <c r="EL9" i="24"/>
  <c r="EL11" i="24"/>
  <c r="EB45" i="24" l="1"/>
  <c r="EB43" i="24"/>
  <c r="EB25" i="24"/>
  <c r="EB29" i="24"/>
  <c r="EB33" i="24"/>
  <c r="EL27" i="24"/>
  <c r="FL27" i="24"/>
  <c r="FE27" i="24"/>
  <c r="EB13" i="24"/>
  <c r="EB39" i="24" s="1"/>
  <c r="DF20" i="24"/>
  <c r="DF22" i="24"/>
  <c r="DF45" i="24"/>
  <c r="DF36" i="24"/>
  <c r="DE31" i="24"/>
  <c r="FE2" i="24"/>
  <c r="DE36" i="24"/>
  <c r="DE40" i="24" s="1"/>
  <c r="V3" i="16"/>
  <c r="EB27" i="24" l="1"/>
  <c r="EB31" i="24"/>
  <c r="DE38" i="24"/>
  <c r="DF40" i="24"/>
  <c r="DF38" i="24"/>
  <c r="DF49" i="24"/>
  <c r="DF47" i="24"/>
  <c r="I12" i="18"/>
  <c r="H12" i="18"/>
  <c r="G12" i="18"/>
  <c r="F12" i="18"/>
  <c r="E12" i="18"/>
  <c r="I11" i="18"/>
  <c r="I18" i="18" s="1"/>
  <c r="H11" i="18"/>
  <c r="H18" i="18" s="1"/>
  <c r="G11" i="18"/>
  <c r="G18" i="18" s="1"/>
  <c r="F11" i="18"/>
  <c r="F18" i="18" s="1"/>
  <c r="E11" i="18"/>
  <c r="E18" i="18" s="1"/>
  <c r="I8" i="18"/>
  <c r="H8" i="18"/>
  <c r="G8" i="18"/>
  <c r="F8" i="18"/>
  <c r="E8" i="18"/>
  <c r="I7" i="18"/>
  <c r="H7" i="18"/>
  <c r="G7" i="18"/>
  <c r="F7" i="18"/>
  <c r="E7" i="18"/>
  <c r="E14" i="18" s="1"/>
  <c r="I6" i="18"/>
  <c r="I13" i="18" s="1"/>
  <c r="H6" i="18"/>
  <c r="H13" i="18" s="1"/>
  <c r="G6" i="18"/>
  <c r="G13" i="18" s="1"/>
  <c r="F6" i="18"/>
  <c r="F13" i="18" s="1"/>
  <c r="E6" i="18"/>
  <c r="I10" i="18"/>
  <c r="H10" i="18"/>
  <c r="H17" i="18" s="1"/>
  <c r="G10" i="18"/>
  <c r="G17" i="18" s="1"/>
  <c r="F10" i="18"/>
  <c r="E10" i="18"/>
  <c r="I17" i="18"/>
  <c r="F17" i="18"/>
  <c r="E17" i="18"/>
  <c r="I16" i="18"/>
  <c r="F16" i="18"/>
  <c r="E16" i="18"/>
  <c r="I15" i="18"/>
  <c r="H15" i="18"/>
  <c r="G15" i="18"/>
  <c r="F15" i="18"/>
  <c r="E15" i="18"/>
  <c r="I14" i="18"/>
  <c r="H14" i="18"/>
  <c r="G14" i="18"/>
  <c r="F14" i="18"/>
  <c r="E13" i="18"/>
  <c r="D12" i="18"/>
  <c r="D11" i="18"/>
  <c r="DO2" i="22"/>
  <c r="DP2" i="22" s="1"/>
  <c r="DL1" i="22"/>
  <c r="DM1" i="22" s="1"/>
  <c r="DN2" i="22"/>
  <c r="DN3" i="22"/>
  <c r="FS8" i="24" s="1"/>
  <c r="BR53" i="27" s="1"/>
  <c r="DO4" i="22"/>
  <c r="DP4" i="22" s="1"/>
  <c r="DN5" i="22"/>
  <c r="FS12" i="24" s="1"/>
  <c r="BR134" i="27" s="1"/>
  <c r="DN6" i="22"/>
  <c r="DO6" i="22" s="1"/>
  <c r="DP6" i="22" s="1"/>
  <c r="DN7" i="22"/>
  <c r="DO7" i="22"/>
  <c r="DP7" i="22" s="1"/>
  <c r="DN9" i="22"/>
  <c r="DF1" i="22"/>
  <c r="BS53" i="27" l="1"/>
  <c r="BS134" i="27"/>
  <c r="FS38" i="24"/>
  <c r="FS40" i="24"/>
  <c r="FS20" i="24"/>
  <c r="FS13" i="24"/>
  <c r="FS16" i="24"/>
  <c r="FS17" i="24" s="1"/>
  <c r="FS9" i="24"/>
  <c r="G16" i="18"/>
  <c r="H16" i="18"/>
  <c r="DO9" i="22"/>
  <c r="DP9" i="22" s="1"/>
  <c r="DO3" i="22"/>
  <c r="DP3" i="22" s="1"/>
  <c r="DO5" i="22"/>
  <c r="DP5" i="22" s="1"/>
  <c r="BZ9" i="22" l="1"/>
  <c r="CA9" i="22" s="1"/>
  <c r="BZ8" i="22"/>
  <c r="CA8" i="22" s="1"/>
  <c r="BZ7" i="22"/>
  <c r="CA7" i="22" s="1"/>
  <c r="BZ6" i="22"/>
  <c r="CA6" i="22" s="1"/>
  <c r="BZ5" i="22"/>
  <c r="CA5" i="22" s="1"/>
  <c r="BZ4" i="22"/>
  <c r="CA4" i="22" s="1"/>
  <c r="BZ3" i="22"/>
  <c r="CA3" i="22" l="1"/>
  <c r="DF9" i="22" l="1"/>
  <c r="DF8" i="22"/>
  <c r="DF7" i="22"/>
  <c r="DF6" i="22"/>
  <c r="DF5" i="22"/>
  <c r="DF4" i="22"/>
  <c r="DF3" i="22"/>
  <c r="DF2" i="22"/>
  <c r="BK12" i="24"/>
  <c r="CY39" i="24" l="1"/>
  <c r="CY37" i="24"/>
  <c r="CY35" i="24"/>
  <c r="CH12" i="24"/>
  <c r="C133" i="27" s="1"/>
  <c r="O133" i="27" s="1"/>
  <c r="BW12" i="24"/>
  <c r="BB398" i="24"/>
  <c r="BB396" i="24"/>
  <c r="BB394" i="24"/>
  <c r="BB382" i="24"/>
  <c r="BB380" i="24"/>
  <c r="BB378" i="24"/>
  <c r="BB365" i="24"/>
  <c r="BB363" i="24"/>
  <c r="BB361" i="24"/>
  <c r="BB206" i="24"/>
  <c r="BB184" i="24"/>
  <c r="BB138" i="24"/>
  <c r="BB162" i="24"/>
  <c r="BB348" i="24"/>
  <c r="BB346" i="24"/>
  <c r="BB344" i="24"/>
  <c r="BB331" i="24"/>
  <c r="BB329" i="24"/>
  <c r="BB327" i="24"/>
  <c r="BB315" i="24"/>
  <c r="BB313" i="24"/>
  <c r="BB311" i="24"/>
  <c r="BB300" i="24"/>
  <c r="BB298" i="24"/>
  <c r="BB296" i="24"/>
  <c r="BB285" i="24"/>
  <c r="BB283" i="24"/>
  <c r="BB281" i="24"/>
  <c r="BB236" i="24"/>
  <c r="BB234" i="24"/>
  <c r="BB232" i="24"/>
  <c r="BB251" i="24"/>
  <c r="BB249" i="24"/>
  <c r="BB247" i="24"/>
  <c r="BB268" i="24"/>
  <c r="BB266" i="24"/>
  <c r="BB264" i="24"/>
  <c r="BB220" i="24"/>
  <c r="BB218" i="24"/>
  <c r="BB216" i="24"/>
  <c r="BB204" i="24"/>
  <c r="BB202" i="24"/>
  <c r="BB200" i="24"/>
  <c r="BB182" i="24"/>
  <c r="BB180" i="24"/>
  <c r="BB178" i="24"/>
  <c r="BB160" i="24"/>
  <c r="BB158" i="24"/>
  <c r="BB156" i="24"/>
  <c r="BB136" i="24"/>
  <c r="BB134" i="24"/>
  <c r="BB132" i="24"/>
  <c r="BB116" i="24"/>
  <c r="BB114" i="24"/>
  <c r="BB112" i="24"/>
  <c r="BB98" i="24"/>
  <c r="BB96" i="24"/>
  <c r="BB94" i="24"/>
  <c r="BB80" i="24"/>
  <c r="BB78" i="24"/>
  <c r="BB76" i="24"/>
  <c r="BB61" i="24"/>
  <c r="BB59" i="24"/>
  <c r="BB57" i="24"/>
  <c r="BB39" i="24"/>
  <c r="BB37" i="24"/>
  <c r="BB35" i="24"/>
  <c r="BB22" i="24"/>
  <c r="BB20" i="24"/>
  <c r="BB18" i="24"/>
  <c r="CU4" i="22"/>
  <c r="BB17" i="24" l="1"/>
  <c r="DZ6" i="24" s="1"/>
  <c r="BB231" i="24"/>
  <c r="BB326" i="24"/>
  <c r="BB75" i="24"/>
  <c r="BB177" i="24"/>
  <c r="BB280" i="24"/>
  <c r="BB34" i="24"/>
  <c r="BB310" i="24"/>
  <c r="BB111" i="24"/>
  <c r="BB199" i="24"/>
  <c r="BB246" i="24"/>
  <c r="BB215" i="24"/>
  <c r="BB131" i="24"/>
  <c r="BB343" i="24"/>
  <c r="BB295" i="24"/>
  <c r="BB377" i="24"/>
  <c r="BB263" i="24"/>
  <c r="BB93" i="24"/>
  <c r="BB393" i="24"/>
  <c r="BB360" i="24"/>
  <c r="BB155" i="24"/>
  <c r="BB56" i="24"/>
  <c r="DZ16" i="24" l="1"/>
  <c r="DZ20" i="24"/>
  <c r="DZ42" i="24" s="1"/>
  <c r="BA274" i="24"/>
  <c r="AQ9" i="18" l="1"/>
  <c r="DS48" i="24"/>
  <c r="DZ17" i="24"/>
  <c r="DZ39" i="24" s="1"/>
  <c r="DZ38" i="24"/>
  <c r="BB388" i="24"/>
  <c r="BA387" i="24"/>
  <c r="BC386" i="24"/>
  <c r="BB372" i="24"/>
  <c r="BA371" i="24"/>
  <c r="DS62" i="24" s="1"/>
  <c r="DU64" i="24" s="1"/>
  <c r="BC370" i="24"/>
  <c r="BB355" i="24"/>
  <c r="BD354" i="24"/>
  <c r="BC353" i="24"/>
  <c r="BB338" i="24"/>
  <c r="DS58" i="24"/>
  <c r="BC336" i="24"/>
  <c r="BB321" i="24"/>
  <c r="BA320" i="24"/>
  <c r="BD320" i="24" s="1"/>
  <c r="BC319" i="24"/>
  <c r="BB306" i="24"/>
  <c r="BC304" i="24"/>
  <c r="BC289" i="24"/>
  <c r="BB275" i="24"/>
  <c r="BC273" i="24"/>
  <c r="BB258" i="24"/>
  <c r="BA257" i="24"/>
  <c r="DS43" i="24" s="1"/>
  <c r="BC256" i="24"/>
  <c r="BA145" i="24"/>
  <c r="DS29" i="24" s="1"/>
  <c r="BB192" i="24"/>
  <c r="BB190" i="24"/>
  <c r="BA189" i="24"/>
  <c r="DS33" i="24" s="1"/>
  <c r="BC188" i="24"/>
  <c r="BB170" i="24"/>
  <c r="BB168" i="24"/>
  <c r="BA167" i="24"/>
  <c r="BC166" i="24"/>
  <c r="BA65" i="24"/>
  <c r="DS19" i="24" s="1"/>
  <c r="BC64" i="24"/>
  <c r="BA17" i="24"/>
  <c r="AG164" i="24"/>
  <c r="AG162" i="24"/>
  <c r="AG160" i="24"/>
  <c r="AI6" i="24"/>
  <c r="AH20" i="24"/>
  <c r="AL15" i="24"/>
  <c r="C21" i="13"/>
  <c r="N9" i="18"/>
  <c r="N10" i="18" s="1"/>
  <c r="AR10" i="18"/>
  <c r="AP10" i="18"/>
  <c r="AN10" i="18"/>
  <c r="AL10" i="18"/>
  <c r="AJ10" i="18"/>
  <c r="AR8" i="18"/>
  <c r="AP8" i="18"/>
  <c r="AN8" i="18"/>
  <c r="AL8" i="18"/>
  <c r="AJ8" i="18"/>
  <c r="AR7" i="18"/>
  <c r="AP7" i="18"/>
  <c r="AN7" i="18"/>
  <c r="AL7" i="18"/>
  <c r="AJ7" i="18"/>
  <c r="AR6" i="18"/>
  <c r="AP6" i="18"/>
  <c r="AN6" i="18"/>
  <c r="AL6" i="18"/>
  <c r="AJ6" i="18"/>
  <c r="D7" i="18"/>
  <c r="BA6" i="24"/>
  <c r="BA104" i="24"/>
  <c r="DZ44" i="24" l="1"/>
  <c r="DZ45" i="24"/>
  <c r="DU60" i="24"/>
  <c r="BD167" i="24"/>
  <c r="DS31" i="24"/>
  <c r="AM9" i="18"/>
  <c r="DS25" i="24"/>
  <c r="BD387" i="24"/>
  <c r="DS64" i="24"/>
  <c r="DU66" i="24" s="1"/>
  <c r="AI9" i="18"/>
  <c r="DS5" i="24"/>
  <c r="AB5" i="27" s="1"/>
  <c r="BD337" i="24"/>
  <c r="AW9" i="18"/>
  <c r="O10" i="18"/>
  <c r="N11" i="18"/>
  <c r="BD305" i="24"/>
  <c r="AU9" i="18"/>
  <c r="AS9" i="18"/>
  <c r="D8" i="18"/>
  <c r="BD371" i="24"/>
  <c r="BD290" i="24"/>
  <c r="BD274" i="24"/>
  <c r="BD257" i="24"/>
  <c r="O9" i="18"/>
  <c r="N8" i="18"/>
  <c r="G31" i="26"/>
  <c r="D30" i="26"/>
  <c r="D29" i="26"/>
  <c r="O28" i="26"/>
  <c r="D28" i="26"/>
  <c r="F28" i="26" s="1"/>
  <c r="H28" i="26" s="1"/>
  <c r="D27" i="26"/>
  <c r="G26" i="26"/>
  <c r="G21" i="26"/>
  <c r="E21" i="26"/>
  <c r="D21" i="26"/>
  <c r="Q20" i="26"/>
  <c r="R20" i="26" s="1"/>
  <c r="S20" i="26" s="1"/>
  <c r="T20" i="26" s="1"/>
  <c r="P20" i="26"/>
  <c r="D20" i="26"/>
  <c r="Q19" i="26"/>
  <c r="P19" i="26"/>
  <c r="R19" i="26" s="1"/>
  <c r="S19" i="26" s="1"/>
  <c r="T19" i="26" s="1"/>
  <c r="Q18" i="26"/>
  <c r="P18" i="26"/>
  <c r="R18" i="26" s="1"/>
  <c r="S18" i="26" s="1"/>
  <c r="T18" i="26" s="1"/>
  <c r="T17" i="26"/>
  <c r="S17" i="26"/>
  <c r="Q17" i="26"/>
  <c r="R17" i="26" s="1"/>
  <c r="P17" i="26"/>
  <c r="Z16" i="26"/>
  <c r="Y16" i="26"/>
  <c r="X16" i="26"/>
  <c r="W16" i="26"/>
  <c r="V16" i="26"/>
  <c r="U16" i="26"/>
  <c r="Q16" i="26"/>
  <c r="R16" i="26" s="1"/>
  <c r="S16" i="26" s="1"/>
  <c r="T16" i="26" s="1"/>
  <c r="P16" i="26"/>
  <c r="Q15" i="26"/>
  <c r="P15" i="26"/>
  <c r="R15" i="26" s="1"/>
  <c r="S15" i="26" s="1"/>
  <c r="T15" i="26" s="1"/>
  <c r="AE15" i="26" s="1"/>
  <c r="Z14" i="26"/>
  <c r="Y14" i="26"/>
  <c r="X14" i="26"/>
  <c r="W14" i="26"/>
  <c r="V14" i="26"/>
  <c r="U14" i="26"/>
  <c r="F14" i="26"/>
  <c r="H14" i="26" s="1"/>
  <c r="Z13" i="26"/>
  <c r="Y13" i="26"/>
  <c r="X13" i="26"/>
  <c r="W13" i="26"/>
  <c r="V13" i="26"/>
  <c r="U13" i="26"/>
  <c r="O13" i="26"/>
  <c r="F13" i="26"/>
  <c r="H13" i="26" s="1"/>
  <c r="F12" i="26"/>
  <c r="H12" i="26" s="1"/>
  <c r="Z11" i="26"/>
  <c r="Y11" i="26"/>
  <c r="X11" i="26"/>
  <c r="W11" i="26"/>
  <c r="V11" i="26"/>
  <c r="U11" i="26"/>
  <c r="O11" i="26"/>
  <c r="F11" i="26"/>
  <c r="H11" i="26" s="1"/>
  <c r="Z10" i="26"/>
  <c r="Y10" i="26"/>
  <c r="X10" i="26"/>
  <c r="W10" i="26"/>
  <c r="V10" i="26"/>
  <c r="U10" i="26"/>
  <c r="F10" i="26"/>
  <c r="H10" i="26" s="1"/>
  <c r="Z9" i="26"/>
  <c r="Y9" i="26"/>
  <c r="X9" i="26"/>
  <c r="W9" i="26"/>
  <c r="V9" i="26"/>
  <c r="U9" i="26"/>
  <c r="F9" i="26"/>
  <c r="H9" i="26" s="1"/>
  <c r="O8" i="26"/>
  <c r="O12" i="26" s="1"/>
  <c r="F8" i="26"/>
  <c r="H8" i="26" s="1"/>
  <c r="Z7" i="26"/>
  <c r="Y7" i="26"/>
  <c r="X7" i="26"/>
  <c r="W7" i="26"/>
  <c r="V7" i="26"/>
  <c r="U7" i="26"/>
  <c r="F7" i="26"/>
  <c r="H7" i="26" s="1"/>
  <c r="H21" i="26" s="1"/>
  <c r="Z6" i="26"/>
  <c r="X6" i="26"/>
  <c r="V6" i="26"/>
  <c r="I6" i="26"/>
  <c r="E6" i="26"/>
  <c r="Z5" i="26"/>
  <c r="X5" i="26"/>
  <c r="V5" i="26"/>
  <c r="M5" i="26" s="1"/>
  <c r="M31" i="20"/>
  <c r="G31" i="20"/>
  <c r="D30" i="20"/>
  <c r="D29" i="20"/>
  <c r="N28" i="20"/>
  <c r="D28" i="20"/>
  <c r="F28" i="20" s="1"/>
  <c r="H28" i="20" s="1"/>
  <c r="D27" i="20"/>
  <c r="D31" i="20" s="1"/>
  <c r="G26" i="20"/>
  <c r="G21" i="20"/>
  <c r="E21" i="20"/>
  <c r="Q20" i="20"/>
  <c r="P20" i="20"/>
  <c r="R20" i="20" s="1"/>
  <c r="S20" i="20" s="1"/>
  <c r="T20" i="20" s="1"/>
  <c r="D20" i="20"/>
  <c r="D21" i="20" s="1"/>
  <c r="Q19" i="20"/>
  <c r="P19" i="20"/>
  <c r="R19" i="20" s="1"/>
  <c r="S19" i="20" s="1"/>
  <c r="T19" i="20" s="1"/>
  <c r="Q18" i="20"/>
  <c r="P18" i="20"/>
  <c r="R18" i="20" s="1"/>
  <c r="S18" i="20" s="1"/>
  <c r="T18" i="20" s="1"/>
  <c r="Q17" i="20"/>
  <c r="P17" i="20"/>
  <c r="R17" i="20" s="1"/>
  <c r="S17" i="20" s="1"/>
  <c r="T17" i="20" s="1"/>
  <c r="Q16" i="20"/>
  <c r="P16" i="20"/>
  <c r="R16" i="20" s="1"/>
  <c r="S16" i="20" s="1"/>
  <c r="T16" i="20" s="1"/>
  <c r="Q15" i="20"/>
  <c r="P15" i="20"/>
  <c r="R15" i="20" s="1"/>
  <c r="S15" i="20" s="1"/>
  <c r="T15" i="20" s="1"/>
  <c r="M14" i="20"/>
  <c r="F14" i="20"/>
  <c r="H14" i="20" s="1"/>
  <c r="M13" i="20"/>
  <c r="F13" i="20"/>
  <c r="H13" i="20" s="1"/>
  <c r="F12" i="20"/>
  <c r="H12" i="20" s="1"/>
  <c r="M11" i="20"/>
  <c r="F11" i="20"/>
  <c r="H11" i="20" s="1"/>
  <c r="M10" i="20"/>
  <c r="H10" i="20"/>
  <c r="F10" i="20"/>
  <c r="M9" i="20"/>
  <c r="F9" i="20"/>
  <c r="H9" i="20" s="1"/>
  <c r="F8" i="20"/>
  <c r="H8" i="20" s="1"/>
  <c r="F7" i="20"/>
  <c r="I6" i="20"/>
  <c r="E6" i="20"/>
  <c r="L13" i="17"/>
  <c r="M7" i="26" l="1"/>
  <c r="M14" i="26"/>
  <c r="M11" i="26"/>
  <c r="M10" i="26"/>
  <c r="M9" i="26"/>
  <c r="M13" i="26"/>
  <c r="M27" i="26" s="1"/>
  <c r="N12" i="18"/>
  <c r="O12" i="18" s="1"/>
  <c r="O11" i="18"/>
  <c r="N7" i="18"/>
  <c r="O8" i="18"/>
  <c r="D10" i="18"/>
  <c r="I9" i="26"/>
  <c r="I11" i="26"/>
  <c r="I7" i="26"/>
  <c r="I14" i="26"/>
  <c r="I10" i="26"/>
  <c r="I12" i="26"/>
  <c r="F21" i="26"/>
  <c r="D31" i="26"/>
  <c r="F27" i="26"/>
  <c r="AF7" i="26"/>
  <c r="I8" i="26"/>
  <c r="I13" i="26"/>
  <c r="I12" i="20"/>
  <c r="I13" i="20"/>
  <c r="I7" i="20"/>
  <c r="I14" i="20"/>
  <c r="I8" i="20"/>
  <c r="F21" i="20"/>
  <c r="I10" i="20"/>
  <c r="M21" i="20"/>
  <c r="H7" i="20"/>
  <c r="H21" i="20" s="1"/>
  <c r="I9" i="20" s="1"/>
  <c r="N9" i="20"/>
  <c r="N6" i="18" l="1"/>
  <c r="O6" i="18" s="1"/>
  <c r="O7" i="18"/>
  <c r="O18" i="18"/>
  <c r="M28" i="26"/>
  <c r="M31" i="26" s="1"/>
  <c r="N27" i="26" s="1"/>
  <c r="P11" i="26"/>
  <c r="J11" i="26"/>
  <c r="K11" i="26" s="1"/>
  <c r="Q11" i="26" s="1"/>
  <c r="F31" i="26"/>
  <c r="H27" i="26"/>
  <c r="H31" i="26" s="1"/>
  <c r="F26" i="26"/>
  <c r="J9" i="26"/>
  <c r="K9" i="26" s="1"/>
  <c r="Q9" i="26" s="1"/>
  <c r="P9" i="26"/>
  <c r="R9" i="26" s="1"/>
  <c r="S9" i="26" s="1"/>
  <c r="T9" i="26" s="1"/>
  <c r="AE9" i="26" s="1"/>
  <c r="J12" i="26"/>
  <c r="K12" i="26" s="1"/>
  <c r="Q12" i="26" s="1"/>
  <c r="P12" i="26"/>
  <c r="R12" i="26" s="1"/>
  <c r="S12" i="26" s="1"/>
  <c r="T12" i="26" s="1"/>
  <c r="AE12" i="26" s="1"/>
  <c r="J13" i="26"/>
  <c r="K13" i="26" s="1"/>
  <c r="Q13" i="26" s="1"/>
  <c r="I26" i="26"/>
  <c r="P13" i="26"/>
  <c r="J8" i="26"/>
  <c r="K8" i="26" s="1"/>
  <c r="Q8" i="26" s="1"/>
  <c r="P8" i="26"/>
  <c r="R8" i="26" s="1"/>
  <c r="S8" i="26" s="1"/>
  <c r="T8" i="26" s="1"/>
  <c r="AE8" i="26" s="1"/>
  <c r="P10" i="26"/>
  <c r="J10" i="26"/>
  <c r="K10" i="26" s="1"/>
  <c r="Q10" i="26" s="1"/>
  <c r="P14" i="26"/>
  <c r="J14" i="26"/>
  <c r="K14" i="26" s="1"/>
  <c r="Q14" i="26" s="1"/>
  <c r="M21" i="26"/>
  <c r="I21" i="26"/>
  <c r="P21" i="26" s="1"/>
  <c r="P22" i="26" s="1"/>
  <c r="J7" i="26"/>
  <c r="P10" i="20"/>
  <c r="J10" i="20"/>
  <c r="K10" i="20" s="1"/>
  <c r="Q10" i="20" s="1"/>
  <c r="P8" i="20"/>
  <c r="J8" i="20"/>
  <c r="K8" i="20" s="1"/>
  <c r="Q8" i="20" s="1"/>
  <c r="P14" i="20"/>
  <c r="J14" i="20"/>
  <c r="K14" i="20" s="1"/>
  <c r="Q14" i="20" s="1"/>
  <c r="I21" i="20"/>
  <c r="P21" i="20" s="1"/>
  <c r="P22" i="20" s="1"/>
  <c r="P7" i="20"/>
  <c r="J7" i="20"/>
  <c r="H27" i="20"/>
  <c r="H31" i="20" s="1"/>
  <c r="P13" i="20"/>
  <c r="R13" i="20" s="1"/>
  <c r="S13" i="20" s="1"/>
  <c r="T13" i="20" s="1"/>
  <c r="J13" i="20"/>
  <c r="K13" i="20" s="1"/>
  <c r="Q13" i="20" s="1"/>
  <c r="I26" i="20"/>
  <c r="J12" i="20"/>
  <c r="K12" i="20" s="1"/>
  <c r="Q12" i="20" s="1"/>
  <c r="P12" i="20"/>
  <c r="R12" i="20" s="1"/>
  <c r="S12" i="20" s="1"/>
  <c r="T12" i="20" s="1"/>
  <c r="P9" i="20"/>
  <c r="J9" i="20"/>
  <c r="K9" i="20" s="1"/>
  <c r="Q9" i="20" s="1"/>
  <c r="I11" i="20"/>
  <c r="N8" i="20"/>
  <c r="N16" i="20"/>
  <c r="N17" i="20"/>
  <c r="N15" i="20"/>
  <c r="N12" i="20"/>
  <c r="T21" i="20"/>
  <c r="N14" i="20"/>
  <c r="N13" i="20"/>
  <c r="N11" i="20"/>
  <c r="N10" i="20"/>
  <c r="N9" i="26" l="1"/>
  <c r="N7" i="26"/>
  <c r="I27" i="26"/>
  <c r="J27" i="26" s="1"/>
  <c r="K27" i="26" s="1"/>
  <c r="I28" i="26"/>
  <c r="J28" i="26" s="1"/>
  <c r="K28" i="26" s="1"/>
  <c r="N8" i="26"/>
  <c r="T21" i="26"/>
  <c r="N16" i="26"/>
  <c r="N17" i="26"/>
  <c r="N15" i="26"/>
  <c r="N12" i="26"/>
  <c r="N13" i="26"/>
  <c r="N10" i="26"/>
  <c r="R14" i="26"/>
  <c r="S14" i="26" s="1"/>
  <c r="T14" i="26" s="1"/>
  <c r="AE14" i="26" s="1"/>
  <c r="R10" i="26"/>
  <c r="S10" i="26" s="1"/>
  <c r="T10" i="26" s="1"/>
  <c r="AE10" i="26" s="1"/>
  <c r="N11" i="26"/>
  <c r="J6" i="26"/>
  <c r="K7" i="26"/>
  <c r="Q7" i="26" s="1"/>
  <c r="R7" i="26" s="1"/>
  <c r="S7" i="26" s="1"/>
  <c r="R11" i="26"/>
  <c r="S11" i="26" s="1"/>
  <c r="T11" i="26" s="1"/>
  <c r="AE11" i="26" s="1"/>
  <c r="N28" i="26"/>
  <c r="R13" i="26"/>
  <c r="S13" i="26" s="1"/>
  <c r="T13" i="26" s="1"/>
  <c r="AE13" i="26" s="1"/>
  <c r="N14" i="26"/>
  <c r="K7" i="20"/>
  <c r="J11" i="20"/>
  <c r="K11" i="20" s="1"/>
  <c r="Q11" i="20" s="1"/>
  <c r="P11" i="20"/>
  <c r="R11" i="20" s="1"/>
  <c r="S11" i="20" s="1"/>
  <c r="T11" i="20" s="1"/>
  <c r="R14" i="20"/>
  <c r="S14" i="20" s="1"/>
  <c r="T14" i="20" s="1"/>
  <c r="R9" i="20"/>
  <c r="S9" i="20" s="1"/>
  <c r="T9" i="20" s="1"/>
  <c r="R8" i="20"/>
  <c r="S8" i="20" s="1"/>
  <c r="T8" i="20" s="1"/>
  <c r="I27" i="20"/>
  <c r="J27" i="20" s="1"/>
  <c r="K27" i="20" s="1"/>
  <c r="I28" i="20"/>
  <c r="J28" i="20" s="1"/>
  <c r="K28" i="20" s="1"/>
  <c r="R10" i="20"/>
  <c r="S10" i="20" s="1"/>
  <c r="T10" i="20" s="1"/>
  <c r="T7" i="26" l="1"/>
  <c r="AE7" i="26" s="1"/>
  <c r="K6" i="26"/>
  <c r="J6" i="20"/>
  <c r="K6" i="20"/>
  <c r="Q7" i="20"/>
  <c r="R7" i="20" s="1"/>
  <c r="S7" i="20" s="1"/>
  <c r="T7" i="20" s="1"/>
  <c r="D14" i="25" l="1"/>
  <c r="D13" i="25"/>
  <c r="D12" i="25"/>
  <c r="D11" i="25"/>
  <c r="D10" i="25"/>
  <c r="D9" i="25"/>
  <c r="D8" i="25"/>
  <c r="M14" i="25"/>
  <c r="M13" i="25"/>
  <c r="M12" i="25"/>
  <c r="M11" i="25"/>
  <c r="M10" i="25"/>
  <c r="M9" i="25"/>
  <c r="M8" i="25"/>
  <c r="V14" i="25"/>
  <c r="V13" i="25"/>
  <c r="V12" i="25"/>
  <c r="V11" i="25"/>
  <c r="V10" i="25"/>
  <c r="V9" i="25"/>
  <c r="V8" i="25"/>
  <c r="AE14" i="25"/>
  <c r="AE13" i="25"/>
  <c r="AE12" i="25"/>
  <c r="AE11" i="25"/>
  <c r="AE10" i="25"/>
  <c r="AE9" i="25"/>
  <c r="AE8" i="25"/>
  <c r="AG25" i="25"/>
  <c r="X25" i="25"/>
  <c r="O25" i="25"/>
  <c r="AD4" i="25"/>
  <c r="AD6" i="25" s="1"/>
  <c r="U4" i="25"/>
  <c r="U6" i="25" s="1"/>
  <c r="L4" i="25"/>
  <c r="L6" i="25" s="1"/>
  <c r="C4" i="25"/>
  <c r="C6" i="25" s="1"/>
  <c r="F25" i="25"/>
  <c r="AD5" i="25" l="1"/>
  <c r="U5" i="25"/>
  <c r="L5" i="25"/>
  <c r="C5" i="25"/>
  <c r="X20" i="25" l="1"/>
  <c r="O20" i="25"/>
  <c r="AG20" i="25"/>
  <c r="F22" i="25"/>
  <c r="AG22" i="25"/>
  <c r="O22" i="25"/>
  <c r="X22" i="25"/>
  <c r="F21" i="25"/>
  <c r="O21" i="25"/>
  <c r="AG21" i="25"/>
  <c r="X21" i="25"/>
  <c r="F20" i="25" l="1"/>
  <c r="O26" i="25"/>
  <c r="AG26" i="25"/>
  <c r="X26" i="25"/>
  <c r="X24" i="25"/>
  <c r="AG19" i="25"/>
  <c r="O19" i="25"/>
  <c r="AG24" i="25"/>
  <c r="AG23" i="25"/>
  <c r="F23" i="25"/>
  <c r="X19" i="25"/>
  <c r="X23" i="25"/>
  <c r="F19" i="25"/>
  <c r="O24" i="25"/>
  <c r="O23" i="25"/>
  <c r="F24" i="25"/>
  <c r="AG27" i="25" l="1"/>
  <c r="X27" i="25"/>
  <c r="O27" i="25"/>
  <c r="F26" i="25"/>
  <c r="F27" i="25" l="1"/>
  <c r="U11" i="25"/>
  <c r="L14" i="25"/>
  <c r="AD11" i="25" l="1"/>
  <c r="AD12" i="25"/>
  <c r="AD10" i="25"/>
  <c r="AD8" i="25"/>
  <c r="AD14" i="25"/>
  <c r="AD9" i="25"/>
  <c r="AD13" i="25"/>
  <c r="L10" i="25"/>
  <c r="L13" i="25"/>
  <c r="U8" i="25"/>
  <c r="U10" i="25"/>
  <c r="U12" i="25"/>
  <c r="U9" i="25"/>
  <c r="U14" i="25"/>
  <c r="U13" i="25"/>
  <c r="L9" i="25"/>
  <c r="L8" i="25"/>
  <c r="L12" i="25"/>
  <c r="L11" i="25"/>
  <c r="C12" i="25"/>
  <c r="C10" i="25"/>
  <c r="C13" i="25"/>
  <c r="C14" i="25"/>
  <c r="C11" i="25"/>
  <c r="C9" i="25"/>
  <c r="C8" i="25"/>
  <c r="L15" i="25" l="1"/>
  <c r="M15" i="25" s="1"/>
  <c r="C15" i="25"/>
  <c r="D15" i="25" s="1"/>
  <c r="AD15" i="25"/>
  <c r="U15" i="25"/>
  <c r="V15" i="25" s="1"/>
  <c r="AE24" i="25"/>
  <c r="AE22" i="25"/>
  <c r="V24" i="25"/>
  <c r="V22" i="25"/>
  <c r="M24" i="25"/>
  <c r="M22" i="25"/>
  <c r="M19" i="25"/>
  <c r="N19" i="25" s="1"/>
  <c r="D22" i="25"/>
  <c r="D24" i="25"/>
  <c r="E24" i="25" s="1"/>
  <c r="D19" i="25"/>
  <c r="G19" i="25" s="1"/>
  <c r="H19" i="25" s="1"/>
  <c r="AE21" i="25"/>
  <c r="AF21" i="25" s="1"/>
  <c r="AE25" i="25"/>
  <c r="AF25" i="25" s="1"/>
  <c r="AE23" i="25"/>
  <c r="AF23" i="25" s="1"/>
  <c r="D23" i="25"/>
  <c r="E23" i="25" s="1"/>
  <c r="V20" i="25"/>
  <c r="Y20" i="25" s="1"/>
  <c r="Z20" i="25" s="1"/>
  <c r="AE20" i="25"/>
  <c r="V19" i="25"/>
  <c r="W19" i="25" s="1"/>
  <c r="AE19" i="25"/>
  <c r="AH19" i="25" s="1"/>
  <c r="M23" i="25"/>
  <c r="N23" i="25" s="1"/>
  <c r="V23" i="25"/>
  <c r="M21" i="25"/>
  <c r="P21" i="25" s="1"/>
  <c r="Q21" i="25" s="1"/>
  <c r="V21" i="25"/>
  <c r="M25" i="25"/>
  <c r="P25" i="25" s="1"/>
  <c r="Q25" i="25" s="1"/>
  <c r="V25" i="25"/>
  <c r="D20" i="25"/>
  <c r="E20" i="25" s="1"/>
  <c r="M20" i="25"/>
  <c r="D25" i="25"/>
  <c r="E25" i="25" s="1"/>
  <c r="D21" i="25"/>
  <c r="D26" i="25" l="1"/>
  <c r="M26" i="25"/>
  <c r="V26" i="25"/>
  <c r="W26" i="25" s="1"/>
  <c r="AE26" i="25"/>
  <c r="AE15" i="25"/>
  <c r="AH23" i="25"/>
  <c r="AI23" i="25" s="1"/>
  <c r="AH21" i="25"/>
  <c r="AI21" i="25" s="1"/>
  <c r="AH25" i="25"/>
  <c r="AI25" i="25" s="1"/>
  <c r="W20" i="25"/>
  <c r="Y19" i="25"/>
  <c r="Z19" i="25" s="1"/>
  <c r="AH24" i="25"/>
  <c r="AI24" i="25" s="1"/>
  <c r="AF24" i="25"/>
  <c r="E19" i="25"/>
  <c r="AF22" i="25"/>
  <c r="AH22" i="25"/>
  <c r="AI22" i="25" s="1"/>
  <c r="AF19" i="25"/>
  <c r="AF20" i="25"/>
  <c r="AH20" i="25"/>
  <c r="AI20" i="25" s="1"/>
  <c r="N25" i="25"/>
  <c r="N21" i="25"/>
  <c r="W25" i="25"/>
  <c r="Y25" i="25"/>
  <c r="Z25" i="25" s="1"/>
  <c r="W21" i="25"/>
  <c r="Y21" i="25"/>
  <c r="Z21" i="25" s="1"/>
  <c r="W23" i="25"/>
  <c r="Y23" i="25"/>
  <c r="Z23" i="25" s="1"/>
  <c r="P23" i="25"/>
  <c r="Q23" i="25" s="1"/>
  <c r="W22" i="25"/>
  <c r="Y22" i="25"/>
  <c r="Z22" i="25" s="1"/>
  <c r="W24" i="25"/>
  <c r="Y24" i="25"/>
  <c r="Z24" i="25" s="1"/>
  <c r="P19" i="25"/>
  <c r="G20" i="25"/>
  <c r="H20" i="25" s="1"/>
  <c r="N22" i="25"/>
  <c r="P22" i="25"/>
  <c r="Q22" i="25" s="1"/>
  <c r="N24" i="25"/>
  <c r="P24" i="25"/>
  <c r="Q24" i="25" s="1"/>
  <c r="N20" i="25"/>
  <c r="P20" i="25"/>
  <c r="Q20" i="25" s="1"/>
  <c r="G25" i="25"/>
  <c r="E21" i="25"/>
  <c r="G21" i="25"/>
  <c r="G24" i="25"/>
  <c r="E22" i="25"/>
  <c r="G22" i="25"/>
  <c r="G23" i="25"/>
  <c r="AF26" i="25" l="1"/>
  <c r="AH26" i="25"/>
  <c r="AI26" i="25" s="1"/>
  <c r="E26" i="25"/>
  <c r="G26" i="25"/>
  <c r="H26" i="25" s="1"/>
  <c r="N26" i="25"/>
  <c r="P26" i="25"/>
  <c r="Q26" i="25" s="1"/>
  <c r="Y26" i="25"/>
  <c r="AI19" i="25"/>
  <c r="Q19" i="25"/>
  <c r="H25" i="25"/>
  <c r="H24" i="25"/>
  <c r="H23" i="25"/>
  <c r="H21" i="25"/>
  <c r="H22" i="25"/>
  <c r="Z26" i="25" l="1"/>
  <c r="Z27" i="25" s="1"/>
  <c r="Z28" i="25" s="1"/>
  <c r="Q27" i="25"/>
  <c r="Q28" i="25" s="1"/>
  <c r="P27" i="25"/>
  <c r="G27" i="25"/>
  <c r="AI27" i="25"/>
  <c r="AI28" i="25" s="1"/>
  <c r="AH27" i="25"/>
  <c r="Y27" i="25"/>
  <c r="H27" i="25"/>
  <c r="H28" i="25" s="1"/>
  <c r="AH168" i="24" l="1"/>
  <c r="AK168" i="24" s="1"/>
  <c r="BD189" i="24" s="1"/>
  <c r="AH159" i="24"/>
  <c r="AH158" i="24" s="1"/>
  <c r="AI151" i="24"/>
  <c r="AH138" i="24"/>
  <c r="AH124" i="24"/>
  <c r="CZ43" i="24" s="1"/>
  <c r="AH103" i="24"/>
  <c r="AH95" i="24"/>
  <c r="CZ34" i="24" s="1"/>
  <c r="AI77" i="24"/>
  <c r="AI75" i="24"/>
  <c r="AH74" i="24"/>
  <c r="AH71" i="24"/>
  <c r="AH50" i="24"/>
  <c r="AH42" i="24"/>
  <c r="CZ16" i="24" s="1"/>
  <c r="AI33" i="24"/>
  <c r="AA158" i="24"/>
  <c r="AA145" i="24"/>
  <c r="AA84" i="24"/>
  <c r="AA51" i="24"/>
  <c r="AA27" i="24"/>
  <c r="AA26" i="24"/>
  <c r="AA25" i="24"/>
  <c r="AA23" i="24"/>
  <c r="AA21" i="24"/>
  <c r="AA19" i="24"/>
  <c r="AA17" i="24"/>
  <c r="AA15" i="24"/>
  <c r="AA13" i="24"/>
  <c r="Z12" i="24"/>
  <c r="Z48" i="24"/>
  <c r="Z73" i="24"/>
  <c r="Z101" i="24"/>
  <c r="Z165" i="24"/>
  <c r="Z130" i="24"/>
  <c r="AG108" i="24"/>
  <c r="AI108" i="24" s="1"/>
  <c r="AG106" i="24"/>
  <c r="AG141" i="24" s="1"/>
  <c r="AG51" i="24"/>
  <c r="AG21" i="24"/>
  <c r="AG55" i="24" s="1"/>
  <c r="AI55" i="24" s="1"/>
  <c r="AG23" i="24"/>
  <c r="AI23" i="24" s="1"/>
  <c r="AG29" i="24"/>
  <c r="AI29" i="24" s="1"/>
  <c r="AG181" i="24"/>
  <c r="AG112" i="24"/>
  <c r="AI112" i="24" s="1"/>
  <c r="AG53" i="24"/>
  <c r="AI53" i="24" s="1"/>
  <c r="Y139" i="24"/>
  <c r="AA139" i="24" s="1"/>
  <c r="Y141" i="24"/>
  <c r="AA141" i="24" s="1"/>
  <c r="Y143" i="24"/>
  <c r="AA143" i="24" s="1"/>
  <c r="Y151" i="24"/>
  <c r="AA151" i="24" s="1"/>
  <c r="Y153" i="24"/>
  <c r="AA153" i="24" s="1"/>
  <c r="Y180" i="24"/>
  <c r="Y184" i="24"/>
  <c r="Y172" i="24"/>
  <c r="Y170" i="24"/>
  <c r="Y168" i="24"/>
  <c r="Y166" i="24"/>
  <c r="Y149" i="24"/>
  <c r="AA149" i="24" s="1"/>
  <c r="Y137" i="24"/>
  <c r="AA137" i="24" s="1"/>
  <c r="Y114" i="24"/>
  <c r="AA114" i="24" s="1"/>
  <c r="Y112" i="24"/>
  <c r="AA112" i="24" s="1"/>
  <c r="Y110" i="24"/>
  <c r="AA110" i="24" s="1"/>
  <c r="Y108" i="24"/>
  <c r="AA108" i="24" s="1"/>
  <c r="Y78" i="24"/>
  <c r="AA78" i="24" s="1"/>
  <c r="Y86" i="24"/>
  <c r="AA86" i="24" s="1"/>
  <c r="Y82" i="24"/>
  <c r="AA82" i="24" s="1"/>
  <c r="Y80" i="24"/>
  <c r="AA80" i="24" s="1"/>
  <c r="Y76" i="24"/>
  <c r="AA76" i="24" s="1"/>
  <c r="Y57" i="24"/>
  <c r="AA57" i="24" s="1"/>
  <c r="Y55" i="24"/>
  <c r="AA55" i="24" s="1"/>
  <c r="Y53" i="24"/>
  <c r="AA53" i="24" s="1"/>
  <c r="Y59" i="24"/>
  <c r="AA59" i="24" s="1"/>
  <c r="Y63" i="24"/>
  <c r="AA63" i="24" s="1"/>
  <c r="Y61" i="24"/>
  <c r="Y182" i="24" s="1"/>
  <c r="Y74" i="24"/>
  <c r="AA74" i="24" s="1"/>
  <c r="Y106" i="24"/>
  <c r="AA106" i="24" s="1"/>
  <c r="Y135" i="24"/>
  <c r="AA135" i="24" s="1"/>
  <c r="Y147" i="24"/>
  <c r="AA147" i="24" s="1"/>
  <c r="Y104" i="24"/>
  <c r="AA104" i="24" s="1"/>
  <c r="Y133" i="24"/>
  <c r="AA133" i="24" s="1"/>
  <c r="Y131" i="24"/>
  <c r="AA131" i="24" s="1"/>
  <c r="Y102" i="24"/>
  <c r="AA102" i="24" s="1"/>
  <c r="Y49" i="24"/>
  <c r="AA49" i="24" s="1"/>
  <c r="BB242" i="24"/>
  <c r="BA241" i="24"/>
  <c r="DS41" i="24" s="1"/>
  <c r="BC240" i="24"/>
  <c r="BA225" i="24"/>
  <c r="DS39" i="24" s="1"/>
  <c r="BC224" i="24"/>
  <c r="AO9" i="18"/>
  <c r="BC209" i="24"/>
  <c r="BC144" i="24"/>
  <c r="Z159" i="24"/>
  <c r="BA122" i="24"/>
  <c r="DS27" i="24" s="1"/>
  <c r="BC121" i="24"/>
  <c r="BC103" i="24"/>
  <c r="Z124" i="24"/>
  <c r="AJ123" i="24"/>
  <c r="Z95" i="24"/>
  <c r="AJ94" i="24"/>
  <c r="AJ69" i="24"/>
  <c r="BC84" i="24"/>
  <c r="BA46" i="24"/>
  <c r="BC45" i="24"/>
  <c r="Z42" i="24"/>
  <c r="AJ41" i="24"/>
  <c r="DR40" i="24"/>
  <c r="FY40" i="24" s="1"/>
  <c r="DQ41" i="24"/>
  <c r="DR38" i="24"/>
  <c r="FY38" i="24" s="1"/>
  <c r="DQ39" i="24"/>
  <c r="DP37" i="24"/>
  <c r="BZ25" i="24"/>
  <c r="BS25" i="24"/>
  <c r="BA25" i="24"/>
  <c r="DS15" i="24" s="1"/>
  <c r="BZ24" i="24"/>
  <c r="BC24" i="24"/>
  <c r="DR24" i="24"/>
  <c r="FY24" i="24" s="1"/>
  <c r="DQ25" i="24"/>
  <c r="FY23" i="24"/>
  <c r="DP23" i="24"/>
  <c r="DR18" i="24"/>
  <c r="FY18" i="24" s="1"/>
  <c r="DR16" i="24"/>
  <c r="FY16" i="24" s="1"/>
  <c r="DQ17" i="24"/>
  <c r="AZ15" i="24"/>
  <c r="DP15" i="24"/>
  <c r="BB13" i="24"/>
  <c r="BB53" i="24" s="1"/>
  <c r="AL13" i="24"/>
  <c r="DR12" i="24"/>
  <c r="BK14" i="24"/>
  <c r="BB11" i="24"/>
  <c r="BB30" i="24" s="1"/>
  <c r="BB68" i="24" s="1"/>
  <c r="AL11" i="24"/>
  <c r="DR10" i="24"/>
  <c r="BK10" i="24"/>
  <c r="BB9" i="24"/>
  <c r="BB109" i="24" s="1"/>
  <c r="AL9" i="24"/>
  <c r="DR8" i="24"/>
  <c r="BK8" i="24"/>
  <c r="AL7" i="24"/>
  <c r="EJ47" i="24"/>
  <c r="DR6" i="24"/>
  <c r="CO6" i="24"/>
  <c r="CC6" i="24"/>
  <c r="BK6" i="24"/>
  <c r="BJ5" i="24"/>
  <c r="BH4" i="24"/>
  <c r="DP5" i="24"/>
  <c r="BH5" i="24"/>
  <c r="BC5" i="24"/>
  <c r="CV2" i="24"/>
  <c r="AH138" i="19"/>
  <c r="AH103" i="19"/>
  <c r="Z95" i="19"/>
  <c r="Z101" i="19"/>
  <c r="AH95" i="19"/>
  <c r="AK95" i="19" s="1"/>
  <c r="AJ94" i="19"/>
  <c r="AH71" i="19"/>
  <c r="BD37" i="22"/>
  <c r="BC37" i="22"/>
  <c r="AR37" i="22"/>
  <c r="AK37" i="22"/>
  <c r="AJ37" i="22" s="1"/>
  <c r="AG37" i="22"/>
  <c r="AR33" i="22"/>
  <c r="AQ33" i="22"/>
  <c r="AP33" i="22"/>
  <c r="AO33" i="22"/>
  <c r="AN33" i="22"/>
  <c r="AM33" i="22"/>
  <c r="AJ33" i="22"/>
  <c r="AG33" i="22"/>
  <c r="AR29" i="22"/>
  <c r="AQ29" i="22"/>
  <c r="AP29" i="22"/>
  <c r="AO29" i="22"/>
  <c r="AN29" i="22"/>
  <c r="AM29" i="22"/>
  <c r="AJ29" i="22"/>
  <c r="AG29" i="22"/>
  <c r="AR28" i="22"/>
  <c r="AQ28" i="22"/>
  <c r="AP28" i="22"/>
  <c r="AO28" i="22"/>
  <c r="AN28" i="22"/>
  <c r="AM28" i="22"/>
  <c r="AK28" i="22"/>
  <c r="AJ28" i="22" s="1"/>
  <c r="AG28" i="22"/>
  <c r="AR27" i="22"/>
  <c r="AQ27" i="22"/>
  <c r="AP27" i="22"/>
  <c r="AO27" i="22"/>
  <c r="AN27" i="22"/>
  <c r="AM27" i="22"/>
  <c r="AK27" i="22"/>
  <c r="AJ27" i="22" s="1"/>
  <c r="AG27" i="22"/>
  <c r="AR26" i="22"/>
  <c r="AQ26" i="22"/>
  <c r="AP26" i="22"/>
  <c r="AO26" i="22"/>
  <c r="AN26" i="22"/>
  <c r="AM26" i="22"/>
  <c r="AK26" i="22"/>
  <c r="AJ26" i="22"/>
  <c r="AG26" i="22"/>
  <c r="CP25" i="22"/>
  <c r="BN25" i="22"/>
  <c r="BI25" i="22"/>
  <c r="AR25" i="22"/>
  <c r="AQ25" i="22"/>
  <c r="AP25" i="22"/>
  <c r="AO25" i="22"/>
  <c r="AN25" i="22"/>
  <c r="AM25" i="22"/>
  <c r="AK25" i="22"/>
  <c r="AJ25" i="22" s="1"/>
  <c r="AG25" i="22"/>
  <c r="CP24" i="22"/>
  <c r="BN24" i="22"/>
  <c r="BI24" i="22"/>
  <c r="CP22" i="22"/>
  <c r="BN22" i="22"/>
  <c r="CP21" i="22"/>
  <c r="BN21" i="22"/>
  <c r="BM21" i="22"/>
  <c r="CP20" i="22"/>
  <c r="BN20" i="22"/>
  <c r="CP19" i="22"/>
  <c r="CG19" i="22"/>
  <c r="CF19" i="22"/>
  <c r="BN19" i="22"/>
  <c r="AR18" i="22"/>
  <c r="AQ18" i="22"/>
  <c r="AP18" i="22"/>
  <c r="AO18" i="22"/>
  <c r="AN18" i="22"/>
  <c r="AM18" i="22"/>
  <c r="AK18" i="22"/>
  <c r="BG5" i="22" s="1"/>
  <c r="AG18" i="22"/>
  <c r="AR17" i="22"/>
  <c r="AQ17" i="22"/>
  <c r="AP17" i="22"/>
  <c r="AO17" i="22"/>
  <c r="AN17" i="22"/>
  <c r="AM17" i="22"/>
  <c r="AK17" i="22"/>
  <c r="BG2" i="22" s="1"/>
  <c r="AJ17" i="22"/>
  <c r="AG17" i="22"/>
  <c r="AR16" i="22"/>
  <c r="AQ16" i="22"/>
  <c r="AP16" i="22"/>
  <c r="AO16" i="22"/>
  <c r="AN16" i="22"/>
  <c r="AM16" i="22"/>
  <c r="AK16" i="22"/>
  <c r="AJ16" i="22" s="1"/>
  <c r="AG16" i="22"/>
  <c r="AR15" i="22"/>
  <c r="AQ15" i="22"/>
  <c r="AP15" i="22"/>
  <c r="AO15" i="22"/>
  <c r="AN15" i="22"/>
  <c r="AM15" i="22"/>
  <c r="AK15" i="22"/>
  <c r="AJ15" i="22"/>
  <c r="AG15" i="22"/>
  <c r="AR11" i="22"/>
  <c r="AQ11" i="22"/>
  <c r="AP11" i="22"/>
  <c r="AO11" i="22"/>
  <c r="AN11" i="22"/>
  <c r="AM11" i="22"/>
  <c r="AJ11" i="22"/>
  <c r="AG11" i="22"/>
  <c r="AR10" i="22"/>
  <c r="AQ10" i="22"/>
  <c r="AP10" i="22"/>
  <c r="AO10" i="22"/>
  <c r="AN10" i="22"/>
  <c r="AM10" i="22"/>
  <c r="AJ10" i="22"/>
  <c r="AG10" i="22"/>
  <c r="CU9" i="22"/>
  <c r="CP9" i="22"/>
  <c r="CF9" i="22"/>
  <c r="BN9" i="22"/>
  <c r="AR9" i="22"/>
  <c r="AQ9" i="22"/>
  <c r="AP9" i="22"/>
  <c r="AO9" i="22"/>
  <c r="AN9" i="22"/>
  <c r="AM9" i="22"/>
  <c r="AS9" i="22" s="1"/>
  <c r="AK9" i="22"/>
  <c r="AJ9" i="22" s="1"/>
  <c r="AG9" i="22"/>
  <c r="CU8" i="22"/>
  <c r="CP8" i="22"/>
  <c r="DN8" i="22" s="1"/>
  <c r="DO8" i="22" s="1"/>
  <c r="DP8" i="22" s="1"/>
  <c r="CF8" i="22"/>
  <c r="CF25" i="22" s="1"/>
  <c r="BN8" i="22"/>
  <c r="AR8" i="22"/>
  <c r="AQ8" i="22"/>
  <c r="AP8" i="22"/>
  <c r="AO8" i="22"/>
  <c r="AN8" i="22"/>
  <c r="AM8" i="22"/>
  <c r="AK8" i="22"/>
  <c r="BG3" i="22" s="1"/>
  <c r="AJ8" i="22"/>
  <c r="AG8" i="22"/>
  <c r="CU7" i="22"/>
  <c r="CP7" i="22"/>
  <c r="CF7" i="22"/>
  <c r="CF24" i="22" s="1"/>
  <c r="BW7" i="22"/>
  <c r="BX7" i="22" s="1"/>
  <c r="BV7" i="22"/>
  <c r="BN7" i="22"/>
  <c r="AR7" i="22"/>
  <c r="AQ7" i="22"/>
  <c r="AP7" i="22"/>
  <c r="AO7" i="22"/>
  <c r="AN7" i="22"/>
  <c r="AM7" i="22"/>
  <c r="AJ7" i="22"/>
  <c r="AG7" i="22"/>
  <c r="CU6" i="22"/>
  <c r="CP6" i="22"/>
  <c r="CF6" i="22"/>
  <c r="BN6" i="22"/>
  <c r="CU5" i="22"/>
  <c r="CP5" i="22"/>
  <c r="CF5" i="22"/>
  <c r="CF22" i="22" s="1"/>
  <c r="BW5" i="22"/>
  <c r="BX5" i="22" s="1"/>
  <c r="BV5" i="22"/>
  <c r="BN5" i="22"/>
  <c r="AR5" i="22"/>
  <c r="AZ5" i="22" s="1"/>
  <c r="AQ5" i="22"/>
  <c r="AY5" i="22" s="1"/>
  <c r="AP5" i="22"/>
  <c r="AX5" i="22" s="1"/>
  <c r="AO5" i="22"/>
  <c r="AW5" i="22" s="1"/>
  <c r="AN5" i="22"/>
  <c r="AV5" i="22" s="1"/>
  <c r="AM5" i="22"/>
  <c r="AU5" i="22" s="1"/>
  <c r="CF4" i="22"/>
  <c r="CF21" i="22" s="1"/>
  <c r="BW4" i="22"/>
  <c r="BX4" i="22" s="1"/>
  <c r="BV4" i="22"/>
  <c r="BN4" i="22"/>
  <c r="BG4" i="22"/>
  <c r="CU3" i="22"/>
  <c r="CP3" i="22"/>
  <c r="CG3" i="22"/>
  <c r="CF3" i="22"/>
  <c r="CF20" i="22" s="1"/>
  <c r="BW3" i="22"/>
  <c r="BX3" i="22" s="1"/>
  <c r="BV3" i="22"/>
  <c r="BN3" i="22"/>
  <c r="AC3" i="22"/>
  <c r="AD9" i="22" s="1"/>
  <c r="X3" i="22"/>
  <c r="CU2" i="22"/>
  <c r="CP2" i="22"/>
  <c r="FS6" i="24" s="1"/>
  <c r="BW2" i="22"/>
  <c r="BX2" i="22" s="1"/>
  <c r="BV2" i="22"/>
  <c r="BN2" i="22"/>
  <c r="X2" i="22"/>
  <c r="CU1" i="22"/>
  <c r="CV1" i="22" s="1"/>
  <c r="CN1" i="22"/>
  <c r="CO1" i="22" s="1"/>
  <c r="AD1" i="22"/>
  <c r="AK9" i="18" l="1"/>
  <c r="DS17" i="24"/>
  <c r="FS7" i="24"/>
  <c r="BR14" i="27"/>
  <c r="BE126" i="27"/>
  <c r="BQ126" i="27" s="1"/>
  <c r="FY12" i="24"/>
  <c r="BE45" i="27"/>
  <c r="BQ45" i="27" s="1"/>
  <c r="FY8" i="24"/>
  <c r="BE6" i="27"/>
  <c r="AA6" i="27" s="1"/>
  <c r="FY6" i="24"/>
  <c r="CV32" i="24"/>
  <c r="CV31" i="24"/>
  <c r="BE81" i="27"/>
  <c r="AA89" i="27" s="1"/>
  <c r="FY10" i="24"/>
  <c r="DF6" i="24"/>
  <c r="AB11" i="27" s="1"/>
  <c r="D11" i="27"/>
  <c r="F11" i="27" s="1"/>
  <c r="P11" i="27" s="1"/>
  <c r="DF8" i="24"/>
  <c r="EK54" i="24"/>
  <c r="AA130" i="24"/>
  <c r="CD14" i="24" s="1"/>
  <c r="CP14" i="24" s="1"/>
  <c r="CI9" i="24"/>
  <c r="CZ25" i="24"/>
  <c r="CY30" i="24"/>
  <c r="CY26" i="24"/>
  <c r="CY28" i="24"/>
  <c r="CY48" i="24"/>
  <c r="CY46" i="24"/>
  <c r="CY44" i="24"/>
  <c r="CY21" i="24"/>
  <c r="CY19" i="24"/>
  <c r="CY17" i="24"/>
  <c r="CY8" i="24"/>
  <c r="CY6" i="24"/>
  <c r="CY12" i="24"/>
  <c r="CY10" i="24"/>
  <c r="EL6" i="24"/>
  <c r="EI1" i="24"/>
  <c r="EB1" i="24"/>
  <c r="EB8" i="24"/>
  <c r="EC49" i="24"/>
  <c r="EC1" i="24"/>
  <c r="CO4" i="24"/>
  <c r="CR5" i="24" s="1"/>
  <c r="CH14" i="24"/>
  <c r="C177" i="27" s="1"/>
  <c r="O177" i="27" s="1"/>
  <c r="BW14" i="24"/>
  <c r="BW6" i="24"/>
  <c r="CH6" i="24"/>
  <c r="C6" i="27" s="1"/>
  <c r="O6" i="27" s="1"/>
  <c r="CH8" i="24"/>
  <c r="C45" i="27" s="1"/>
  <c r="O45" i="27" s="1"/>
  <c r="BW8" i="24"/>
  <c r="CH10" i="24"/>
  <c r="C89" i="27" s="1"/>
  <c r="O89" i="27" s="1"/>
  <c r="BW10" i="24"/>
  <c r="Z9" i="18"/>
  <c r="Z8" i="18" s="1"/>
  <c r="Z15" i="18" s="1"/>
  <c r="CI11" i="24"/>
  <c r="CN13" i="24" s="1"/>
  <c r="V9" i="18"/>
  <c r="V10" i="18" s="1"/>
  <c r="V16" i="18" s="1"/>
  <c r="CI7" i="24"/>
  <c r="CN9" i="24" s="1"/>
  <c r="DE18" i="24" s="1"/>
  <c r="AB9" i="18"/>
  <c r="AB8" i="18" s="1"/>
  <c r="AB15" i="18" s="1"/>
  <c r="CI13" i="24"/>
  <c r="CN15" i="24" s="1"/>
  <c r="X9" i="18"/>
  <c r="X10" i="18" s="1"/>
  <c r="BX5" i="24"/>
  <c r="P9" i="18"/>
  <c r="Q9" i="18" s="1"/>
  <c r="BX11" i="24"/>
  <c r="R9" i="18"/>
  <c r="R8" i="18" s="1"/>
  <c r="S8" i="18" s="1"/>
  <c r="BX13" i="24"/>
  <c r="L9" i="18"/>
  <c r="M9" i="18" s="1"/>
  <c r="BX7" i="24"/>
  <c r="AA73" i="24"/>
  <c r="CD10" i="24" s="1"/>
  <c r="AG79" i="24"/>
  <c r="AI51" i="24"/>
  <c r="J9" i="18"/>
  <c r="J8" i="18" s="1"/>
  <c r="K8" i="18" s="1"/>
  <c r="CY25" i="22"/>
  <c r="CY24" i="22"/>
  <c r="AP14" i="22"/>
  <c r="AQ14" i="22"/>
  <c r="AM14" i="22"/>
  <c r="AJ18" i="22"/>
  <c r="AM6" i="22"/>
  <c r="AN6" i="22"/>
  <c r="AS33" i="22"/>
  <c r="AP24" i="22"/>
  <c r="AR14" i="22"/>
  <c r="AN14" i="22"/>
  <c r="AS29" i="22"/>
  <c r="AO14" i="22"/>
  <c r="CG5" i="22"/>
  <c r="CG6" i="22" s="1"/>
  <c r="BG6" i="22"/>
  <c r="BH5" i="22" s="1"/>
  <c r="BH2" i="22"/>
  <c r="AG25" i="24"/>
  <c r="AG81" i="24" s="1"/>
  <c r="AI81" i="24" s="1"/>
  <c r="EB18" i="24"/>
  <c r="AL6" i="24"/>
  <c r="AI106" i="24"/>
  <c r="EK26" i="24"/>
  <c r="EK68" i="24"/>
  <c r="CC4" i="24"/>
  <c r="EB71" i="24"/>
  <c r="U101" i="24"/>
  <c r="AK70" i="24"/>
  <c r="CK20" i="24" s="1"/>
  <c r="AA61" i="24"/>
  <c r="AA48" i="24" s="1"/>
  <c r="CD8" i="24" s="1"/>
  <c r="CP8" i="24" s="1"/>
  <c r="EJ38" i="24"/>
  <c r="BB105" i="24"/>
  <c r="EK38" i="24"/>
  <c r="EK28" i="24"/>
  <c r="BB86" i="24"/>
  <c r="EC52" i="24"/>
  <c r="AA12" i="24"/>
  <c r="CD6" i="24" s="1"/>
  <c r="CP6" i="24" s="1"/>
  <c r="Z2" i="24"/>
  <c r="EK20" i="24"/>
  <c r="U48" i="24"/>
  <c r="EK1" i="24"/>
  <c r="AK95" i="24"/>
  <c r="CK22" i="24" s="1"/>
  <c r="EK12" i="24"/>
  <c r="EC71" i="24"/>
  <c r="BB49" i="24"/>
  <c r="AA101" i="24"/>
  <c r="CD12" i="24" s="1"/>
  <c r="BB123" i="24"/>
  <c r="EI8" i="24"/>
  <c r="EI42" i="24" s="1"/>
  <c r="EK24" i="24"/>
  <c r="EJ68" i="24"/>
  <c r="AG171" i="24"/>
  <c r="AI141" i="24"/>
  <c r="AG31" i="24"/>
  <c r="AI21" i="24"/>
  <c r="AG59" i="24"/>
  <c r="AI59" i="24" s="1"/>
  <c r="EJ40" i="24"/>
  <c r="AK159" i="24"/>
  <c r="AK158" i="24" s="1"/>
  <c r="BA2" i="24"/>
  <c r="EK40" i="24"/>
  <c r="BB47" i="24"/>
  <c r="AG85" i="24"/>
  <c r="EI10" i="24"/>
  <c r="EI44" i="24" s="1"/>
  <c r="EI47" i="24"/>
  <c r="AK124" i="24"/>
  <c r="CK24" i="24" s="1"/>
  <c r="EK47" i="24"/>
  <c r="EK18" i="24"/>
  <c r="EK49" i="24"/>
  <c r="AK42" i="24"/>
  <c r="CK18" i="24" s="1"/>
  <c r="BB32" i="24"/>
  <c r="BB72" i="24" s="1"/>
  <c r="BB148" i="24"/>
  <c r="BB6" i="24"/>
  <c r="EB49" i="24"/>
  <c r="EB47" i="24"/>
  <c r="EB40" i="24"/>
  <c r="EB54" i="24"/>
  <c r="EB20" i="24"/>
  <c r="EB52" i="24"/>
  <c r="BB125" i="24"/>
  <c r="EI38" i="24"/>
  <c r="EI26" i="24"/>
  <c r="EI12" i="24"/>
  <c r="EI54" i="24"/>
  <c r="EI68" i="24"/>
  <c r="EI20" i="24"/>
  <c r="EI18" i="24"/>
  <c r="EI52" i="24"/>
  <c r="EI30" i="24"/>
  <c r="EI28" i="24"/>
  <c r="EJ26" i="24"/>
  <c r="EJ12" i="24"/>
  <c r="EJ1" i="24"/>
  <c r="EJ54" i="24"/>
  <c r="EJ10" i="24"/>
  <c r="EJ44" i="24" s="1"/>
  <c r="EJ8" i="24"/>
  <c r="EJ42" i="24" s="1"/>
  <c r="EJ32" i="24"/>
  <c r="EJ18" i="24"/>
  <c r="EJ52" i="24"/>
  <c r="EJ30" i="24"/>
  <c r="EJ16" i="24"/>
  <c r="EJ28" i="24"/>
  <c r="EI16" i="24"/>
  <c r="EI24" i="24"/>
  <c r="EI32" i="24"/>
  <c r="EJ24" i="24"/>
  <c r="EJ20" i="24"/>
  <c r="EI49" i="24"/>
  <c r="CC14" i="24"/>
  <c r="CC10" i="24"/>
  <c r="CC8" i="24"/>
  <c r="EI40" i="24"/>
  <c r="EJ49" i="24"/>
  <c r="CO10" i="24"/>
  <c r="CO8" i="24"/>
  <c r="D50" i="27" s="1"/>
  <c r="F50" i="27" s="1"/>
  <c r="P50" i="27" s="1"/>
  <c r="BB211" i="24"/>
  <c r="BB226" i="24"/>
  <c r="BB107" i="24"/>
  <c r="BB88" i="24"/>
  <c r="CO14" i="24"/>
  <c r="BB26" i="24"/>
  <c r="BB146" i="24"/>
  <c r="EK16" i="24"/>
  <c r="EC54" i="24"/>
  <c r="EK30" i="24"/>
  <c r="EK52" i="24"/>
  <c r="EK32" i="24"/>
  <c r="EK8" i="24"/>
  <c r="EK42" i="24" s="1"/>
  <c r="EK10" i="24"/>
  <c r="EK44" i="24" s="1"/>
  <c r="EC47" i="24"/>
  <c r="U101" i="19"/>
  <c r="BX10" i="22"/>
  <c r="AS8" i="22"/>
  <c r="AS28" i="22"/>
  <c r="AO6" i="22"/>
  <c r="AS7" i="22"/>
  <c r="AS11" i="22"/>
  <c r="AS26" i="22"/>
  <c r="AS27" i="22"/>
  <c r="AD33" i="22"/>
  <c r="AP6" i="22"/>
  <c r="AD8" i="22"/>
  <c r="AD26" i="22"/>
  <c r="AD27" i="22"/>
  <c r="AD28" i="22"/>
  <c r="AD29" i="22"/>
  <c r="AQ6" i="22"/>
  <c r="AD7" i="22"/>
  <c r="AS10" i="22"/>
  <c r="AD11" i="22"/>
  <c r="AD37" i="22"/>
  <c r="AR6" i="22"/>
  <c r="CG20" i="22"/>
  <c r="BW10" i="22"/>
  <c r="AR24" i="22"/>
  <c r="AS25" i="22"/>
  <c r="AM24" i="22"/>
  <c r="AD10" i="22"/>
  <c r="AS15" i="22"/>
  <c r="AS16" i="22"/>
  <c r="AS17" i="22"/>
  <c r="AS18" i="22"/>
  <c r="AN24" i="22"/>
  <c r="AD25" i="22"/>
  <c r="AO24" i="22"/>
  <c r="AD15" i="22"/>
  <c r="AD16" i="22"/>
  <c r="AD17" i="22"/>
  <c r="AD18" i="22"/>
  <c r="AQ24" i="22"/>
  <c r="AA46" i="27" l="1"/>
  <c r="AA133" i="27"/>
  <c r="BB85" i="24"/>
  <c r="FL42" i="24"/>
  <c r="EB34" i="24"/>
  <c r="FE42" i="24"/>
  <c r="EL42" i="24"/>
  <c r="FE44" i="24"/>
  <c r="FL44" i="24"/>
  <c r="EL44" i="24"/>
  <c r="EI34" i="24"/>
  <c r="EJ34" i="24"/>
  <c r="EK34" i="24"/>
  <c r="AO46" i="27"/>
  <c r="AO89" i="27"/>
  <c r="AB52" i="27"/>
  <c r="AP52" i="27" s="1"/>
  <c r="FE16" i="24"/>
  <c r="FL16" i="24"/>
  <c r="BQ81" i="27"/>
  <c r="AP11" i="27"/>
  <c r="FL18" i="24"/>
  <c r="FE18" i="24"/>
  <c r="DG17" i="24"/>
  <c r="DG44" i="24"/>
  <c r="AO6" i="27"/>
  <c r="BQ6" i="27"/>
  <c r="DF10" i="24"/>
  <c r="BS14" i="27"/>
  <c r="BS10" i="27"/>
  <c r="DF4" i="24"/>
  <c r="DI5" i="24" s="1"/>
  <c r="DH5" i="24" s="1"/>
  <c r="AO133" i="27"/>
  <c r="DF12" i="24"/>
  <c r="EB10" i="24"/>
  <c r="EB42" i="24" s="1"/>
  <c r="DF44" i="24"/>
  <c r="DF48" i="24" s="1"/>
  <c r="D182" i="27"/>
  <c r="F182" i="27" s="1"/>
  <c r="P182" i="27" s="1"/>
  <c r="DF26" i="24"/>
  <c r="DF28" i="24" s="1"/>
  <c r="D94" i="27"/>
  <c r="F94" i="27" s="1"/>
  <c r="P94" i="27" s="1"/>
  <c r="CD11" i="24"/>
  <c r="CP10" i="24"/>
  <c r="CO12" i="24"/>
  <c r="DF17" i="24"/>
  <c r="DE22" i="24"/>
  <c r="DE20" i="24"/>
  <c r="FE52" i="24"/>
  <c r="FL52" i="24"/>
  <c r="FE47" i="24"/>
  <c r="FL47" i="24"/>
  <c r="FE40" i="24"/>
  <c r="FL40" i="24"/>
  <c r="FL20" i="24"/>
  <c r="FE20" i="24"/>
  <c r="FE68" i="24"/>
  <c r="FE49" i="24"/>
  <c r="FL49" i="24"/>
  <c r="FE26" i="24"/>
  <c r="FL26" i="24"/>
  <c r="FE30" i="24"/>
  <c r="FL30" i="24"/>
  <c r="FE32" i="24"/>
  <c r="FL32" i="24"/>
  <c r="FL54" i="24"/>
  <c r="FE54" i="24"/>
  <c r="FE38" i="24"/>
  <c r="FL38" i="24"/>
  <c r="FL24" i="24"/>
  <c r="FE24" i="24"/>
  <c r="FL28" i="24"/>
  <c r="FE28" i="24"/>
  <c r="FE10" i="24"/>
  <c r="FL10" i="24"/>
  <c r="FL12" i="24"/>
  <c r="FE12" i="24"/>
  <c r="FL8" i="24"/>
  <c r="FE8" i="24"/>
  <c r="CN8" i="24"/>
  <c r="D49" i="27" s="1"/>
  <c r="F49" i="27" s="1"/>
  <c r="P49" i="27" s="1"/>
  <c r="CN11" i="24"/>
  <c r="CD9" i="24"/>
  <c r="CN10" i="24"/>
  <c r="CN14" i="24"/>
  <c r="CC12" i="24"/>
  <c r="CC1" i="24"/>
  <c r="CE5" i="24"/>
  <c r="CD5" i="24" s="1"/>
  <c r="CO1" i="24"/>
  <c r="Z10" i="18"/>
  <c r="AA10" i="18" s="1"/>
  <c r="V8" i="18"/>
  <c r="V15" i="18" s="1"/>
  <c r="AB10" i="18"/>
  <c r="AB16" i="18" s="1"/>
  <c r="Y9" i="18"/>
  <c r="X8" i="18"/>
  <c r="X15" i="18" s="1"/>
  <c r="L8" i="18"/>
  <c r="M8" i="18" s="1"/>
  <c r="M15" i="18" s="1"/>
  <c r="L10" i="18"/>
  <c r="L11" i="18" s="1"/>
  <c r="R10" i="18"/>
  <c r="S10" i="18" s="1"/>
  <c r="S9" i="18"/>
  <c r="AC9" i="18" s="1"/>
  <c r="P8" i="18"/>
  <c r="Q8" i="18" s="1"/>
  <c r="Q15" i="18" s="1"/>
  <c r="P10" i="18"/>
  <c r="Q10" i="18" s="1"/>
  <c r="AG143" i="24"/>
  <c r="AG173" i="24" s="1"/>
  <c r="AI79" i="24"/>
  <c r="AI25" i="24"/>
  <c r="AG145" i="24"/>
  <c r="AI145" i="24" s="1"/>
  <c r="J10" i="18"/>
  <c r="J11" i="18" s="1"/>
  <c r="K9" i="18"/>
  <c r="W10" i="18"/>
  <c r="AA8" i="18"/>
  <c r="X11" i="18"/>
  <c r="Y10" i="18"/>
  <c r="AG27" i="24"/>
  <c r="AG57" i="24" s="1"/>
  <c r="AI57" i="24" s="1"/>
  <c r="AI50" i="24" s="1"/>
  <c r="AG110" i="24"/>
  <c r="AG114" i="24" s="1"/>
  <c r="AI114" i="24" s="1"/>
  <c r="V11" i="18"/>
  <c r="V17" i="18" s="1"/>
  <c r="X16" i="18"/>
  <c r="AM2" i="22"/>
  <c r="AU6" i="22" s="1"/>
  <c r="BH9" i="22"/>
  <c r="BH6" i="22"/>
  <c r="BH4" i="22"/>
  <c r="BH3" i="22"/>
  <c r="BZ41" i="24"/>
  <c r="AK138" i="24"/>
  <c r="BB25" i="24"/>
  <c r="BB66" i="24"/>
  <c r="BB65" i="24" s="1"/>
  <c r="EL68" i="24"/>
  <c r="BB122" i="24"/>
  <c r="Z7" i="18"/>
  <c r="AB7" i="18"/>
  <c r="AB14" i="18" s="1"/>
  <c r="EL38" i="24"/>
  <c r="R7" i="18"/>
  <c r="S7" i="18" s="1"/>
  <c r="S14" i="18" s="1"/>
  <c r="EL28" i="24"/>
  <c r="J7" i="18"/>
  <c r="K7" i="18" s="1"/>
  <c r="K14" i="18" s="1"/>
  <c r="BB46" i="24"/>
  <c r="W9" i="18"/>
  <c r="AA9" i="18"/>
  <c r="EL8" i="24"/>
  <c r="EL40" i="24"/>
  <c r="BB104" i="24"/>
  <c r="AI31" i="24"/>
  <c r="AG153" i="24"/>
  <c r="AI153" i="24" s="1"/>
  <c r="EL47" i="24"/>
  <c r="EL18" i="24"/>
  <c r="BD225" i="24"/>
  <c r="AI85" i="24"/>
  <c r="AG104" i="24"/>
  <c r="AI104" i="24" s="1"/>
  <c r="AI139" i="24"/>
  <c r="AG169" i="24"/>
  <c r="EL1" i="24"/>
  <c r="EL24" i="24"/>
  <c r="EL10" i="24"/>
  <c r="EL12" i="24"/>
  <c r="EL16" i="24"/>
  <c r="EL26" i="24"/>
  <c r="EL49" i="24"/>
  <c r="EL52" i="24"/>
  <c r="EL20" i="24"/>
  <c r="EL30" i="24"/>
  <c r="EL32" i="24"/>
  <c r="EL54" i="24"/>
  <c r="AQ2" i="22"/>
  <c r="AS14" i="22"/>
  <c r="CG21" i="22"/>
  <c r="AN2" i="22"/>
  <c r="AV24" i="22" s="1"/>
  <c r="AR2" i="22"/>
  <c r="AS24" i="22"/>
  <c r="AP2" i="22"/>
  <c r="AS6" i="22"/>
  <c r="AO2" i="22"/>
  <c r="CG7" i="22"/>
  <c r="EB24" i="24" l="1"/>
  <c r="EB32" i="24"/>
  <c r="EB28" i="24"/>
  <c r="DF46" i="24"/>
  <c r="AB95" i="27"/>
  <c r="AP95" i="27" s="1"/>
  <c r="EB44" i="24"/>
  <c r="FE34" i="24"/>
  <c r="FL34" i="24"/>
  <c r="EL34" i="24"/>
  <c r="DG26" i="24"/>
  <c r="DG30" i="24" s="1"/>
  <c r="AU17" i="22"/>
  <c r="AU25" i="22"/>
  <c r="AU8" i="22"/>
  <c r="AU29" i="22"/>
  <c r="AU15" i="22"/>
  <c r="AU11" i="22"/>
  <c r="AU14" i="22"/>
  <c r="AU26" i="22"/>
  <c r="AU10" i="22"/>
  <c r="AU27" i="22"/>
  <c r="AU33" i="22"/>
  <c r="AU16" i="22"/>
  <c r="AU28" i="22"/>
  <c r="AU24" i="22"/>
  <c r="AU7" i="22"/>
  <c r="AU18" i="22"/>
  <c r="AU9" i="22"/>
  <c r="DF30" i="24"/>
  <c r="DF35" i="24"/>
  <c r="DF39" i="24" s="1"/>
  <c r="D138" i="27"/>
  <c r="F138" i="27" s="1"/>
  <c r="P138" i="27" s="1"/>
  <c r="DE26" i="24"/>
  <c r="DE30" i="24" s="1"/>
  <c r="D93" i="27"/>
  <c r="F93" i="27" s="1"/>
  <c r="P93" i="27" s="1"/>
  <c r="DE44" i="24"/>
  <c r="DE48" i="24" s="1"/>
  <c r="D181" i="27"/>
  <c r="F181" i="27" s="1"/>
  <c r="P181" i="27" s="1"/>
  <c r="CP9" i="24"/>
  <c r="DG18" i="24" s="1"/>
  <c r="CP11" i="24"/>
  <c r="DG27" i="24" s="1"/>
  <c r="DG29" i="24" s="1"/>
  <c r="DF19" i="24"/>
  <c r="DF21" i="24"/>
  <c r="DE17" i="24"/>
  <c r="DE19" i="24" s="1"/>
  <c r="BF49" i="27"/>
  <c r="BR49" i="27" s="1"/>
  <c r="BS49" i="27" s="1"/>
  <c r="BF130" i="27"/>
  <c r="BR130" i="27" s="1"/>
  <c r="BS130" i="27" s="1"/>
  <c r="BF85" i="27"/>
  <c r="BR85" i="27" s="1"/>
  <c r="BS85" i="27" s="1"/>
  <c r="FL1" i="24"/>
  <c r="FE1" i="24"/>
  <c r="DG21" i="24"/>
  <c r="DG19" i="24"/>
  <c r="CD13" i="24"/>
  <c r="CP12" i="24"/>
  <c r="CN12" i="24"/>
  <c r="CD15" i="24"/>
  <c r="DG46" i="24"/>
  <c r="DG48" i="24" s="1"/>
  <c r="V7" i="18"/>
  <c r="V14" i="18" s="1"/>
  <c r="CQ8" i="24"/>
  <c r="D51" i="27" s="1"/>
  <c r="F51" i="27" s="1"/>
  <c r="P51" i="27" s="1"/>
  <c r="EB12" i="24"/>
  <c r="W8" i="18"/>
  <c r="W15" i="18" s="1"/>
  <c r="Z16" i="18"/>
  <c r="Z11" i="18"/>
  <c r="Z12" i="18" s="1"/>
  <c r="AA12" i="18" s="1"/>
  <c r="AB11" i="18"/>
  <c r="AC11" i="18" s="1"/>
  <c r="Y16" i="18"/>
  <c r="X7" i="18"/>
  <c r="Y7" i="18" s="1"/>
  <c r="Y8" i="18"/>
  <c r="Y15" i="18" s="1"/>
  <c r="P7" i="18"/>
  <c r="Q7" i="18" s="1"/>
  <c r="Q14" i="18" s="1"/>
  <c r="L7" i="18"/>
  <c r="M7" i="18" s="1"/>
  <c r="M14" i="18" s="1"/>
  <c r="P11" i="18"/>
  <c r="Q11" i="18" s="1"/>
  <c r="S16" i="18"/>
  <c r="R11" i="18"/>
  <c r="S11" i="18" s="1"/>
  <c r="S17" i="18" s="1"/>
  <c r="M10" i="18"/>
  <c r="M16" i="18" s="1"/>
  <c r="S15" i="18"/>
  <c r="AC10" i="18"/>
  <c r="AC16" i="18" s="1"/>
  <c r="AC8" i="18"/>
  <c r="AC15" i="18" s="1"/>
  <c r="AA16" i="18"/>
  <c r="AI143" i="24"/>
  <c r="K10" i="18"/>
  <c r="K16" i="18" s="1"/>
  <c r="AI110" i="24"/>
  <c r="AI27" i="24"/>
  <c r="AG83" i="24"/>
  <c r="AI83" i="24" s="1"/>
  <c r="AG147" i="24"/>
  <c r="AG149" i="24" s="1"/>
  <c r="AG116" i="24"/>
  <c r="AI116" i="24" s="1"/>
  <c r="AA15" i="18"/>
  <c r="K15" i="18"/>
  <c r="W16" i="18"/>
  <c r="AC7" i="18"/>
  <c r="V12" i="18"/>
  <c r="W12" i="18" s="1"/>
  <c r="W11" i="18"/>
  <c r="X12" i="18"/>
  <c r="Y12" i="18" s="1"/>
  <c r="Y11" i="18"/>
  <c r="Z14" i="18"/>
  <c r="AA7" i="18"/>
  <c r="AA14" i="18" s="1"/>
  <c r="X17" i="18"/>
  <c r="L12" i="18"/>
  <c r="M12" i="18" s="1"/>
  <c r="M11" i="18"/>
  <c r="Q16" i="18"/>
  <c r="J12" i="18"/>
  <c r="K12" i="18" s="1"/>
  <c r="K11" i="18"/>
  <c r="Z6" i="18"/>
  <c r="AA6" i="18" s="1"/>
  <c r="AB6" i="18"/>
  <c r="AC6" i="18" s="1"/>
  <c r="J6" i="18"/>
  <c r="K6" i="18" s="1"/>
  <c r="K13" i="18" s="1"/>
  <c r="R6" i="18"/>
  <c r="S6" i="18" s="1"/>
  <c r="AW9" i="22"/>
  <c r="AW28" i="22"/>
  <c r="AW27" i="22"/>
  <c r="AW26" i="22"/>
  <c r="AW11" i="22"/>
  <c r="AW8" i="22"/>
  <c r="AW29" i="22"/>
  <c r="AW33" i="22"/>
  <c r="AW18" i="22"/>
  <c r="AW17" i="22"/>
  <c r="AW16" i="22"/>
  <c r="AW7" i="22"/>
  <c r="AW25" i="22"/>
  <c r="AW15" i="22"/>
  <c r="AW10" i="22"/>
  <c r="AW14" i="22"/>
  <c r="AW6" i="22"/>
  <c r="AY28" i="22"/>
  <c r="AY27" i="22"/>
  <c r="AY26" i="22"/>
  <c r="AY11" i="22"/>
  <c r="AY8" i="22"/>
  <c r="AY33" i="22"/>
  <c r="AY16" i="22"/>
  <c r="AY15" i="22"/>
  <c r="AY9" i="22"/>
  <c r="AY18" i="22"/>
  <c r="AY17" i="22"/>
  <c r="AY14" i="22"/>
  <c r="AY7" i="22"/>
  <c r="AY10" i="22"/>
  <c r="AY25" i="22"/>
  <c r="AY29" i="22"/>
  <c r="AY6" i="22"/>
  <c r="AW24" i="22"/>
  <c r="AS2" i="22"/>
  <c r="AO1" i="22" s="1"/>
  <c r="AW1" i="22" s="1"/>
  <c r="AV18" i="22"/>
  <c r="AV17" i="22"/>
  <c r="AV16" i="22"/>
  <c r="AV15" i="22"/>
  <c r="AV14" i="22"/>
  <c r="AV10" i="22"/>
  <c r="AV33" i="22"/>
  <c r="AV7" i="22"/>
  <c r="AV28" i="22"/>
  <c r="AV27" i="22"/>
  <c r="AV26" i="22"/>
  <c r="AV11" i="22"/>
  <c r="AV8" i="22"/>
  <c r="AV29" i="22"/>
  <c r="AV6" i="22"/>
  <c r="AV9" i="22"/>
  <c r="AV25" i="22"/>
  <c r="AX26" i="22"/>
  <c r="AX28" i="22"/>
  <c r="AX14" i="22"/>
  <c r="AX18" i="22"/>
  <c r="AX17" i="22"/>
  <c r="AX16" i="22"/>
  <c r="AX7" i="22"/>
  <c r="AX15" i="22"/>
  <c r="AX29" i="22"/>
  <c r="AX9" i="22"/>
  <c r="AX33" i="22"/>
  <c r="AX10" i="22"/>
  <c r="AX8" i="22"/>
  <c r="AX24" i="22"/>
  <c r="AX25" i="22"/>
  <c r="AX27" i="22"/>
  <c r="AX11" i="22"/>
  <c r="AZ25" i="22"/>
  <c r="AZ29" i="22"/>
  <c r="AZ33" i="22"/>
  <c r="AZ9" i="22"/>
  <c r="AZ18" i="22"/>
  <c r="AZ17" i="22"/>
  <c r="AZ16" i="22"/>
  <c r="AZ15" i="22"/>
  <c r="AZ14" i="22"/>
  <c r="AZ8" i="22"/>
  <c r="AZ11" i="22"/>
  <c r="AZ28" i="22"/>
  <c r="AZ26" i="22"/>
  <c r="AZ27" i="22"/>
  <c r="AZ7" i="22"/>
  <c r="AZ10" i="22"/>
  <c r="CG22" i="22"/>
  <c r="AX6" i="22"/>
  <c r="AZ6" i="22"/>
  <c r="AZ24" i="22"/>
  <c r="CG8" i="22"/>
  <c r="CG10" i="22" s="1"/>
  <c r="AY24" i="22"/>
  <c r="AB139" i="27" l="1"/>
  <c r="AP139" i="27" s="1"/>
  <c r="EB38" i="24"/>
  <c r="EB30" i="24"/>
  <c r="DG28" i="24"/>
  <c r="DF37" i="24"/>
  <c r="DG31" i="24"/>
  <c r="DE28" i="24"/>
  <c r="DE46" i="24"/>
  <c r="DE35" i="24"/>
  <c r="DE39" i="24" s="1"/>
  <c r="D137" i="27"/>
  <c r="F137" i="27" s="1"/>
  <c r="P137" i="27" s="1"/>
  <c r="DG20" i="24"/>
  <c r="DG22" i="24"/>
  <c r="CP15" i="24"/>
  <c r="DG45" i="24" s="1"/>
  <c r="DG47" i="24" s="1"/>
  <c r="DG49" i="24" s="1"/>
  <c r="DG35" i="24"/>
  <c r="DG37" i="24" s="1"/>
  <c r="DG39" i="24" s="1"/>
  <c r="CP13" i="24"/>
  <c r="DG36" i="24" s="1"/>
  <c r="DG38" i="24" s="1"/>
  <c r="DG40" i="24" s="1"/>
  <c r="CQ9" i="24"/>
  <c r="DH17" i="24"/>
  <c r="DH21" i="24" s="1"/>
  <c r="DE21" i="24"/>
  <c r="V6" i="18"/>
  <c r="W6" i="18" s="1"/>
  <c r="W7" i="18"/>
  <c r="W14" i="18" s="1"/>
  <c r="Z17" i="18"/>
  <c r="AA11" i="18"/>
  <c r="AA17" i="18" s="1"/>
  <c r="AB12" i="18"/>
  <c r="AC12" i="18" s="1"/>
  <c r="AC18" i="18" s="1"/>
  <c r="AB17" i="18"/>
  <c r="X6" i="18"/>
  <c r="Y6" i="18" s="1"/>
  <c r="Y13" i="18" s="1"/>
  <c r="X14" i="18"/>
  <c r="Y14" i="18"/>
  <c r="L6" i="18"/>
  <c r="M6" i="18" s="1"/>
  <c r="M13" i="18" s="1"/>
  <c r="P6" i="18"/>
  <c r="Q6" i="18" s="1"/>
  <c r="Q13" i="18" s="1"/>
  <c r="AC14" i="18"/>
  <c r="P12" i="18"/>
  <c r="Q12" i="18" s="1"/>
  <c r="Q18" i="18" s="1"/>
  <c r="K18" i="18"/>
  <c r="AC17" i="18"/>
  <c r="R12" i="18"/>
  <c r="S12" i="18" s="1"/>
  <c r="S18" i="18" s="1"/>
  <c r="AI147" i="24"/>
  <c r="M18" i="18"/>
  <c r="Y18" i="18"/>
  <c r="X18" i="18"/>
  <c r="K17" i="18"/>
  <c r="V18" i="18"/>
  <c r="W18" i="18"/>
  <c r="Z18" i="18"/>
  <c r="M17" i="18"/>
  <c r="W17" i="18"/>
  <c r="Q17" i="18"/>
  <c r="Y17" i="18"/>
  <c r="BA24" i="22"/>
  <c r="BD24" i="22" s="1"/>
  <c r="BF24" i="22" s="1"/>
  <c r="AR1" i="22"/>
  <c r="AZ1" i="22" s="1"/>
  <c r="Z13" i="18"/>
  <c r="AA13" i="18"/>
  <c r="AB13" i="18"/>
  <c r="AC13" i="18"/>
  <c r="S13" i="18"/>
  <c r="AG175" i="24"/>
  <c r="AG177" i="24" s="1"/>
  <c r="AG179" i="24" s="1"/>
  <c r="AI149" i="24"/>
  <c r="AW4" i="22"/>
  <c r="AO4" i="22"/>
  <c r="AO3" i="22" s="1"/>
  <c r="BA6" i="22"/>
  <c r="AQ1" i="22"/>
  <c r="AY1" i="22" s="1"/>
  <c r="BA33" i="22"/>
  <c r="AS1" i="22"/>
  <c r="BA9" i="22"/>
  <c r="BA29" i="22"/>
  <c r="BA18" i="22"/>
  <c r="BA17" i="22"/>
  <c r="AM1" i="22"/>
  <c r="AU1" i="22" s="1"/>
  <c r="BA27" i="22"/>
  <c r="BA28" i="22"/>
  <c r="BA25" i="22"/>
  <c r="BA7" i="22"/>
  <c r="BA10" i="22"/>
  <c r="BA26" i="22"/>
  <c r="BA8" i="22"/>
  <c r="BA16" i="22"/>
  <c r="BA11" i="22"/>
  <c r="BA15" i="22"/>
  <c r="BA14" i="22"/>
  <c r="CG24" i="22"/>
  <c r="AN1" i="22"/>
  <c r="AP1" i="22"/>
  <c r="AX1" i="22" s="1"/>
  <c r="AN4" i="22" l="1"/>
  <c r="AN3" i="22" s="1"/>
  <c r="AV1" i="22"/>
  <c r="DH19" i="24"/>
  <c r="DE37" i="24"/>
  <c r="DH18" i="24"/>
  <c r="DH22" i="24" s="1"/>
  <c r="W13" i="18"/>
  <c r="V13" i="18"/>
  <c r="AA18" i="18"/>
  <c r="AB18" i="18"/>
  <c r="X13" i="18"/>
  <c r="BC24" i="22"/>
  <c r="BE24" i="22" s="1"/>
  <c r="BA1" i="22"/>
  <c r="AZ4" i="22"/>
  <c r="AZ3" i="22" s="1"/>
  <c r="AR4" i="22"/>
  <c r="AR3" i="22" s="1"/>
  <c r="BC9" i="22"/>
  <c r="BD9" i="22"/>
  <c r="AX4" i="22"/>
  <c r="AX3" i="22" s="1"/>
  <c r="AP4" i="22"/>
  <c r="AP3" i="22" s="1"/>
  <c r="BD10" i="22"/>
  <c r="BC10" i="22"/>
  <c r="BD25" i="22"/>
  <c r="BF25" i="22" s="1"/>
  <c r="BC25" i="22"/>
  <c r="BE25" i="22" s="1"/>
  <c r="BD6" i="22"/>
  <c r="BF6" i="22" s="1"/>
  <c r="BC6" i="22"/>
  <c r="BE6" i="22" s="1"/>
  <c r="BD14" i="22"/>
  <c r="BF14" i="22" s="1"/>
  <c r="BC14" i="22"/>
  <c r="BE14" i="22" s="1"/>
  <c r="BD15" i="22"/>
  <c r="BF15" i="22" s="1"/>
  <c r="BC15" i="22"/>
  <c r="BE15" i="22" s="1"/>
  <c r="BD16" i="22"/>
  <c r="BF16" i="22" s="1"/>
  <c r="BC16" i="22"/>
  <c r="BE16" i="22" s="1"/>
  <c r="BD29" i="22"/>
  <c r="BF29" i="22" s="1"/>
  <c r="BC29" i="22"/>
  <c r="BE29" i="22" s="1"/>
  <c r="BD11" i="22"/>
  <c r="BC11" i="22"/>
  <c r="AS4" i="22"/>
  <c r="BE4" i="22" s="1"/>
  <c r="BA4" i="22"/>
  <c r="BF4" i="22" s="1"/>
  <c r="BD33" i="22"/>
  <c r="BC33" i="22"/>
  <c r="BD8" i="22"/>
  <c r="BC8" i="22"/>
  <c r="BD26" i="22"/>
  <c r="BF26" i="22" s="1"/>
  <c r="BC26" i="22"/>
  <c r="BE26" i="22" s="1"/>
  <c r="BD7" i="22"/>
  <c r="BC7" i="22"/>
  <c r="AV4" i="22"/>
  <c r="BD28" i="22"/>
  <c r="BF28" i="22" s="1"/>
  <c r="BC28" i="22"/>
  <c r="BE28" i="22" s="1"/>
  <c r="AY4" i="22"/>
  <c r="AY3" i="22" s="1"/>
  <c r="AQ4" i="22"/>
  <c r="AQ3" i="22" s="1"/>
  <c r="BD27" i="22"/>
  <c r="BF27" i="22" s="1"/>
  <c r="BC27" i="22"/>
  <c r="BE27" i="22" s="1"/>
  <c r="AU4" i="22"/>
  <c r="AM4" i="22"/>
  <c r="AM3" i="22" s="1"/>
  <c r="CG25" i="22"/>
  <c r="CH24" i="22"/>
  <c r="CE24" i="22" s="1"/>
  <c r="BD17" i="22"/>
  <c r="BC17" i="22"/>
  <c r="BP2" i="22" s="1"/>
  <c r="BD18" i="22"/>
  <c r="BC18" i="22"/>
  <c r="BP5" i="22" s="1"/>
  <c r="DH20" i="24" l="1"/>
  <c r="BP7" i="22"/>
  <c r="BP3" i="22"/>
  <c r="BP4" i="22"/>
  <c r="BP6" i="22"/>
  <c r="BF18" i="22"/>
  <c r="BQ5" i="22"/>
  <c r="BU5" i="22" s="1"/>
  <c r="BF8" i="22"/>
  <c r="BQ3" i="22"/>
  <c r="BE33" i="22"/>
  <c r="BP9" i="22"/>
  <c r="BF33" i="22"/>
  <c r="BQ9" i="22"/>
  <c r="BF17" i="22"/>
  <c r="BQ2" i="22"/>
  <c r="BE18" i="22"/>
  <c r="BE11" i="22"/>
  <c r="BP8" i="22"/>
  <c r="CH25" i="22"/>
  <c r="CE25" i="22" s="1"/>
  <c r="BF11" i="22"/>
  <c r="BQ8" i="22"/>
  <c r="BE7" i="22"/>
  <c r="BQ7" i="22"/>
  <c r="BF10" i="22"/>
  <c r="BE17" i="22"/>
  <c r="BE10" i="22"/>
  <c r="BF7" i="22"/>
  <c r="BQ4" i="22"/>
  <c r="BQ6" i="22"/>
  <c r="BF9" i="22"/>
  <c r="BE9" i="22"/>
  <c r="AQ37" i="22"/>
  <c r="BE8" i="22"/>
  <c r="BP10" i="22" l="1"/>
  <c r="BQ10" i="22"/>
  <c r="BT3" i="22"/>
  <c r="BT2" i="22"/>
  <c r="CI2" i="22" s="1"/>
  <c r="BP1" i="22"/>
  <c r="BR6" i="22" s="1"/>
  <c r="BU2" i="22"/>
  <c r="BQ1" i="22"/>
  <c r="BS1" i="22" s="1"/>
  <c r="BT6" i="22"/>
  <c r="CI6" i="22" s="1"/>
  <c r="CJ6" i="22" s="1"/>
  <c r="BT9" i="22"/>
  <c r="CI9" i="22" s="1"/>
  <c r="CJ9" i="22" s="1"/>
  <c r="BT5" i="22"/>
  <c r="CI5" i="22" s="1"/>
  <c r="CJ5" i="22" s="1"/>
  <c r="BU9" i="22"/>
  <c r="BT7" i="22"/>
  <c r="CI7" i="22" s="1"/>
  <c r="CJ7" i="22" s="1"/>
  <c r="BU7" i="22"/>
  <c r="BT4" i="22"/>
  <c r="CB4" i="22" s="1"/>
  <c r="CC4" i="22" s="1"/>
  <c r="BU6" i="22"/>
  <c r="BU8" i="22"/>
  <c r="BU4" i="22"/>
  <c r="BU3" i="22"/>
  <c r="BT8" i="22"/>
  <c r="CI8" i="22" s="1"/>
  <c r="CJ8" i="22" s="1"/>
  <c r="CI3" i="22" l="1"/>
  <c r="CJ3" i="22" s="1"/>
  <c r="CB3" i="22"/>
  <c r="CC3" i="22" s="1"/>
  <c r="BR8" i="22"/>
  <c r="BR5" i="22"/>
  <c r="BR9" i="22"/>
  <c r="BS4" i="22"/>
  <c r="BS8" i="22"/>
  <c r="BS6" i="22"/>
  <c r="BR1" i="22"/>
  <c r="BR2" i="22"/>
  <c r="CI4" i="22"/>
  <c r="CJ4" i="22" s="1"/>
  <c r="BR4" i="22"/>
  <c r="BS7" i="22"/>
  <c r="BS2" i="22"/>
  <c r="BU10" i="22"/>
  <c r="BS5" i="22"/>
  <c r="BR7" i="22"/>
  <c r="BT10" i="22"/>
  <c r="CJ2" i="22"/>
  <c r="BS9" i="22"/>
  <c r="BS3" i="22"/>
  <c r="BR3" i="22"/>
  <c r="CI10" i="22" l="1"/>
  <c r="CJ10" i="22" s="1"/>
  <c r="CG11" i="22"/>
  <c r="EO1" i="24" s="1"/>
  <c r="Z130" i="19" l="1"/>
  <c r="Z48" i="19"/>
  <c r="Z12" i="19"/>
  <c r="AG8" i="8" l="1"/>
  <c r="AG7" i="8"/>
  <c r="AG33" i="8"/>
  <c r="AG25" i="8"/>
  <c r="AG15" i="8"/>
  <c r="AG6" i="8" l="1"/>
  <c r="X29" i="15" l="1"/>
  <c r="X25" i="15"/>
  <c r="X27" i="15"/>
  <c r="X26" i="15"/>
  <c r="X18" i="15"/>
  <c r="X17" i="15"/>
  <c r="X16" i="15"/>
  <c r="X15" i="15"/>
  <c r="X11" i="15"/>
  <c r="X9" i="15"/>
  <c r="AD1" i="16"/>
  <c r="AD1" i="15"/>
  <c r="AD1" i="14"/>
  <c r="V3" i="15"/>
  <c r="AK14" i="8"/>
  <c r="CJ25" i="9" l="1"/>
  <c r="CJ24" i="9"/>
  <c r="BI25" i="9"/>
  <c r="BI24" i="9"/>
  <c r="BN25" i="9"/>
  <c r="BN24" i="9"/>
  <c r="CJ22" i="9"/>
  <c r="CA19" i="9"/>
  <c r="CA20" i="9" s="1"/>
  <c r="CA21" i="9" s="1"/>
  <c r="CA22" i="9" s="1"/>
  <c r="CA24" i="9" s="1"/>
  <c r="CA25" i="9" s="1"/>
  <c r="CJ21" i="9"/>
  <c r="CJ20" i="9"/>
  <c r="CJ19" i="9"/>
  <c r="BM21" i="9"/>
  <c r="BZ19" i="9"/>
  <c r="BN22" i="9"/>
  <c r="BN21" i="9"/>
  <c r="BN20" i="9"/>
  <c r="BN19" i="9"/>
  <c r="AL7" i="19" l="1"/>
  <c r="AL9" i="19"/>
  <c r="O5" i="19" l="1"/>
  <c r="AH74" i="19" l="1"/>
  <c r="AL13" i="19"/>
  <c r="AL11" i="19"/>
  <c r="Z73" i="19"/>
  <c r="CJ9" i="9"/>
  <c r="CG6" i="19" l="1"/>
  <c r="CF6" i="19"/>
  <c r="CE6" i="19"/>
  <c r="CE47" i="19" l="1"/>
  <c r="CE39" i="19"/>
  <c r="CE40" i="19"/>
  <c r="CE41" i="19"/>
  <c r="CF47" i="19"/>
  <c r="CF39" i="19"/>
  <c r="CF41" i="19"/>
  <c r="CF40" i="19"/>
  <c r="CG47" i="19"/>
  <c r="CH47" i="19" s="1"/>
  <c r="CG41" i="19"/>
  <c r="CG40" i="19"/>
  <c r="CG39" i="19"/>
  <c r="CF12" i="19"/>
  <c r="CF32" i="19"/>
  <c r="CF44" i="19"/>
  <c r="CF30" i="19"/>
  <c r="CF42" i="19"/>
  <c r="CF28" i="19"/>
  <c r="CF37" i="19"/>
  <c r="CF25" i="19"/>
  <c r="CF35" i="19"/>
  <c r="CE15" i="19"/>
  <c r="CE32" i="19"/>
  <c r="CE44" i="19"/>
  <c r="CE30" i="19"/>
  <c r="CE42" i="19"/>
  <c r="CE28" i="19"/>
  <c r="CE37" i="19"/>
  <c r="CE25" i="19"/>
  <c r="CE35" i="19"/>
  <c r="CG12" i="19"/>
  <c r="CG32" i="19"/>
  <c r="CG44" i="19"/>
  <c r="CG30" i="19"/>
  <c r="CG42" i="19"/>
  <c r="CG28" i="19"/>
  <c r="CG37" i="19"/>
  <c r="CG25" i="19"/>
  <c r="CG35" i="19"/>
  <c r="CE1" i="19"/>
  <c r="CF1" i="19"/>
  <c r="CG1" i="19"/>
  <c r="CF17" i="19"/>
  <c r="CE17" i="19"/>
  <c r="CE8" i="19"/>
  <c r="CG17" i="19"/>
  <c r="CF15" i="19"/>
  <c r="CF8" i="19"/>
  <c r="CE19" i="19"/>
  <c r="CG8" i="19"/>
  <c r="CF19" i="19"/>
  <c r="CE10" i="19"/>
  <c r="CG19" i="19"/>
  <c r="CG15" i="19"/>
  <c r="CF10" i="19"/>
  <c r="CE23" i="19"/>
  <c r="CG10" i="19"/>
  <c r="CF23" i="19"/>
  <c r="CE12" i="19"/>
  <c r="CG23" i="19"/>
  <c r="CH41" i="19" l="1"/>
  <c r="CH40" i="19"/>
  <c r="CH39" i="19"/>
  <c r="CH1" i="19"/>
  <c r="AJ123" i="19"/>
  <c r="AJ69" i="19"/>
  <c r="AJ41" i="19"/>
  <c r="AJ5" i="19"/>
  <c r="AM37" i="11" l="1"/>
  <c r="AM33" i="11" l="1"/>
  <c r="AK1" i="8"/>
  <c r="U1" i="22" s="1"/>
  <c r="O40" i="10"/>
  <c r="AE35" i="22" s="1"/>
  <c r="AF37" i="22" s="1"/>
  <c r="O37" i="10"/>
  <c r="O38" i="10" s="1"/>
  <c r="O36" i="10"/>
  <c r="F14" i="13"/>
  <c r="G14" i="13" s="1"/>
  <c r="E14" i="13"/>
  <c r="L14" i="13" s="1"/>
  <c r="U1" i="15" l="1"/>
  <c r="U1" i="16"/>
  <c r="U1" i="14"/>
  <c r="BB237" i="19"/>
  <c r="BA236" i="19"/>
  <c r="CJ8" i="9" l="1"/>
  <c r="CJ7" i="9"/>
  <c r="CJ6" i="9"/>
  <c r="CJ5" i="9"/>
  <c r="CJ3" i="9"/>
  <c r="CJ2" i="9"/>
  <c r="CO1" i="9"/>
  <c r="CP1" i="9" s="1"/>
  <c r="CH1" i="9"/>
  <c r="CI1" i="9" s="1"/>
  <c r="CH42" i="19"/>
  <c r="CH44" i="19"/>
  <c r="BZ9" i="9"/>
  <c r="BZ8" i="9"/>
  <c r="BZ25" i="9" s="1"/>
  <c r="BZ7" i="9"/>
  <c r="BZ24" i="9" s="1"/>
  <c r="CB24" i="9" s="1"/>
  <c r="BY24" i="9" s="1"/>
  <c r="BZ6" i="9"/>
  <c r="BZ5" i="9"/>
  <c r="BZ22" i="9" s="1"/>
  <c r="BZ4" i="9"/>
  <c r="BZ21" i="9" s="1"/>
  <c r="BZ3" i="9"/>
  <c r="BZ20" i="9" s="1"/>
  <c r="CA3" i="9"/>
  <c r="CB25" i="9" l="1"/>
  <c r="BY25" i="9" s="1"/>
  <c r="CA4" i="9"/>
  <c r="CA5" i="9"/>
  <c r="BR2" i="19"/>
  <c r="CH37" i="19"/>
  <c r="CH35" i="19"/>
  <c r="CH32" i="19"/>
  <c r="CH30" i="19"/>
  <c r="CH28" i="19"/>
  <c r="CH25" i="19"/>
  <c r="CH23" i="19"/>
  <c r="CH19" i="19"/>
  <c r="CH17" i="19"/>
  <c r="CH15" i="19"/>
  <c r="CH12" i="19"/>
  <c r="CH10" i="19"/>
  <c r="CH8" i="19"/>
  <c r="CH6" i="19"/>
  <c r="BT6" i="19"/>
  <c r="BT17" i="19"/>
  <c r="BT15" i="19"/>
  <c r="BT23" i="19"/>
  <c r="BT28" i="19"/>
  <c r="BT30" i="19"/>
  <c r="BT32" i="19"/>
  <c r="BT37" i="19"/>
  <c r="BT35" i="19"/>
  <c r="BO6" i="19"/>
  <c r="BN6" i="19"/>
  <c r="BZ6" i="19"/>
  <c r="BY6" i="19"/>
  <c r="AL1" i="14" l="1"/>
  <c r="AL1" i="15"/>
  <c r="AM1" i="14"/>
  <c r="AM1" i="15"/>
  <c r="AI1" i="11"/>
  <c r="AL1" i="16"/>
  <c r="BY41" i="19"/>
  <c r="BY40" i="19"/>
  <c r="BY39" i="19"/>
  <c r="BZ47" i="19"/>
  <c r="AJ1" i="11"/>
  <c r="AK1" i="11" s="1"/>
  <c r="AN1" i="14" s="1"/>
  <c r="AM1" i="16"/>
  <c r="BZ41" i="19"/>
  <c r="BZ40" i="19"/>
  <c r="BZ39" i="19"/>
  <c r="BY1" i="19"/>
  <c r="BY47" i="19"/>
  <c r="BO12" i="19"/>
  <c r="BO1" i="19"/>
  <c r="BN12" i="19"/>
  <c r="BN1" i="19"/>
  <c r="BZ15" i="19"/>
  <c r="BZ1" i="19"/>
  <c r="BZ42" i="19"/>
  <c r="BZ10" i="19"/>
  <c r="BZ12" i="19"/>
  <c r="BY15" i="19"/>
  <c r="BY42" i="19"/>
  <c r="BY32" i="19"/>
  <c r="BZ32" i="19"/>
  <c r="CA6" i="9"/>
  <c r="BY35" i="19"/>
  <c r="BY17" i="19"/>
  <c r="BZ17" i="19"/>
  <c r="BY8" i="19"/>
  <c r="BZ23" i="19"/>
  <c r="BZ35" i="19"/>
  <c r="BW6" i="19"/>
  <c r="BW28" i="19" s="1"/>
  <c r="BX6" i="19"/>
  <c r="BZ8" i="19"/>
  <c r="BY23" i="19"/>
  <c r="BY10" i="19"/>
  <c r="BZ28" i="19"/>
  <c r="BY25" i="19"/>
  <c r="BY19" i="19"/>
  <c r="BZ25" i="19"/>
  <c r="BY37" i="19"/>
  <c r="BZ19" i="19"/>
  <c r="BZ37" i="19"/>
  <c r="BY12" i="19"/>
  <c r="BY28" i="19"/>
  <c r="BY30" i="19"/>
  <c r="BZ30" i="19"/>
  <c r="BN8" i="19"/>
  <c r="BO8" i="19"/>
  <c r="BO10" i="19"/>
  <c r="BN10" i="19"/>
  <c r="BP1" i="19" l="1"/>
  <c r="BQ1" i="19" s="1"/>
  <c r="AI1" i="14"/>
  <c r="AI1" i="15"/>
  <c r="AJ1" i="14"/>
  <c r="AJ1" i="15"/>
  <c r="AJ1" i="16"/>
  <c r="BX41" i="19"/>
  <c r="BX40" i="19"/>
  <c r="BX39" i="19"/>
  <c r="AI1" i="16"/>
  <c r="BW40" i="19"/>
  <c r="BW39" i="19"/>
  <c r="BW41" i="19"/>
  <c r="BX1" i="19"/>
  <c r="BX47" i="19"/>
  <c r="BW1" i="19"/>
  <c r="BW47" i="19"/>
  <c r="BW15" i="19"/>
  <c r="BX15" i="19"/>
  <c r="BX44" i="19"/>
  <c r="BX42" i="19"/>
  <c r="BW12" i="19"/>
  <c r="BW42" i="19"/>
  <c r="BW44" i="19"/>
  <c r="BW23" i="19"/>
  <c r="CA7" i="9"/>
  <c r="BX8" i="19"/>
  <c r="BW8" i="19"/>
  <c r="BX32" i="19"/>
  <c r="BX19" i="19"/>
  <c r="BX17" i="19"/>
  <c r="BX25" i="19"/>
  <c r="BX10" i="19"/>
  <c r="BX23" i="19"/>
  <c r="BX37" i="19"/>
  <c r="BX35" i="19"/>
  <c r="BW35" i="19"/>
  <c r="BW37" i="19"/>
  <c r="BW19" i="19"/>
  <c r="BW10" i="19"/>
  <c r="BW17" i="19"/>
  <c r="BX28" i="19"/>
  <c r="BW32" i="19"/>
  <c r="BX12" i="19"/>
  <c r="BW25" i="19"/>
  <c r="BW30" i="19"/>
  <c r="BX30" i="19"/>
  <c r="AQ1" i="16" l="1"/>
  <c r="CB1" i="19"/>
  <c r="CA8" i="9"/>
  <c r="CA10" i="9" s="1"/>
  <c r="BU37" i="19"/>
  <c r="BU35" i="19"/>
  <c r="BS34" i="19"/>
  <c r="BU25" i="19"/>
  <c r="BU23" i="19"/>
  <c r="BU32" i="19"/>
  <c r="BU30" i="19"/>
  <c r="BU28" i="19"/>
  <c r="BU27" i="19"/>
  <c r="BU22" i="19"/>
  <c r="BS21" i="19"/>
  <c r="BU19" i="19"/>
  <c r="BU17" i="19"/>
  <c r="BU15" i="19"/>
  <c r="BS14" i="19"/>
  <c r="BU12" i="19"/>
  <c r="BU10" i="19"/>
  <c r="BU8" i="19"/>
  <c r="BU6" i="19"/>
  <c r="BS5" i="19"/>
  <c r="BK12" i="19"/>
  <c r="BK8" i="19"/>
  <c r="BK6" i="19"/>
  <c r="BK10" i="19"/>
  <c r="BM25" i="19"/>
  <c r="BL25" i="19"/>
  <c r="BM24" i="19"/>
  <c r="BI6" i="19"/>
  <c r="BJ6" i="19"/>
  <c r="BH6" i="19"/>
  <c r="BA215" i="19"/>
  <c r="BA193" i="19"/>
  <c r="BA169" i="19"/>
  <c r="BA146" i="19"/>
  <c r="BA128" i="19"/>
  <c r="BA68" i="19"/>
  <c r="BA46" i="19"/>
  <c r="BA25" i="19"/>
  <c r="BA6" i="19"/>
  <c r="AZ15" i="19" l="1"/>
  <c r="AJ33" i="9" l="1"/>
  <c r="AK70" i="19"/>
  <c r="Z124" i="19"/>
  <c r="Z159" i="19"/>
  <c r="Z165" i="19"/>
  <c r="AH168" i="19"/>
  <c r="AK168" i="19" s="1"/>
  <c r="AH159" i="19"/>
  <c r="AH158" i="19" s="1"/>
  <c r="BF10" i="16"/>
  <c r="AC3" i="16"/>
  <c r="X3" i="16"/>
  <c r="X2" i="16"/>
  <c r="AC3" i="15"/>
  <c r="X3" i="15"/>
  <c r="X2" i="15"/>
  <c r="AC3" i="14"/>
  <c r="X3" i="14"/>
  <c r="X2" i="14"/>
  <c r="AC3" i="11"/>
  <c r="X3" i="11"/>
  <c r="X2" i="11"/>
  <c r="AD1" i="11"/>
  <c r="AC3" i="12"/>
  <c r="X2" i="12"/>
  <c r="AC3" i="9"/>
  <c r="X3" i="9"/>
  <c r="X2" i="9"/>
  <c r="AD1" i="9"/>
  <c r="AS3" i="8"/>
  <c r="BM9" i="19" l="1"/>
  <c r="AU2" i="8"/>
  <c r="AK159" i="19"/>
  <c r="AK158" i="19" s="1"/>
  <c r="AE2" i="11" l="1"/>
  <c r="AE2" i="22"/>
  <c r="AE2" i="14"/>
  <c r="AE2" i="15"/>
  <c r="AE2" i="16"/>
  <c r="AE2" i="9"/>
  <c r="AE2" i="12"/>
  <c r="AQ1" i="8"/>
  <c r="AA1" i="22" s="1"/>
  <c r="AU1" i="8"/>
  <c r="AE1" i="22" s="1"/>
  <c r="AO1" i="8"/>
  <c r="Y1" i="22" s="1"/>
  <c r="AM1" i="8"/>
  <c r="W1" i="22" s="1"/>
  <c r="AT1" i="8"/>
  <c r="AS1" i="8"/>
  <c r="AC1" i="22" s="1"/>
  <c r="AR1" i="8"/>
  <c r="AE3" i="22" l="1"/>
  <c r="W1" i="15"/>
  <c r="W1" i="14"/>
  <c r="W1" i="16"/>
  <c r="AK4" i="16" s="1"/>
  <c r="Y1" i="14"/>
  <c r="Y1" i="16"/>
  <c r="Y1" i="15"/>
  <c r="AE3" i="16"/>
  <c r="AA1" i="14"/>
  <c r="AA1" i="16"/>
  <c r="AA1" i="15"/>
  <c r="AC1" i="14"/>
  <c r="AC1" i="16"/>
  <c r="AC1" i="15"/>
  <c r="AE1" i="16"/>
  <c r="AE1" i="14"/>
  <c r="AE1" i="15"/>
  <c r="AE3" i="15" s="1"/>
  <c r="AE1" i="11"/>
  <c r="AE3" i="11" s="1"/>
  <c r="AE1" i="9"/>
  <c r="AE3" i="9" s="1"/>
  <c r="AU3" i="8"/>
  <c r="U1" i="11"/>
  <c r="U1" i="9"/>
  <c r="W1" i="11"/>
  <c r="W1" i="9"/>
  <c r="Y1" i="9"/>
  <c r="Y1" i="11"/>
  <c r="AA1" i="9"/>
  <c r="AA1" i="11"/>
  <c r="AC1" i="11"/>
  <c r="AC1" i="9"/>
  <c r="AH124" i="19"/>
  <c r="AH50" i="19"/>
  <c r="Z42" i="19"/>
  <c r="AH42" i="19"/>
  <c r="AH20" i="19"/>
  <c r="AH6" i="19"/>
  <c r="Z6" i="19"/>
  <c r="AK6" i="19" l="1"/>
  <c r="AF18" i="22"/>
  <c r="AF9" i="22"/>
  <c r="AF11" i="22"/>
  <c r="AF15" i="22"/>
  <c r="AF33" i="22"/>
  <c r="AF16" i="22"/>
  <c r="AF17" i="22"/>
  <c r="AF25" i="22"/>
  <c r="AF10" i="22"/>
  <c r="AF8" i="22"/>
  <c r="AF26" i="22"/>
  <c r="AF7" i="22"/>
  <c r="AF28" i="22"/>
  <c r="AF29" i="22"/>
  <c r="AF27" i="22"/>
  <c r="Z3" i="19"/>
  <c r="AK124" i="19"/>
  <c r="BM11" i="19" s="1"/>
  <c r="U48" i="19"/>
  <c r="BD146" i="19"/>
  <c r="BD128" i="19"/>
  <c r="BV27" i="19" s="1"/>
  <c r="BD68" i="19"/>
  <c r="AM2" i="8"/>
  <c r="W2" i="22" s="1"/>
  <c r="AK42" i="19"/>
  <c r="BM7" i="19" s="1"/>
  <c r="W3" i="22" l="1"/>
  <c r="AV3" i="22"/>
  <c r="AK3" i="19"/>
  <c r="BV22" i="19"/>
  <c r="BM5" i="19"/>
  <c r="BD236" i="19"/>
  <c r="AK138" i="19"/>
  <c r="AK2" i="8"/>
  <c r="BD6" i="19"/>
  <c r="BV5" i="19" s="1"/>
  <c r="BD215" i="19"/>
  <c r="BV36" i="19" s="1"/>
  <c r="BM41" i="19"/>
  <c r="BD169" i="19"/>
  <c r="BD25" i="19"/>
  <c r="BV14" i="19" s="1"/>
  <c r="BD46" i="19"/>
  <c r="BD193" i="19"/>
  <c r="BV34" i="19" s="1"/>
  <c r="AQ2" i="8"/>
  <c r="AA2" i="22" s="1"/>
  <c r="AO2" i="8"/>
  <c r="Y2" i="22" s="1"/>
  <c r="W2" i="16"/>
  <c r="W2" i="9"/>
  <c r="W2" i="14"/>
  <c r="W2" i="11"/>
  <c r="W3" i="11" s="1"/>
  <c r="X1" i="11" s="1"/>
  <c r="AM3" i="8"/>
  <c r="AN15" i="8" s="1"/>
  <c r="W2" i="15"/>
  <c r="W3" i="15" s="1"/>
  <c r="X1" i="15" s="1"/>
  <c r="W2" i="12"/>
  <c r="AK32" i="8"/>
  <c r="AK24" i="8"/>
  <c r="AK6" i="8"/>
  <c r="S44" i="14"/>
  <c r="AP43" i="14"/>
  <c r="BF43" i="14" s="1"/>
  <c r="AG43" i="14"/>
  <c r="AP42" i="14"/>
  <c r="BF42" i="14" s="1"/>
  <c r="AG42" i="14"/>
  <c r="BF41" i="14"/>
  <c r="AP41" i="14"/>
  <c r="AG41" i="14"/>
  <c r="W3" i="16" l="1"/>
  <c r="X17" i="16" s="1"/>
  <c r="X18" i="22"/>
  <c r="X17" i="22"/>
  <c r="X16" i="22"/>
  <c r="X29" i="22"/>
  <c r="X1" i="22"/>
  <c r="X25" i="22"/>
  <c r="X9" i="22"/>
  <c r="X15" i="22"/>
  <c r="X8" i="22"/>
  <c r="X10" i="22"/>
  <c r="X26" i="22"/>
  <c r="X33" i="22"/>
  <c r="X11" i="22"/>
  <c r="X37" i="22"/>
  <c r="X7" i="22"/>
  <c r="X27" i="22"/>
  <c r="X28" i="22"/>
  <c r="AS37" i="22"/>
  <c r="U2" i="11"/>
  <c r="U3" i="11" s="1"/>
  <c r="U2" i="22"/>
  <c r="AA3" i="22"/>
  <c r="Y3" i="22"/>
  <c r="AW3" i="22"/>
  <c r="U2" i="16"/>
  <c r="U3" i="16" s="1"/>
  <c r="W3" i="9"/>
  <c r="X1" i="9" s="1"/>
  <c r="AL37" i="9"/>
  <c r="BD3" i="19"/>
  <c r="U2" i="14"/>
  <c r="U2" i="9"/>
  <c r="AK3" i="8"/>
  <c r="AL7" i="8" s="1"/>
  <c r="U2" i="12"/>
  <c r="U2" i="15"/>
  <c r="U3" i="15" s="1"/>
  <c r="Y2" i="15"/>
  <c r="Y3" i="15" s="1"/>
  <c r="Y2" i="9"/>
  <c r="Y2" i="12"/>
  <c r="Y2" i="16"/>
  <c r="Y3" i="16" s="1"/>
  <c r="Y2" i="11"/>
  <c r="Y3" i="11" s="1"/>
  <c r="Y2" i="14"/>
  <c r="AO3" i="8"/>
  <c r="AQ3" i="8"/>
  <c r="AA2" i="15"/>
  <c r="AA3" i="15" s="1"/>
  <c r="AA2" i="9"/>
  <c r="AA2" i="11"/>
  <c r="AA3" i="11" s="1"/>
  <c r="AA2" i="14"/>
  <c r="AA2" i="12"/>
  <c r="AA2" i="16"/>
  <c r="AA3" i="16" s="1"/>
  <c r="AP33" i="14"/>
  <c r="X1" i="16" l="1"/>
  <c r="AB18" i="22"/>
  <c r="AB11" i="22"/>
  <c r="AB17" i="22"/>
  <c r="AB9" i="22"/>
  <c r="AB16" i="22"/>
  <c r="AB7" i="22"/>
  <c r="AB8" i="22"/>
  <c r="AB15" i="22"/>
  <c r="AB25" i="22"/>
  <c r="AB10" i="22"/>
  <c r="AB29" i="22"/>
  <c r="AB28" i="22"/>
  <c r="AB27" i="22"/>
  <c r="AB26" i="22"/>
  <c r="Z11" i="22"/>
  <c r="Z10" i="22"/>
  <c r="Z7" i="22"/>
  <c r="Z18" i="22"/>
  <c r="Z17" i="22"/>
  <c r="Z37" i="22"/>
  <c r="Z27" i="22"/>
  <c r="Z16" i="22"/>
  <c r="Z29" i="22"/>
  <c r="Z9" i="22"/>
  <c r="Z26" i="22"/>
  <c r="Z15" i="22"/>
  <c r="Z28" i="22"/>
  <c r="Z33" i="22"/>
  <c r="Z25" i="22"/>
  <c r="Z8" i="22"/>
  <c r="U3" i="22"/>
  <c r="AU3" i="22"/>
  <c r="AS3" i="22"/>
  <c r="AH7" i="22"/>
  <c r="AH7" i="9"/>
  <c r="AA3" i="9"/>
  <c r="Y3" i="9"/>
  <c r="U3" i="9"/>
  <c r="BG4" i="9"/>
  <c r="V9" i="22" l="1"/>
  <c r="AI9" i="22" s="1"/>
  <c r="V18" i="22"/>
  <c r="AI18" i="22" s="1"/>
  <c r="V15" i="22"/>
  <c r="AI15" i="22" s="1"/>
  <c r="V11" i="22"/>
  <c r="AI11" i="22" s="1"/>
  <c r="AI13" i="22" s="1"/>
  <c r="V25" i="22"/>
  <c r="AI25" i="22" s="1"/>
  <c r="V10" i="22"/>
  <c r="AI10" i="22" s="1"/>
  <c r="V17" i="22"/>
  <c r="AI17" i="22" s="1"/>
  <c r="V29" i="22"/>
  <c r="AI29" i="22" s="1"/>
  <c r="V28" i="22"/>
  <c r="AI28" i="22" s="1"/>
  <c r="V16" i="22"/>
  <c r="AI16" i="22" s="1"/>
  <c r="V33" i="22"/>
  <c r="AI33" i="22" s="1"/>
  <c r="V27" i="22"/>
  <c r="AI27" i="22" s="1"/>
  <c r="V26" i="22"/>
  <c r="AI26" i="22" s="1"/>
  <c r="V8" i="22"/>
  <c r="AI8" i="22" s="1"/>
  <c r="V37" i="22"/>
  <c r="AI37" i="22" s="1"/>
  <c r="V7" i="22"/>
  <c r="AI7" i="22" s="1"/>
  <c r="AA16" i="8"/>
  <c r="AA38" i="8"/>
  <c r="AA37" i="8"/>
  <c r="AA36" i="8"/>
  <c r="AA35" i="8"/>
  <c r="AA34" i="8"/>
  <c r="AB34" i="8" s="1"/>
  <c r="AA30" i="8"/>
  <c r="AA29" i="8"/>
  <c r="AA28" i="8"/>
  <c r="AA27" i="8"/>
  <c r="AA26" i="8"/>
  <c r="AB26" i="8" s="1"/>
  <c r="AA20" i="8"/>
  <c r="AA19" i="8"/>
  <c r="AA18" i="8"/>
  <c r="AA17" i="8"/>
  <c r="AB16" i="8"/>
  <c r="AA11" i="8"/>
  <c r="AA10" i="8"/>
  <c r="AA9" i="8"/>
  <c r="AB38" i="8" l="1"/>
  <c r="AB37" i="8"/>
  <c r="AB35" i="8"/>
  <c r="AB36" i="8"/>
  <c r="AB27" i="8"/>
  <c r="AB28" i="8"/>
  <c r="AB30" i="8"/>
  <c r="AB29" i="8"/>
  <c r="AB20" i="8"/>
  <c r="AB19" i="8"/>
  <c r="AB18" i="8"/>
  <c r="AB17" i="8"/>
  <c r="AA7" i="8"/>
  <c r="AB7" i="8" s="1"/>
  <c r="AE33" i="8"/>
  <c r="AC33" i="8"/>
  <c r="AE25" i="8"/>
  <c r="AC25" i="8"/>
  <c r="AE15" i="8"/>
  <c r="AC15" i="8"/>
  <c r="AC6" i="8"/>
  <c r="AE6" i="8"/>
  <c r="AB11" i="8" l="1"/>
  <c r="AB8" i="8"/>
  <c r="AB10" i="8"/>
  <c r="AB9" i="8"/>
  <c r="BA5" i="9"/>
  <c r="BW2" i="9"/>
  <c r="BW7" i="9"/>
  <c r="BX7" i="9" s="1"/>
  <c r="BV7" i="9"/>
  <c r="BW5" i="9"/>
  <c r="BX5" i="9" s="1"/>
  <c r="BV5" i="9"/>
  <c r="BW4" i="9"/>
  <c r="BX4" i="9" s="1"/>
  <c r="BV4" i="9"/>
  <c r="BW3" i="9"/>
  <c r="BX3" i="9" s="1"/>
  <c r="BV3" i="9"/>
  <c r="BV2" i="9"/>
  <c r="BN9" i="9"/>
  <c r="BN8" i="9"/>
  <c r="BN7" i="9"/>
  <c r="BN6" i="9"/>
  <c r="BN5" i="9"/>
  <c r="BN4" i="9"/>
  <c r="BN3" i="9"/>
  <c r="BN2" i="9"/>
  <c r="BD37" i="9"/>
  <c r="BC37" i="9"/>
  <c r="BA12" i="16"/>
  <c r="BX2" i="9" l="1"/>
  <c r="BX10" i="9" s="1"/>
  <c r="BW10" i="9"/>
  <c r="AM7" i="9"/>
  <c r="D30" i="17"/>
  <c r="D29" i="17"/>
  <c r="D28" i="17"/>
  <c r="D27" i="17"/>
  <c r="D26" i="17"/>
  <c r="D25" i="17"/>
  <c r="D24" i="17"/>
  <c r="D23" i="17"/>
  <c r="D22" i="17"/>
  <c r="D21" i="17"/>
  <c r="D20" i="17"/>
  <c r="D18" i="17"/>
  <c r="D19" i="17" s="1"/>
  <c r="D14" i="17"/>
  <c r="J12" i="17"/>
  <c r="F12" i="17"/>
  <c r="H12" i="17" s="1"/>
  <c r="J11" i="17"/>
  <c r="F11" i="17"/>
  <c r="H11" i="17" s="1"/>
  <c r="J10" i="17"/>
  <c r="F10" i="17"/>
  <c r="H10" i="17" s="1"/>
  <c r="F9" i="17"/>
  <c r="H9" i="17" s="1"/>
  <c r="J14" i="17" l="1"/>
  <c r="F14" i="17"/>
  <c r="H14" i="17" s="1"/>
  <c r="AR37" i="9"/>
  <c r="AJ37" i="12"/>
  <c r="AI37" i="12"/>
  <c r="AK37" i="9"/>
  <c r="AJ37" i="9" s="1"/>
  <c r="AW37" i="8"/>
  <c r="AU35" i="8"/>
  <c r="AV37" i="8" s="1"/>
  <c r="AG37" i="9"/>
  <c r="AE35" i="9"/>
  <c r="AF37" i="9" s="1"/>
  <c r="AP37" i="12"/>
  <c r="AG37" i="12"/>
  <c r="AE35" i="12"/>
  <c r="AF37" i="12" s="1"/>
  <c r="AG37" i="11"/>
  <c r="AE35" i="11"/>
  <c r="AF37" i="11" s="1"/>
  <c r="AP37" i="14"/>
  <c r="AG37" i="14"/>
  <c r="AE35" i="14"/>
  <c r="AF37" i="14" s="1"/>
  <c r="BF37" i="15"/>
  <c r="AP37" i="15"/>
  <c r="AG37" i="15"/>
  <c r="AE35" i="15"/>
  <c r="AF37" i="15" s="1"/>
  <c r="BF37" i="16"/>
  <c r="AP37" i="16"/>
  <c r="AE35" i="16"/>
  <c r="AF37" i="16" s="1"/>
  <c r="AG37" i="16"/>
  <c r="AT37" i="8"/>
  <c r="AP37" i="8"/>
  <c r="AL37" i="8"/>
  <c r="BF37" i="14" l="1"/>
  <c r="AP33" i="16" l="1"/>
  <c r="BF33" i="16" s="1"/>
  <c r="AG33" i="16"/>
  <c r="AP29" i="16"/>
  <c r="BF29" i="16" s="1"/>
  <c r="AG29" i="16"/>
  <c r="AQ28" i="16"/>
  <c r="AP28" i="16" s="1"/>
  <c r="BF28" i="16" s="1"/>
  <c r="AG28" i="16"/>
  <c r="AQ27" i="16"/>
  <c r="AP27" i="16" s="1"/>
  <c r="BF27" i="16" s="1"/>
  <c r="AG27" i="16"/>
  <c r="AQ26" i="16"/>
  <c r="AP26" i="16" s="1"/>
  <c r="BF26" i="16" s="1"/>
  <c r="AG26" i="16"/>
  <c r="AQ25" i="16"/>
  <c r="AP25" i="16"/>
  <c r="AG25" i="16"/>
  <c r="AQ18" i="16"/>
  <c r="AP18" i="16" s="1"/>
  <c r="AG18" i="16"/>
  <c r="AQ17" i="16"/>
  <c r="AP17" i="16"/>
  <c r="BF17" i="16" s="1"/>
  <c r="AG17" i="16"/>
  <c r="AQ16" i="16"/>
  <c r="AP16" i="16"/>
  <c r="AG16" i="16"/>
  <c r="AQ15" i="16"/>
  <c r="AP15" i="16" s="1"/>
  <c r="BF15" i="16" s="1"/>
  <c r="AG15" i="16"/>
  <c r="AP11" i="16"/>
  <c r="AG11" i="16"/>
  <c r="AP10" i="16"/>
  <c r="AG10" i="16"/>
  <c r="AQ9" i="16"/>
  <c r="AP9" i="16"/>
  <c r="BF9" i="16" s="1"/>
  <c r="AG9" i="16"/>
  <c r="AQ8" i="16"/>
  <c r="AP8" i="16" s="1"/>
  <c r="AG8" i="16"/>
  <c r="AP7" i="16"/>
  <c r="BF7" i="16" s="1"/>
  <c r="AG7" i="16"/>
  <c r="AN1" i="16"/>
  <c r="AO1" i="16"/>
  <c r="AK1" i="16"/>
  <c r="AR1" i="16" s="1"/>
  <c r="AS1" i="16" s="1"/>
  <c r="AP11" i="14"/>
  <c r="BF11" i="14" s="1"/>
  <c r="AP33" i="15"/>
  <c r="BF33" i="15" s="1"/>
  <c r="AG33" i="15"/>
  <c r="AP29" i="15"/>
  <c r="BF29" i="15" s="1"/>
  <c r="AG29" i="15"/>
  <c r="AQ28" i="15"/>
  <c r="AP28" i="15" s="1"/>
  <c r="AG28" i="15"/>
  <c r="AQ27" i="15"/>
  <c r="AP27" i="15" s="1"/>
  <c r="BF27" i="15" s="1"/>
  <c r="AG27" i="15"/>
  <c r="AQ26" i="15"/>
  <c r="AP26" i="15" s="1"/>
  <c r="BF26" i="15" s="1"/>
  <c r="AG26" i="15"/>
  <c r="AQ25" i="15"/>
  <c r="AP25" i="15" s="1"/>
  <c r="AG25" i="15"/>
  <c r="AQ18" i="15"/>
  <c r="AP18" i="15"/>
  <c r="AG18" i="15"/>
  <c r="BF17" i="15"/>
  <c r="AQ17" i="15"/>
  <c r="AP17" i="15"/>
  <c r="AG17" i="15"/>
  <c r="AQ16" i="15"/>
  <c r="AP16" i="15"/>
  <c r="BF16" i="15" s="1"/>
  <c r="AG16" i="15"/>
  <c r="AQ15" i="15"/>
  <c r="AP15" i="15" s="1"/>
  <c r="BF15" i="15" s="1"/>
  <c r="AG15" i="15"/>
  <c r="AP11" i="15"/>
  <c r="BF11" i="15" s="1"/>
  <c r="AG11" i="15"/>
  <c r="AP10" i="15"/>
  <c r="AG10" i="15"/>
  <c r="BF9" i="15"/>
  <c r="AQ9" i="15"/>
  <c r="AP9" i="15"/>
  <c r="AG9" i="15"/>
  <c r="AQ8" i="15"/>
  <c r="AP8" i="15" s="1"/>
  <c r="AG8" i="15"/>
  <c r="AP7" i="15"/>
  <c r="BF7" i="15" s="1"/>
  <c r="AG7" i="15"/>
  <c r="AN1" i="15"/>
  <c r="AN2" i="15" s="1"/>
  <c r="AM2" i="15"/>
  <c r="AK1" i="15"/>
  <c r="BF33" i="14"/>
  <c r="BF28" i="14"/>
  <c r="BF27" i="14"/>
  <c r="BF26" i="14"/>
  <c r="BF25" i="14"/>
  <c r="BF18" i="14"/>
  <c r="BF17" i="14"/>
  <c r="BF16" i="14"/>
  <c r="BF15" i="14"/>
  <c r="BF10" i="14"/>
  <c r="BF9" i="14"/>
  <c r="BF8" i="14"/>
  <c r="BF7" i="14"/>
  <c r="AK7" i="16" l="1"/>
  <c r="AK9" i="15"/>
  <c r="BA9" i="15" s="1"/>
  <c r="AK37" i="15"/>
  <c r="BA37" i="15" s="1"/>
  <c r="AK8" i="15"/>
  <c r="BA8" i="15" s="1"/>
  <c r="AK33" i="15"/>
  <c r="BA33" i="15" s="1"/>
  <c r="BA7" i="15"/>
  <c r="AK29" i="15"/>
  <c r="AK25" i="15"/>
  <c r="BA25" i="15" s="1"/>
  <c r="AK28" i="15"/>
  <c r="BA28" i="15" s="1"/>
  <c r="AK27" i="15"/>
  <c r="BA27" i="15" s="1"/>
  <c r="AK26" i="15"/>
  <c r="BA26" i="15" s="1"/>
  <c r="AK15" i="15"/>
  <c r="BA15" i="15" s="1"/>
  <c r="AK17" i="15"/>
  <c r="BA17" i="15" s="1"/>
  <c r="AK16" i="15"/>
  <c r="BA16" i="15" s="1"/>
  <c r="AK10" i="15"/>
  <c r="BA10" i="15" s="1"/>
  <c r="AK18" i="15"/>
  <c r="BA18" i="15" s="1"/>
  <c r="AK11" i="15"/>
  <c r="AO11" i="15" s="1"/>
  <c r="AK27" i="16"/>
  <c r="BA27" i="16" s="1"/>
  <c r="AK26" i="16"/>
  <c r="BA26" i="16" s="1"/>
  <c r="AK10" i="16"/>
  <c r="AK25" i="16"/>
  <c r="AK18" i="16"/>
  <c r="BA18" i="16" s="1"/>
  <c r="AK15" i="16"/>
  <c r="BA15" i="16" s="1"/>
  <c r="AK17" i="16"/>
  <c r="BA17" i="16" s="1"/>
  <c r="AK16" i="16"/>
  <c r="BA16" i="16" s="1"/>
  <c r="AK11" i="16"/>
  <c r="AK13" i="16" s="1"/>
  <c r="BA7" i="16"/>
  <c r="AK9" i="16"/>
  <c r="BA9" i="16" s="1"/>
  <c r="AK37" i="16"/>
  <c r="AK8" i="16"/>
  <c r="BA8" i="16" s="1"/>
  <c r="AK33" i="16"/>
  <c r="BA33" i="16" s="1"/>
  <c r="AK28" i="16"/>
  <c r="BA28" i="16" s="1"/>
  <c r="AK29" i="16"/>
  <c r="AI2" i="16"/>
  <c r="X37" i="16"/>
  <c r="AY1" i="16"/>
  <c r="AZ1" i="16"/>
  <c r="AM2" i="16"/>
  <c r="BC1" i="16"/>
  <c r="Z10" i="15"/>
  <c r="AP1" i="15"/>
  <c r="AF16" i="15"/>
  <c r="BA1" i="16"/>
  <c r="BA37" i="16"/>
  <c r="AN2" i="16"/>
  <c r="BD1" i="16"/>
  <c r="BB1" i="16"/>
  <c r="AD28" i="16"/>
  <c r="AF25" i="16"/>
  <c r="BA10" i="16"/>
  <c r="BF18" i="16"/>
  <c r="AL2" i="16"/>
  <c r="AP1" i="16"/>
  <c r="BF8" i="16"/>
  <c r="BF16" i="16"/>
  <c r="BF11" i="16"/>
  <c r="BF25" i="16"/>
  <c r="BF28" i="15"/>
  <c r="BF8" i="15"/>
  <c r="BF25" i="15"/>
  <c r="AO1" i="15"/>
  <c r="AL2" i="15"/>
  <c r="BF18" i="15"/>
  <c r="AT1" i="16" l="1"/>
  <c r="BA25" i="16"/>
  <c r="AF8" i="15"/>
  <c r="BA29" i="16"/>
  <c r="AF29" i="15"/>
  <c r="AF33" i="15"/>
  <c r="AF18" i="15"/>
  <c r="AF9" i="15"/>
  <c r="AF28" i="15"/>
  <c r="AL17" i="15"/>
  <c r="AM17" i="15" s="1"/>
  <c r="AF17" i="15"/>
  <c r="BE1" i="16"/>
  <c r="BF1" i="16"/>
  <c r="AL8" i="15"/>
  <c r="AN8" i="15" s="1"/>
  <c r="BD8" i="15" s="1"/>
  <c r="AF26" i="15"/>
  <c r="AL29" i="15"/>
  <c r="AM29" i="15" s="1"/>
  <c r="AO29" i="15"/>
  <c r="BA11" i="16"/>
  <c r="AF7" i="15"/>
  <c r="BA29" i="15"/>
  <c r="AL7" i="15"/>
  <c r="BD7" i="15" s="1"/>
  <c r="BA11" i="15"/>
  <c r="AL11" i="15"/>
  <c r="AL25" i="15"/>
  <c r="AN25" i="15" s="1"/>
  <c r="BD25" i="15" s="1"/>
  <c r="AL15" i="15"/>
  <c r="AM15" i="15" s="1"/>
  <c r="AL18" i="15"/>
  <c r="BB18" i="15" s="1"/>
  <c r="AF10" i="15"/>
  <c r="AF15" i="15"/>
  <c r="AF29" i="16"/>
  <c r="AF11" i="15"/>
  <c r="AL10" i="15"/>
  <c r="AF33" i="16"/>
  <c r="AF8" i="16"/>
  <c r="V10" i="15"/>
  <c r="AL28" i="15"/>
  <c r="AD15" i="16"/>
  <c r="Z8" i="16"/>
  <c r="X10" i="15"/>
  <c r="AD11" i="16"/>
  <c r="AF16" i="16"/>
  <c r="AB11" i="15"/>
  <c r="AB8" i="15"/>
  <c r="AB26" i="15"/>
  <c r="AB29" i="15"/>
  <c r="AB9" i="15"/>
  <c r="AB18" i="15"/>
  <c r="AB15" i="15"/>
  <c r="AB7" i="15"/>
  <c r="AB25" i="15"/>
  <c r="AB17" i="15"/>
  <c r="AB27" i="15"/>
  <c r="AD7" i="16"/>
  <c r="AD18" i="16"/>
  <c r="AD33" i="16"/>
  <c r="AD10" i="16"/>
  <c r="AD16" i="16"/>
  <c r="AD29" i="16"/>
  <c r="X28" i="15"/>
  <c r="AF26" i="16"/>
  <c r="AD9" i="16"/>
  <c r="AF15" i="16"/>
  <c r="AF7" i="16"/>
  <c r="AB7" i="16"/>
  <c r="AB25" i="16"/>
  <c r="AB15" i="16"/>
  <c r="AB11" i="16"/>
  <c r="AB27" i="16"/>
  <c r="AB10" i="16"/>
  <c r="AB28" i="16"/>
  <c r="AB18" i="16"/>
  <c r="AB9" i="16"/>
  <c r="AB17" i="16"/>
  <c r="AD28" i="15"/>
  <c r="AD37" i="15"/>
  <c r="AD11" i="15"/>
  <c r="AD26" i="15"/>
  <c r="AD7" i="15"/>
  <c r="AD18" i="15"/>
  <c r="AD17" i="15"/>
  <c r="AD29" i="15"/>
  <c r="AD9" i="15"/>
  <c r="AD8" i="15"/>
  <c r="AD33" i="15"/>
  <c r="AD15" i="15"/>
  <c r="AD16" i="15"/>
  <c r="AD27" i="15"/>
  <c r="AD25" i="15"/>
  <c r="AD10" i="15"/>
  <c r="Z17" i="15"/>
  <c r="Z9" i="15"/>
  <c r="AL27" i="15"/>
  <c r="BB27" i="15" s="1"/>
  <c r="V15" i="16"/>
  <c r="V37" i="16"/>
  <c r="AD25" i="16"/>
  <c r="AD37" i="16"/>
  <c r="Z18" i="15"/>
  <c r="AF17" i="16"/>
  <c r="AD8" i="16"/>
  <c r="BD2" i="16"/>
  <c r="X37" i="15"/>
  <c r="AF25" i="15"/>
  <c r="Z11" i="15"/>
  <c r="AL16" i="15"/>
  <c r="AM16" i="15" s="1"/>
  <c r="AF28" i="16"/>
  <c r="X33" i="15"/>
  <c r="AF27" i="15"/>
  <c r="Z27" i="15"/>
  <c r="Z25" i="15"/>
  <c r="AL33" i="15"/>
  <c r="AM33" i="15" s="1"/>
  <c r="AF9" i="16"/>
  <c r="AF27" i="16"/>
  <c r="AF18" i="16"/>
  <c r="AF11" i="16"/>
  <c r="AB10" i="15"/>
  <c r="AF10" i="16"/>
  <c r="Z29" i="15"/>
  <c r="AL9" i="15"/>
  <c r="AN9" i="15" s="1"/>
  <c r="BD9" i="15" s="1"/>
  <c r="AD17" i="16"/>
  <c r="AD27" i="16"/>
  <c r="Z16" i="15"/>
  <c r="AD26" i="16"/>
  <c r="Z33" i="15"/>
  <c r="Z37" i="15"/>
  <c r="Z8" i="15"/>
  <c r="Z28" i="15"/>
  <c r="Z15" i="15"/>
  <c r="Z7" i="15"/>
  <c r="Z26" i="15"/>
  <c r="AB28" i="15"/>
  <c r="AB16" i="15"/>
  <c r="V18" i="16"/>
  <c r="V8" i="16"/>
  <c r="V26" i="16"/>
  <c r="V27" i="16"/>
  <c r="V17" i="16"/>
  <c r="V11" i="16"/>
  <c r="V28" i="16"/>
  <c r="AB29" i="16"/>
  <c r="AB26" i="16"/>
  <c r="AB16" i="16"/>
  <c r="V29" i="16"/>
  <c r="V10" i="16"/>
  <c r="V9" i="16"/>
  <c r="V7" i="16"/>
  <c r="V25" i="16"/>
  <c r="AB8" i="16"/>
  <c r="V33" i="16"/>
  <c r="V16" i="16"/>
  <c r="X33" i="16"/>
  <c r="X28" i="16"/>
  <c r="X16" i="16"/>
  <c r="X27" i="16"/>
  <c r="X29" i="16"/>
  <c r="X15" i="16"/>
  <c r="X7" i="16"/>
  <c r="X9" i="16"/>
  <c r="X18" i="16"/>
  <c r="X10" i="16"/>
  <c r="X8" i="16"/>
  <c r="X11" i="16"/>
  <c r="X25" i="16"/>
  <c r="X26" i="16"/>
  <c r="AL26" i="15"/>
  <c r="AM7" i="15"/>
  <c r="AM25" i="15" l="1"/>
  <c r="BC25" i="15" s="1"/>
  <c r="BB7" i="15"/>
  <c r="BB8" i="15"/>
  <c r="AM8" i="15"/>
  <c r="BC8" i="15" s="1"/>
  <c r="BB25" i="15"/>
  <c r="AN17" i="15"/>
  <c r="BD17" i="15" s="1"/>
  <c r="BB17" i="15"/>
  <c r="Z29" i="16"/>
  <c r="AH29" i="16" s="1"/>
  <c r="V33" i="15"/>
  <c r="AH33" i="15" s="1"/>
  <c r="AX33" i="15" s="1"/>
  <c r="AM18" i="15"/>
  <c r="AO18" i="15" s="1"/>
  <c r="BP18" i="16" s="1"/>
  <c r="AH8" i="15"/>
  <c r="AX8" i="15" s="1"/>
  <c r="AN18" i="15"/>
  <c r="BD18" i="15" s="1"/>
  <c r="AN15" i="15"/>
  <c r="BD15" i="15" s="1"/>
  <c r="BB15" i="15"/>
  <c r="BG1" i="16"/>
  <c r="Z18" i="16"/>
  <c r="AH18" i="16" s="1"/>
  <c r="AX18" i="16" s="1"/>
  <c r="Z17" i="16"/>
  <c r="AM28" i="15"/>
  <c r="BC28" i="15" s="1"/>
  <c r="AO28" i="15"/>
  <c r="BP28" i="16" s="1"/>
  <c r="AN10" i="15"/>
  <c r="BD10" i="15" s="1"/>
  <c r="AO10" i="15"/>
  <c r="BP10" i="16" s="1"/>
  <c r="AM27" i="15"/>
  <c r="AO27" i="15" s="1"/>
  <c r="BP27" i="16" s="1"/>
  <c r="BB10" i="15"/>
  <c r="AM10" i="15"/>
  <c r="BC10" i="15" s="1"/>
  <c r="V17" i="15"/>
  <c r="AH17" i="15" s="1"/>
  <c r="AX17" i="15" s="1"/>
  <c r="V7" i="15"/>
  <c r="AH7" i="15" s="1"/>
  <c r="AI7" i="15" s="1"/>
  <c r="AJ7" i="15" s="1"/>
  <c r="V11" i="15"/>
  <c r="AH11" i="15" s="1"/>
  <c r="AU11" i="15" s="1"/>
  <c r="V18" i="15"/>
  <c r="AH18" i="15" s="1"/>
  <c r="V29" i="15"/>
  <c r="AH29" i="15" s="1"/>
  <c r="AI29" i="15" s="1"/>
  <c r="V26" i="15"/>
  <c r="AH26" i="15" s="1"/>
  <c r="AI26" i="15" s="1"/>
  <c r="AN28" i="15"/>
  <c r="BD28" i="15" s="1"/>
  <c r="Z10" i="16"/>
  <c r="AH10" i="16" s="1"/>
  <c r="AX10" i="16" s="1"/>
  <c r="V25" i="15"/>
  <c r="AH25" i="15" s="1"/>
  <c r="V15" i="15"/>
  <c r="AH15" i="15" s="1"/>
  <c r="AI15" i="15" s="1"/>
  <c r="Z9" i="16"/>
  <c r="AH9" i="16" s="1"/>
  <c r="AX9" i="16" s="1"/>
  <c r="Z27" i="16"/>
  <c r="AH27" i="16" s="1"/>
  <c r="AI27" i="16" s="1"/>
  <c r="V28" i="15"/>
  <c r="AH28" i="15" s="1"/>
  <c r="AI28" i="15" s="1"/>
  <c r="Z26" i="16"/>
  <c r="AH26" i="16" s="1"/>
  <c r="AI26" i="16" s="1"/>
  <c r="AJ26" i="16" s="1"/>
  <c r="BB28" i="15"/>
  <c r="Z33" i="16"/>
  <c r="AH33" i="16" s="1"/>
  <c r="AX33" i="16" s="1"/>
  <c r="Z28" i="16"/>
  <c r="AH28" i="16" s="1"/>
  <c r="AX28" i="16" s="1"/>
  <c r="Z11" i="16"/>
  <c r="AH11" i="16" s="1"/>
  <c r="AH13" i="16" s="1"/>
  <c r="V16" i="15"/>
  <c r="AH16" i="15" s="1"/>
  <c r="AI16" i="15" s="1"/>
  <c r="Z16" i="16"/>
  <c r="AH16" i="16" s="1"/>
  <c r="Z7" i="16"/>
  <c r="Z25" i="16"/>
  <c r="AH25" i="16" s="1"/>
  <c r="AI25" i="16" s="1"/>
  <c r="AJ25" i="16" s="1"/>
  <c r="Z15" i="16"/>
  <c r="AH15" i="16" s="1"/>
  <c r="V9" i="15"/>
  <c r="AH9" i="15" s="1"/>
  <c r="AX9" i="15" s="1"/>
  <c r="Z37" i="16"/>
  <c r="AH37" i="16" s="1"/>
  <c r="BB9" i="15"/>
  <c r="V37" i="15"/>
  <c r="AH37" i="15" s="1"/>
  <c r="AI37" i="15" s="1"/>
  <c r="V27" i="15"/>
  <c r="AH27" i="15" s="1"/>
  <c r="AH10" i="15"/>
  <c r="AU10" i="15" s="1"/>
  <c r="AN16" i="15"/>
  <c r="BD16" i="15" s="1"/>
  <c r="AN33" i="15"/>
  <c r="BD33" i="15" s="1"/>
  <c r="BB33" i="15"/>
  <c r="AN27" i="15"/>
  <c r="BD27" i="15" s="1"/>
  <c r="BB16" i="15"/>
  <c r="AM9" i="15"/>
  <c r="AO9" i="15" s="1"/>
  <c r="BP9" i="16" s="1"/>
  <c r="AH8" i="16"/>
  <c r="AI8" i="16" s="1"/>
  <c r="BC17" i="15"/>
  <c r="AO17" i="15"/>
  <c r="BP17" i="16" s="1"/>
  <c r="AO15" i="15"/>
  <c r="BP15" i="16" s="1"/>
  <c r="BC15" i="15"/>
  <c r="BC16" i="15"/>
  <c r="AO16" i="15"/>
  <c r="BP16" i="16" s="1"/>
  <c r="BC7" i="15"/>
  <c r="BP7" i="16"/>
  <c r="BC33" i="15"/>
  <c r="AO33" i="15"/>
  <c r="BP33" i="16" s="1"/>
  <c r="AO25" i="15"/>
  <c r="BP25" i="16" s="1"/>
  <c r="AN26" i="15"/>
  <c r="BD26" i="15" s="1"/>
  <c r="AM26" i="15"/>
  <c r="BB26" i="15"/>
  <c r="AH17" i="16" l="1"/>
  <c r="AX17" i="16" s="1"/>
  <c r="AY7" i="15"/>
  <c r="AO8" i="15"/>
  <c r="BP8" i="16" s="1"/>
  <c r="AX7" i="15"/>
  <c r="AL26" i="16"/>
  <c r="AM26" i="16" s="1"/>
  <c r="AO26" i="16" s="1"/>
  <c r="AU26" i="16"/>
  <c r="AL25" i="16"/>
  <c r="AU25" i="16"/>
  <c r="AI11" i="16"/>
  <c r="AJ11" i="16" s="1"/>
  <c r="AU11" i="16" s="1"/>
  <c r="BC18" i="15"/>
  <c r="BC27" i="15"/>
  <c r="AH7" i="16"/>
  <c r="AX7" i="16" s="1"/>
  <c r="AX18" i="15"/>
  <c r="AU18" i="15"/>
  <c r="AI18" i="15"/>
  <c r="AJ18" i="15" s="1"/>
  <c r="AZ18" i="15" s="1"/>
  <c r="AU8" i="15"/>
  <c r="AI8" i="15"/>
  <c r="AY8" i="15" s="1"/>
  <c r="AX26" i="16"/>
  <c r="AU25" i="15"/>
  <c r="AX25" i="15"/>
  <c r="AX25" i="16"/>
  <c r="AI16" i="16"/>
  <c r="AY16" i="16" s="1"/>
  <c r="AU26" i="15"/>
  <c r="AX26" i="15"/>
  <c r="AI9" i="15"/>
  <c r="AY9" i="15" s="1"/>
  <c r="AI11" i="15"/>
  <c r="AY11" i="15" s="1"/>
  <c r="AU9" i="15"/>
  <c r="AX10" i="15"/>
  <c r="AX11" i="15"/>
  <c r="AX11" i="16"/>
  <c r="AX29" i="15"/>
  <c r="AU15" i="15"/>
  <c r="AX15" i="15"/>
  <c r="AU28" i="15"/>
  <c r="AX28" i="15"/>
  <c r="AI27" i="15"/>
  <c r="AJ27" i="15" s="1"/>
  <c r="AZ27" i="15" s="1"/>
  <c r="AX27" i="15"/>
  <c r="AU27" i="15"/>
  <c r="AI33" i="15"/>
  <c r="AY33" i="15" s="1"/>
  <c r="AU29" i="15"/>
  <c r="BI29" i="15" s="1"/>
  <c r="BJ29" i="15" s="1"/>
  <c r="AI10" i="15"/>
  <c r="AY10" i="15" s="1"/>
  <c r="AI25" i="15"/>
  <c r="AX16" i="15"/>
  <c r="AI9" i="16"/>
  <c r="AY9" i="16" s="1"/>
  <c r="AI15" i="16"/>
  <c r="AJ15" i="16" s="1"/>
  <c r="AX37" i="15"/>
  <c r="AX15" i="16"/>
  <c r="AI17" i="15"/>
  <c r="AY17" i="15" s="1"/>
  <c r="AI28" i="16"/>
  <c r="AY28" i="16" s="1"/>
  <c r="AX16" i="16"/>
  <c r="AU17" i="15"/>
  <c r="AI33" i="16"/>
  <c r="AY33" i="16" s="1"/>
  <c r="AU16" i="15"/>
  <c r="AX29" i="16"/>
  <c r="BC9" i="15"/>
  <c r="AX8" i="16"/>
  <c r="AI10" i="16"/>
  <c r="AY10" i="16" s="1"/>
  <c r="AX37" i="16"/>
  <c r="AI37" i="16"/>
  <c r="AX27" i="16"/>
  <c r="AI29" i="16"/>
  <c r="AY37" i="15"/>
  <c r="AJ37" i="15"/>
  <c r="AI18" i="16"/>
  <c r="AY18" i="16" s="1"/>
  <c r="AI17" i="16"/>
  <c r="AY17" i="16" s="1"/>
  <c r="AJ8" i="16"/>
  <c r="AU8" i="16" s="1"/>
  <c r="AY8" i="16"/>
  <c r="AY25" i="16"/>
  <c r="AJ27" i="16"/>
  <c r="AU27" i="16" s="1"/>
  <c r="AY27" i="16"/>
  <c r="BE25" i="15"/>
  <c r="AR25" i="15"/>
  <c r="AS25" i="15" s="1"/>
  <c r="AY15" i="15"/>
  <c r="AJ15" i="15"/>
  <c r="AZ15" i="15" s="1"/>
  <c r="AJ26" i="15"/>
  <c r="AZ26" i="15" s="1"/>
  <c r="AY26" i="15"/>
  <c r="AR10" i="15"/>
  <c r="AS10" i="15" s="1"/>
  <c r="BE10" i="15"/>
  <c r="AR9" i="15"/>
  <c r="AS9" i="15" s="1"/>
  <c r="BE9" i="15"/>
  <c r="AJ16" i="15"/>
  <c r="AZ16" i="15" s="1"/>
  <c r="AY16" i="15"/>
  <c r="BE28" i="15"/>
  <c r="AR28" i="15"/>
  <c r="AS28" i="15" s="1"/>
  <c r="AJ28" i="15"/>
  <c r="AZ28" i="15" s="1"/>
  <c r="AY28" i="15"/>
  <c r="BE7" i="15"/>
  <c r="BK7" i="15" s="1"/>
  <c r="AR7" i="15"/>
  <c r="AS7" i="15" s="1"/>
  <c r="BE33" i="15"/>
  <c r="AR33" i="15"/>
  <c r="AS33" i="15" s="1"/>
  <c r="BE16" i="15"/>
  <c r="AR16" i="15"/>
  <c r="AS16" i="15" s="1"/>
  <c r="AY29" i="15"/>
  <c r="AJ29" i="15"/>
  <c r="BE27" i="15"/>
  <c r="AR27" i="15"/>
  <c r="AS27" i="15" s="1"/>
  <c r="BC26" i="15"/>
  <c r="AO26" i="15"/>
  <c r="BP26" i="16" s="1"/>
  <c r="BE18" i="15"/>
  <c r="AR18" i="15"/>
  <c r="AS18" i="15" s="1"/>
  <c r="BE15" i="15"/>
  <c r="AR15" i="15"/>
  <c r="AS15" i="15" s="1"/>
  <c r="BE17" i="15"/>
  <c r="AR17" i="15"/>
  <c r="AS17" i="15" s="1"/>
  <c r="AU7" i="15" l="1"/>
  <c r="AR8" i="15"/>
  <c r="AS8" i="15" s="1"/>
  <c r="BE8" i="15"/>
  <c r="BG8" i="15" s="1"/>
  <c r="BH8" i="15" s="1"/>
  <c r="AY11" i="16"/>
  <c r="AU15" i="16"/>
  <c r="AY29" i="16"/>
  <c r="AJ29" i="16"/>
  <c r="AZ15" i="16"/>
  <c r="AL11" i="16"/>
  <c r="AO11" i="16"/>
  <c r="AY18" i="15"/>
  <c r="AI7" i="16"/>
  <c r="AJ7" i="16" s="1"/>
  <c r="AL7" i="16" s="1"/>
  <c r="AJ8" i="15"/>
  <c r="AZ8" i="15" s="1"/>
  <c r="AY26" i="16"/>
  <c r="AJ11" i="15"/>
  <c r="AZ11" i="15" s="1"/>
  <c r="AZ7" i="15"/>
  <c r="AY27" i="15"/>
  <c r="AJ9" i="15"/>
  <c r="AZ9" i="15" s="1"/>
  <c r="AJ16" i="16"/>
  <c r="AJ17" i="15"/>
  <c r="AZ17" i="15" s="1"/>
  <c r="AJ33" i="15"/>
  <c r="AZ33" i="15" s="1"/>
  <c r="AJ9" i="16"/>
  <c r="AJ28" i="16"/>
  <c r="AL15" i="16"/>
  <c r="AM15" i="16" s="1"/>
  <c r="AJ18" i="16"/>
  <c r="AY25" i="15"/>
  <c r="AJ25" i="15"/>
  <c r="AZ25" i="15" s="1"/>
  <c r="AJ10" i="15"/>
  <c r="AZ10" i="15" s="1"/>
  <c r="AY15" i="16"/>
  <c r="AJ10" i="16"/>
  <c r="AU10" i="16" s="1"/>
  <c r="AJ33" i="16"/>
  <c r="AU33" i="16" s="1"/>
  <c r="AY37" i="16"/>
  <c r="AJ37" i="16"/>
  <c r="AU37" i="16" s="1"/>
  <c r="BG16" i="15"/>
  <c r="BH16" i="15" s="1"/>
  <c r="BK16" i="16"/>
  <c r="BK27" i="16"/>
  <c r="BG27" i="15"/>
  <c r="BH27" i="15" s="1"/>
  <c r="BK28" i="16"/>
  <c r="BG28" i="15"/>
  <c r="BH28" i="15" s="1"/>
  <c r="BG17" i="15"/>
  <c r="BH17" i="15" s="1"/>
  <c r="BK17" i="16"/>
  <c r="BG18" i="15"/>
  <c r="BH18" i="15" s="1"/>
  <c r="BK18" i="16"/>
  <c r="BK33" i="16"/>
  <c r="BG33" i="15"/>
  <c r="BH33" i="15" s="1"/>
  <c r="BG10" i="15"/>
  <c r="BH10" i="15" s="1"/>
  <c r="BK10" i="16"/>
  <c r="BG7" i="15"/>
  <c r="BH7" i="15" s="1"/>
  <c r="BK7" i="16"/>
  <c r="BK25" i="16"/>
  <c r="BG25" i="15"/>
  <c r="BH25" i="15" s="1"/>
  <c r="AZ37" i="15"/>
  <c r="AL37" i="15"/>
  <c r="BG15" i="15"/>
  <c r="BH15" i="15" s="1"/>
  <c r="BK15" i="16"/>
  <c r="BG9" i="15"/>
  <c r="BH9" i="15" s="1"/>
  <c r="BK9" i="16"/>
  <c r="AJ17" i="16"/>
  <c r="AZ25" i="16"/>
  <c r="AZ27" i="16"/>
  <c r="AL27" i="16"/>
  <c r="AZ8" i="16"/>
  <c r="AL8" i="16"/>
  <c r="AZ26" i="16"/>
  <c r="AZ29" i="15"/>
  <c r="AZ11" i="16"/>
  <c r="BE26" i="15"/>
  <c r="AR26" i="15"/>
  <c r="AS26" i="15" s="1"/>
  <c r="BK8" i="16" l="1"/>
  <c r="AL28" i="16"/>
  <c r="AO28" i="16" s="1"/>
  <c r="AU28" i="16"/>
  <c r="AL18" i="16"/>
  <c r="AN18" i="16" s="1"/>
  <c r="BD18" i="16" s="1"/>
  <c r="AU18" i="16"/>
  <c r="AJ4" i="16"/>
  <c r="AU9" i="16"/>
  <c r="AL29" i="16"/>
  <c r="AM29" i="16" s="1"/>
  <c r="AN29" i="16" s="1"/>
  <c r="BD29" i="16" s="1"/>
  <c r="AU29" i="16"/>
  <c r="BS29" i="16" s="1"/>
  <c r="BT29" i="16" s="1"/>
  <c r="AZ16" i="16"/>
  <c r="AU16" i="16"/>
  <c r="AL10" i="16"/>
  <c r="AN10" i="16" s="1"/>
  <c r="BD10" i="16" s="1"/>
  <c r="AZ17" i="16"/>
  <c r="AU17" i="16"/>
  <c r="AO29" i="16"/>
  <c r="BE29" i="16" s="1"/>
  <c r="AY7" i="16"/>
  <c r="AZ18" i="16"/>
  <c r="BB15" i="16"/>
  <c r="AN15" i="16"/>
  <c r="BD15" i="16" s="1"/>
  <c r="AL9" i="16"/>
  <c r="AN9" i="16" s="1"/>
  <c r="BD9" i="16" s="1"/>
  <c r="AZ28" i="16"/>
  <c r="AZ9" i="16"/>
  <c r="AL17" i="16"/>
  <c r="BB17" i="16" s="1"/>
  <c r="AL16" i="16"/>
  <c r="AM16" i="16" s="1"/>
  <c r="BC16" i="16" s="1"/>
  <c r="AZ29" i="16"/>
  <c r="AZ10" i="16"/>
  <c r="AL33" i="16"/>
  <c r="AZ33" i="16"/>
  <c r="AZ37" i="16"/>
  <c r="AL37" i="16"/>
  <c r="BK26" i="16"/>
  <c r="BG26" i="15"/>
  <c r="BH26" i="15" s="1"/>
  <c r="BB37" i="15"/>
  <c r="AM37" i="15"/>
  <c r="AN37" i="15"/>
  <c r="BD37" i="15" s="1"/>
  <c r="AN25" i="16"/>
  <c r="BD25" i="16" s="1"/>
  <c r="AM25" i="16"/>
  <c r="BB25" i="16"/>
  <c r="BC15" i="16"/>
  <c r="AO15" i="16"/>
  <c r="BM4" i="22" s="1"/>
  <c r="AN27" i="16"/>
  <c r="BD27" i="16" s="1"/>
  <c r="AM27" i="16"/>
  <c r="BB27" i="16"/>
  <c r="BB26" i="16"/>
  <c r="AN26" i="16"/>
  <c r="BD26" i="16" s="1"/>
  <c r="BB8" i="16"/>
  <c r="AN8" i="16"/>
  <c r="BD8" i="16" s="1"/>
  <c r="AM8" i="16"/>
  <c r="AM11" i="15"/>
  <c r="BB11" i="15"/>
  <c r="BB29" i="15"/>
  <c r="AM11" i="16"/>
  <c r="BB11" i="16"/>
  <c r="BB18" i="16" l="1"/>
  <c r="AM18" i="16"/>
  <c r="BC18" i="16" s="1"/>
  <c r="BB10" i="16"/>
  <c r="BQ29" i="16"/>
  <c r="BB28" i="16"/>
  <c r="AM28" i="16"/>
  <c r="BC28" i="16" s="1"/>
  <c r="BB29" i="16"/>
  <c r="AN28" i="16"/>
  <c r="BD28" i="16" s="1"/>
  <c r="AO10" i="16"/>
  <c r="BQ10" i="16" s="1"/>
  <c r="AM10" i="16"/>
  <c r="BC10" i="16" s="1"/>
  <c r="AJ6" i="16"/>
  <c r="AU7" i="16"/>
  <c r="BQ15" i="16"/>
  <c r="BM4" i="9"/>
  <c r="BB9" i="16"/>
  <c r="BC29" i="16"/>
  <c r="AZ7" i="16"/>
  <c r="AM9" i="16"/>
  <c r="AO9" i="16" s="1"/>
  <c r="BQ9" i="16" s="1"/>
  <c r="BB16" i="16"/>
  <c r="AM17" i="16"/>
  <c r="AO17" i="16" s="1"/>
  <c r="BM2" i="22" s="1"/>
  <c r="AN17" i="16"/>
  <c r="BD17" i="16" s="1"/>
  <c r="AO16" i="16"/>
  <c r="BM3" i="22" s="1"/>
  <c r="AN16" i="16"/>
  <c r="BD16" i="16" s="1"/>
  <c r="AN33" i="16"/>
  <c r="BD33" i="16" s="1"/>
  <c r="AM33" i="16"/>
  <c r="BB33" i="16"/>
  <c r="BC37" i="15"/>
  <c r="AO37" i="15"/>
  <c r="BB37" i="16"/>
  <c r="AN37" i="16"/>
  <c r="BD37" i="16" s="1"/>
  <c r="AM37" i="16"/>
  <c r="AR15" i="16"/>
  <c r="AS15" i="16" s="1"/>
  <c r="BE15" i="16"/>
  <c r="BQ28" i="16"/>
  <c r="BC25" i="16"/>
  <c r="AO25" i="16"/>
  <c r="BQ25" i="16" s="1"/>
  <c r="BC26" i="16"/>
  <c r="BQ26" i="16"/>
  <c r="BC8" i="16"/>
  <c r="AO8" i="16"/>
  <c r="BQ8" i="16" s="1"/>
  <c r="BC27" i="16"/>
  <c r="AO27" i="16"/>
  <c r="BQ27" i="16" s="1"/>
  <c r="AN29" i="15"/>
  <c r="BD29" i="15" s="1"/>
  <c r="BC29" i="15"/>
  <c r="BP29" i="16"/>
  <c r="AN11" i="15"/>
  <c r="BD11" i="15" s="1"/>
  <c r="BC11" i="15"/>
  <c r="BP11" i="16"/>
  <c r="AR29" i="16"/>
  <c r="AS29" i="16" s="1"/>
  <c r="BQ11" i="16"/>
  <c r="AN11" i="16"/>
  <c r="BD11" i="16" s="1"/>
  <c r="BC11" i="16"/>
  <c r="AO18" i="16" l="1"/>
  <c r="BQ16" i="16"/>
  <c r="BM3" i="9"/>
  <c r="BQ17" i="16"/>
  <c r="BM2" i="9"/>
  <c r="AM7" i="16"/>
  <c r="BB7" i="16"/>
  <c r="AN7" i="16"/>
  <c r="BD7" i="16" s="1"/>
  <c r="BC9" i="16"/>
  <c r="AR16" i="16"/>
  <c r="AS16" i="16" s="1"/>
  <c r="BE16" i="16"/>
  <c r="BG16" i="16" s="1"/>
  <c r="BH16" i="16" s="1"/>
  <c r="BC17" i="16"/>
  <c r="BC33" i="16"/>
  <c r="AO33" i="16"/>
  <c r="AO37" i="16"/>
  <c r="BC37" i="16"/>
  <c r="BP37" i="14"/>
  <c r="BP37" i="11"/>
  <c r="BP37" i="16"/>
  <c r="BQ37" i="15"/>
  <c r="BP37" i="15"/>
  <c r="BE37" i="15"/>
  <c r="AR37" i="15"/>
  <c r="AS37" i="15" s="1"/>
  <c r="BG15" i="16"/>
  <c r="BH15" i="16" s="1"/>
  <c r="BL15" i="16"/>
  <c r="BL29" i="16"/>
  <c r="BG29" i="16"/>
  <c r="BH29" i="16" s="1"/>
  <c r="BE9" i="16"/>
  <c r="AR9" i="16"/>
  <c r="AS9" i="16" s="1"/>
  <c r="BE25" i="16"/>
  <c r="AR25" i="16"/>
  <c r="AS25" i="16" s="1"/>
  <c r="AR28" i="16"/>
  <c r="AS28" i="16" s="1"/>
  <c r="BE28" i="16"/>
  <c r="BE26" i="16"/>
  <c r="AR26" i="16"/>
  <c r="AS26" i="16" s="1"/>
  <c r="BE17" i="16"/>
  <c r="AR17" i="16"/>
  <c r="AS17" i="16" s="1"/>
  <c r="BE27" i="16"/>
  <c r="AR27" i="16"/>
  <c r="AS27" i="16" s="1"/>
  <c r="AR8" i="16"/>
  <c r="AS8" i="16" s="1"/>
  <c r="BE8" i="16"/>
  <c r="BE10" i="16"/>
  <c r="AR10" i="16"/>
  <c r="AS10" i="16" s="1"/>
  <c r="AR11" i="15"/>
  <c r="AS11" i="15" s="1"/>
  <c r="BE11" i="15"/>
  <c r="BE29" i="15"/>
  <c r="AR29" i="15"/>
  <c r="AS29" i="15" s="1"/>
  <c r="BE11" i="16"/>
  <c r="AR11" i="16"/>
  <c r="AS11" i="16" s="1"/>
  <c r="BQ18" i="16" l="1"/>
  <c r="BM5" i="22"/>
  <c r="AO7" i="16"/>
  <c r="BE7" i="16" s="1"/>
  <c r="AR18" i="16"/>
  <c r="AS18" i="16" s="1"/>
  <c r="BE18" i="16"/>
  <c r="BG18" i="16" s="1"/>
  <c r="BH18" i="16" s="1"/>
  <c r="BM5" i="9"/>
  <c r="BC7" i="16"/>
  <c r="BL16" i="16"/>
  <c r="BQ33" i="16"/>
  <c r="AR33" i="16"/>
  <c r="AS33" i="16" s="1"/>
  <c r="BE33" i="16"/>
  <c r="BG11" i="15"/>
  <c r="BH11" i="15" s="1"/>
  <c r="BK11" i="16"/>
  <c r="BQ37" i="16"/>
  <c r="AR37" i="16"/>
  <c r="AS37" i="16" s="1"/>
  <c r="BE37" i="16"/>
  <c r="BK29" i="16"/>
  <c r="BG29" i="15"/>
  <c r="BH29" i="15" s="1"/>
  <c r="BK37" i="11"/>
  <c r="BK37" i="14"/>
  <c r="BL37" i="15"/>
  <c r="BK37" i="16"/>
  <c r="BK37" i="15"/>
  <c r="BG37" i="15"/>
  <c r="BH37" i="15" s="1"/>
  <c r="BG11" i="16"/>
  <c r="BH11" i="16" s="1"/>
  <c r="BL11" i="16"/>
  <c r="BL26" i="16"/>
  <c r="BG26" i="16"/>
  <c r="BH26" i="16" s="1"/>
  <c r="BL25" i="16"/>
  <c r="BG25" i="16"/>
  <c r="BH25" i="16" s="1"/>
  <c r="BG27" i="16"/>
  <c r="BH27" i="16" s="1"/>
  <c r="BL27" i="16"/>
  <c r="BG17" i="16"/>
  <c r="BH17" i="16" s="1"/>
  <c r="BL17" i="16"/>
  <c r="BL28" i="16"/>
  <c r="BG28" i="16"/>
  <c r="BH28" i="16" s="1"/>
  <c r="BG10" i="16"/>
  <c r="BH10" i="16" s="1"/>
  <c r="BL10" i="16"/>
  <c r="BG9" i="16"/>
  <c r="BH9" i="16" s="1"/>
  <c r="BL9" i="16"/>
  <c r="BG8" i="16"/>
  <c r="BH8" i="16" s="1"/>
  <c r="BL8" i="16"/>
  <c r="BL18" i="16" l="1"/>
  <c r="BQ7" i="16"/>
  <c r="AR7" i="16"/>
  <c r="AS7" i="16" s="1"/>
  <c r="BG33" i="16"/>
  <c r="BH33" i="16" s="1"/>
  <c r="BL33" i="16"/>
  <c r="BL37" i="16"/>
  <c r="BG37" i="16"/>
  <c r="BH37" i="16" s="1"/>
  <c r="BL7" i="16" l="1"/>
  <c r="BG7" i="16"/>
  <c r="BH7" i="16" s="1"/>
  <c r="AK1" i="14"/>
  <c r="AG33" i="14"/>
  <c r="AP29" i="14"/>
  <c r="BF29" i="14" s="1"/>
  <c r="AG29" i="14"/>
  <c r="AQ28" i="14"/>
  <c r="AP28" i="14" s="1"/>
  <c r="AG28" i="14"/>
  <c r="AQ27" i="14"/>
  <c r="AP27" i="14"/>
  <c r="AG27" i="14"/>
  <c r="AQ26" i="14"/>
  <c r="AP26" i="14" s="1"/>
  <c r="AG26" i="14"/>
  <c r="AQ25" i="14"/>
  <c r="AP25" i="14"/>
  <c r="AG25" i="14"/>
  <c r="AQ18" i="14"/>
  <c r="AP18" i="14"/>
  <c r="AG18" i="14"/>
  <c r="AQ17" i="14"/>
  <c r="AP17" i="14" s="1"/>
  <c r="AG17" i="14"/>
  <c r="AQ16" i="14"/>
  <c r="AP16" i="14"/>
  <c r="AG16" i="14"/>
  <c r="AQ15" i="14"/>
  <c r="AP15" i="14" s="1"/>
  <c r="AG15" i="14"/>
  <c r="AG11" i="14"/>
  <c r="AP10" i="14"/>
  <c r="AG10" i="14"/>
  <c r="AQ9" i="14"/>
  <c r="AP9" i="14" s="1"/>
  <c r="AG9" i="14"/>
  <c r="AQ8" i="14"/>
  <c r="AP8" i="14"/>
  <c r="AG8" i="14"/>
  <c r="AP7" i="14"/>
  <c r="AG7" i="14"/>
  <c r="AP1" i="14"/>
  <c r="AO1" i="14"/>
  <c r="AE3" i="14"/>
  <c r="AF43" i="14" s="1"/>
  <c r="AA3" i="14"/>
  <c r="Y3" i="14"/>
  <c r="W3" i="14"/>
  <c r="X1" i="14" s="1"/>
  <c r="U3" i="14"/>
  <c r="AR33" i="9"/>
  <c r="AQ33" i="9"/>
  <c r="AP33" i="9"/>
  <c r="AO33" i="9"/>
  <c r="AN33" i="9"/>
  <c r="AM33" i="9"/>
  <c r="AR29" i="9"/>
  <c r="AQ29" i="9"/>
  <c r="AP29" i="9"/>
  <c r="AO29" i="9"/>
  <c r="AN29" i="9"/>
  <c r="AM29" i="9"/>
  <c r="AR28" i="9"/>
  <c r="AQ28" i="9"/>
  <c r="AP28" i="9"/>
  <c r="AO28" i="9"/>
  <c r="AN28" i="9"/>
  <c r="AM28" i="9"/>
  <c r="AR27" i="9"/>
  <c r="AQ27" i="9"/>
  <c r="AP27" i="9"/>
  <c r="AO27" i="9"/>
  <c r="AN27" i="9"/>
  <c r="AM27" i="9"/>
  <c r="AR26" i="9"/>
  <c r="AQ26" i="9"/>
  <c r="AP26" i="9"/>
  <c r="AO26" i="9"/>
  <c r="AN26" i="9"/>
  <c r="AM26" i="9"/>
  <c r="AR25" i="9"/>
  <c r="AQ25" i="9"/>
  <c r="AP25" i="9"/>
  <c r="AO25" i="9"/>
  <c r="AN25" i="9"/>
  <c r="AM25" i="9"/>
  <c r="AR18" i="9"/>
  <c r="AQ18" i="9"/>
  <c r="AP18" i="9"/>
  <c r="AO18" i="9"/>
  <c r="AN18" i="9"/>
  <c r="AM18" i="9"/>
  <c r="AR17" i="9"/>
  <c r="AQ17" i="9"/>
  <c r="AP17" i="9"/>
  <c r="AO17" i="9"/>
  <c r="AN17" i="9"/>
  <c r="AM17" i="9"/>
  <c r="AR16" i="9"/>
  <c r="AQ16" i="9"/>
  <c r="AP16" i="9"/>
  <c r="AO16" i="9"/>
  <c r="AN16" i="9"/>
  <c r="AM16" i="9"/>
  <c r="AR15" i="9"/>
  <c r="AQ15" i="9"/>
  <c r="AP15" i="9"/>
  <c r="AO15" i="9"/>
  <c r="AN15" i="9"/>
  <c r="AM15" i="9"/>
  <c r="AR11" i="9"/>
  <c r="AQ11" i="9"/>
  <c r="AP11" i="9"/>
  <c r="AO11" i="9"/>
  <c r="AN11" i="9"/>
  <c r="AM11" i="9"/>
  <c r="AR10" i="9"/>
  <c r="AQ10" i="9"/>
  <c r="AP10" i="9"/>
  <c r="AO10" i="9"/>
  <c r="AN10" i="9"/>
  <c r="AM10" i="9"/>
  <c r="AR9" i="9"/>
  <c r="AQ9" i="9"/>
  <c r="AP9" i="9"/>
  <c r="AO9" i="9"/>
  <c r="AN9" i="9"/>
  <c r="AM9" i="9"/>
  <c r="AR8" i="9"/>
  <c r="AQ8" i="9"/>
  <c r="AP8" i="9"/>
  <c r="AO8" i="9"/>
  <c r="AN8" i="9"/>
  <c r="AM8" i="9"/>
  <c r="AR7" i="9"/>
  <c r="AQ7" i="9"/>
  <c r="AP7" i="9"/>
  <c r="AO7" i="9"/>
  <c r="AN7" i="9"/>
  <c r="AR5" i="9"/>
  <c r="AZ5" i="9" s="1"/>
  <c r="AQ5" i="9"/>
  <c r="AY5" i="9" s="1"/>
  <c r="AP5" i="9"/>
  <c r="AX5" i="9" s="1"/>
  <c r="AO5" i="9"/>
  <c r="AW5" i="9" s="1"/>
  <c r="AN5" i="9"/>
  <c r="AV5" i="9" s="1"/>
  <c r="AM5" i="9"/>
  <c r="AU5" i="9" s="1"/>
  <c r="AS16" i="9" l="1"/>
  <c r="AS29" i="9"/>
  <c r="AF42" i="14"/>
  <c r="AF41" i="14"/>
  <c r="AK28" i="14"/>
  <c r="BA28" i="14" s="1"/>
  <c r="AK16" i="14"/>
  <c r="BA16" i="14" s="1"/>
  <c r="AK27" i="14"/>
  <c r="BA27" i="14" s="1"/>
  <c r="AK43" i="14"/>
  <c r="BA43" i="14" s="1"/>
  <c r="AK26" i="14"/>
  <c r="BA26" i="14" s="1"/>
  <c r="AK37" i="14"/>
  <c r="BA37" i="14" s="1"/>
  <c r="AK25" i="14"/>
  <c r="BA25" i="14" s="1"/>
  <c r="AK18" i="14"/>
  <c r="BA18" i="14" s="1"/>
  <c r="AK8" i="14"/>
  <c r="BA8" i="14" s="1"/>
  <c r="AK17" i="14"/>
  <c r="BA17" i="14" s="1"/>
  <c r="AK42" i="14"/>
  <c r="BA42" i="14" s="1"/>
  <c r="AK10" i="14"/>
  <c r="BA10" i="14" s="1"/>
  <c r="AK41" i="14"/>
  <c r="BA41" i="14" s="1"/>
  <c r="AK9" i="14"/>
  <c r="BA9" i="14" s="1"/>
  <c r="AK33" i="14"/>
  <c r="BA33" i="14" s="1"/>
  <c r="AK29" i="14"/>
  <c r="BA29" i="14" s="1"/>
  <c r="AK15" i="14"/>
  <c r="BA15" i="14" s="1"/>
  <c r="AK11" i="14"/>
  <c r="BA11" i="14" s="1"/>
  <c r="AK7" i="14"/>
  <c r="BA7" i="14" s="1"/>
  <c r="AB29" i="14"/>
  <c r="AB43" i="14"/>
  <c r="AB42" i="14"/>
  <c r="AB41" i="14"/>
  <c r="AD37" i="14"/>
  <c r="AD43" i="14"/>
  <c r="AD41" i="14"/>
  <c r="AD42" i="14"/>
  <c r="X37" i="14"/>
  <c r="X7" i="14"/>
  <c r="X42" i="14"/>
  <c r="X41" i="14"/>
  <c r="X43" i="14"/>
  <c r="AS10" i="9"/>
  <c r="AL2" i="14"/>
  <c r="AN6" i="9"/>
  <c r="AS7" i="9"/>
  <c r="AN14" i="9"/>
  <c r="AM14" i="9"/>
  <c r="AS17" i="9"/>
  <c r="AP24" i="9"/>
  <c r="AS8" i="9"/>
  <c r="AQ24" i="9"/>
  <c r="AO24" i="9"/>
  <c r="AP14" i="9"/>
  <c r="AO14" i="9"/>
  <c r="AS9" i="9"/>
  <c r="AN24" i="9"/>
  <c r="AS15" i="9"/>
  <c r="AS33" i="9"/>
  <c r="AQ14" i="9"/>
  <c r="AP6" i="9"/>
  <c r="AS11" i="9"/>
  <c r="AR14" i="9"/>
  <c r="AR24" i="9"/>
  <c r="AS18" i="9"/>
  <c r="AS25" i="9"/>
  <c r="AM6" i="9"/>
  <c r="AS26" i="9"/>
  <c r="AS27" i="9"/>
  <c r="AM24" i="9"/>
  <c r="AQ6" i="9"/>
  <c r="AS28" i="9"/>
  <c r="AR6" i="9"/>
  <c r="AO6" i="9"/>
  <c r="AM2" i="14"/>
  <c r="AN2" i="14"/>
  <c r="X25" i="14"/>
  <c r="AD18" i="14"/>
  <c r="AD10" i="14"/>
  <c r="AD17" i="14"/>
  <c r="AB11" i="14"/>
  <c r="AB7" i="14"/>
  <c r="AB28" i="14"/>
  <c r="AD7" i="14"/>
  <c r="AD28" i="14"/>
  <c r="AF16" i="14"/>
  <c r="AB25" i="14"/>
  <c r="AD25" i="14"/>
  <c r="AD8" i="14"/>
  <c r="AB16" i="14"/>
  <c r="AD29" i="14"/>
  <c r="AD16" i="14"/>
  <c r="AB26" i="14"/>
  <c r="AD26" i="14"/>
  <c r="X8" i="14"/>
  <c r="AB8" i="14"/>
  <c r="AD11" i="14"/>
  <c r="X17" i="14"/>
  <c r="X26" i="14"/>
  <c r="X15" i="14"/>
  <c r="AB9" i="14"/>
  <c r="AD15" i="14"/>
  <c r="X18" i="14"/>
  <c r="X27" i="14"/>
  <c r="X33" i="14"/>
  <c r="AD9" i="14"/>
  <c r="AB27" i="14"/>
  <c r="AD33" i="14"/>
  <c r="AD27" i="14"/>
  <c r="AB15" i="14"/>
  <c r="X16" i="14"/>
  <c r="AF17" i="14"/>
  <c r="AF28" i="14"/>
  <c r="AF9" i="14"/>
  <c r="AF33" i="14"/>
  <c r="AF29" i="14"/>
  <c r="AF10" i="14"/>
  <c r="X9" i="14"/>
  <c r="X28" i="14"/>
  <c r="AB17" i="14"/>
  <c r="X29" i="14"/>
  <c r="AB18" i="14"/>
  <c r="X10" i="14"/>
  <c r="AB10" i="14"/>
  <c r="X11" i="14"/>
  <c r="Z42" i="14" l="1"/>
  <c r="Z43" i="14"/>
  <c r="Z41" i="14"/>
  <c r="V41" i="14"/>
  <c r="V7" i="14"/>
  <c r="V43" i="14"/>
  <c r="V42" i="14"/>
  <c r="AS6" i="9"/>
  <c r="AN2" i="9"/>
  <c r="AV18" i="9" s="1"/>
  <c r="AP2" i="9"/>
  <c r="AS14" i="9"/>
  <c r="AR2" i="9"/>
  <c r="AZ24" i="9" s="1"/>
  <c r="AM2" i="9"/>
  <c r="AQ2" i="9"/>
  <c r="AS24" i="9"/>
  <c r="AO2" i="9"/>
  <c r="Z11" i="14"/>
  <c r="Z37" i="14"/>
  <c r="V28" i="14"/>
  <c r="V37" i="14"/>
  <c r="V15" i="14"/>
  <c r="V33" i="14"/>
  <c r="V18" i="14"/>
  <c r="V27" i="14"/>
  <c r="V10" i="14"/>
  <c r="V25" i="14"/>
  <c r="AF18" i="14"/>
  <c r="AF11" i="14"/>
  <c r="AF8" i="14"/>
  <c r="AF27" i="14"/>
  <c r="AF25" i="14"/>
  <c r="Z26" i="14"/>
  <c r="AF15" i="14"/>
  <c r="Z25" i="14"/>
  <c r="AF26" i="14"/>
  <c r="Z15" i="14"/>
  <c r="AF7" i="14"/>
  <c r="Z8" i="14"/>
  <c r="Z18" i="14"/>
  <c r="V29" i="14"/>
  <c r="Z10" i="14"/>
  <c r="Z33" i="14"/>
  <c r="Z29" i="14"/>
  <c r="V11" i="14"/>
  <c r="Z7" i="14"/>
  <c r="Z16" i="14"/>
  <c r="Z27" i="14"/>
  <c r="Z9" i="14"/>
  <c r="Z28" i="14"/>
  <c r="V9" i="14"/>
  <c r="V26" i="14"/>
  <c r="V16" i="14"/>
  <c r="Z17" i="14"/>
  <c r="V8" i="14"/>
  <c r="V17" i="14"/>
  <c r="AH41" i="14" l="1"/>
  <c r="AU41" i="14" s="1"/>
  <c r="AV28" i="9"/>
  <c r="AV7" i="9"/>
  <c r="AV25" i="9"/>
  <c r="AV11" i="9"/>
  <c r="AV16" i="9"/>
  <c r="AV8" i="9"/>
  <c r="AV29" i="9"/>
  <c r="AV17" i="9"/>
  <c r="AV9" i="9"/>
  <c r="AV26" i="9"/>
  <c r="AV33" i="9"/>
  <c r="AV24" i="9"/>
  <c r="AV15" i="9"/>
  <c r="AH43" i="14"/>
  <c r="AU43" i="14" s="1"/>
  <c r="AH42" i="14"/>
  <c r="AU42" i="14" s="1"/>
  <c r="AH7" i="14"/>
  <c r="AV27" i="9"/>
  <c r="AS2" i="9"/>
  <c r="AM1" i="9" s="1"/>
  <c r="BA8" i="9"/>
  <c r="BA14" i="9"/>
  <c r="AU6" i="9"/>
  <c r="AV6" i="9"/>
  <c r="AV10" i="9"/>
  <c r="AV14" i="9"/>
  <c r="AX18" i="9"/>
  <c r="AX17" i="9"/>
  <c r="AX15" i="9"/>
  <c r="AX24" i="9"/>
  <c r="AX28" i="9"/>
  <c r="AX8" i="9"/>
  <c r="AX9" i="9"/>
  <c r="AX14" i="9"/>
  <c r="AX6" i="9"/>
  <c r="AX7" i="9"/>
  <c r="AX29" i="9"/>
  <c r="AX27" i="9"/>
  <c r="AX33" i="9"/>
  <c r="AX10" i="9"/>
  <c r="AX26" i="9"/>
  <c r="AX25" i="9"/>
  <c r="AX11" i="9"/>
  <c r="AX16" i="9"/>
  <c r="AY27" i="9"/>
  <c r="AY28" i="9"/>
  <c r="AY10" i="9"/>
  <c r="AY16" i="9"/>
  <c r="AY7" i="9"/>
  <c r="AY9" i="9"/>
  <c r="AY26" i="9"/>
  <c r="AY18" i="9"/>
  <c r="AY17" i="9"/>
  <c r="AY24" i="9"/>
  <c r="AY25" i="9"/>
  <c r="AY8" i="9"/>
  <c r="AY33" i="9"/>
  <c r="AY15" i="9"/>
  <c r="AY11" i="9"/>
  <c r="AY29" i="9"/>
  <c r="AY6" i="9"/>
  <c r="AU7" i="9"/>
  <c r="AU14" i="9"/>
  <c r="AU16" i="9"/>
  <c r="AU25" i="9"/>
  <c r="AU29" i="9"/>
  <c r="AU15" i="9"/>
  <c r="AU18" i="9"/>
  <c r="AU8" i="9"/>
  <c r="AU10" i="9"/>
  <c r="AU27" i="9"/>
  <c r="AU26" i="9"/>
  <c r="AU28" i="9"/>
  <c r="AU9" i="9"/>
  <c r="AU33" i="9"/>
  <c r="AU11" i="9"/>
  <c r="AU17" i="9"/>
  <c r="AU24" i="9"/>
  <c r="AZ17" i="9"/>
  <c r="AZ18" i="9"/>
  <c r="AZ25" i="9"/>
  <c r="AZ10" i="9"/>
  <c r="AZ28" i="9"/>
  <c r="AZ7" i="9"/>
  <c r="AZ8" i="9"/>
  <c r="AZ27" i="9"/>
  <c r="AZ15" i="9"/>
  <c r="AZ16" i="9"/>
  <c r="AZ9" i="9"/>
  <c r="AZ29" i="9"/>
  <c r="AZ33" i="9"/>
  <c r="AZ26" i="9"/>
  <c r="AZ11" i="9"/>
  <c r="AZ6" i="9"/>
  <c r="AY14" i="9"/>
  <c r="AZ14" i="9"/>
  <c r="AH27" i="14"/>
  <c r="AW16" i="9"/>
  <c r="AW8" i="9"/>
  <c r="AW15" i="9"/>
  <c r="AW24" i="9"/>
  <c r="AW28" i="9"/>
  <c r="AW7" i="9"/>
  <c r="AW17" i="9"/>
  <c r="AW33" i="9"/>
  <c r="AW29" i="9"/>
  <c r="AW18" i="9"/>
  <c r="AW25" i="9"/>
  <c r="AW26" i="9"/>
  <c r="AW14" i="9"/>
  <c r="AW10" i="9"/>
  <c r="AW9" i="9"/>
  <c r="AW27" i="9"/>
  <c r="AW11" i="9"/>
  <c r="AW6" i="9"/>
  <c r="AH37" i="14"/>
  <c r="AH11" i="14"/>
  <c r="AU11" i="14" s="1"/>
  <c r="AH9" i="14"/>
  <c r="AU9" i="14" s="1"/>
  <c r="AH28" i="14"/>
  <c r="AH17" i="14"/>
  <c r="AH10" i="14"/>
  <c r="AU10" i="14" s="1"/>
  <c r="AH33" i="14"/>
  <c r="AH26" i="14"/>
  <c r="AU26" i="14" s="1"/>
  <c r="AH15" i="14"/>
  <c r="AU15" i="14" s="1"/>
  <c r="AH25" i="14"/>
  <c r="AU25" i="14" s="1"/>
  <c r="AH8" i="14"/>
  <c r="AU8" i="14" s="1"/>
  <c r="AH18" i="14"/>
  <c r="AU18" i="14" s="1"/>
  <c r="AH16" i="14"/>
  <c r="AU16" i="14" s="1"/>
  <c r="AH29" i="14"/>
  <c r="AU29" i="14" s="1"/>
  <c r="W1" i="12"/>
  <c r="W3" i="12" s="1"/>
  <c r="E19" i="13"/>
  <c r="E18" i="13"/>
  <c r="U1" i="12" s="1"/>
  <c r="U3" i="12" s="1"/>
  <c r="E17" i="13"/>
  <c r="AA1" i="12" s="1"/>
  <c r="AA3" i="12" s="1"/>
  <c r="AB7" i="12" s="1"/>
  <c r="E16" i="13"/>
  <c r="AE1" i="12" s="1"/>
  <c r="AE3" i="12" s="1"/>
  <c r="E15" i="13"/>
  <c r="C42" i="13"/>
  <c r="C43" i="13" s="1"/>
  <c r="G41" i="13"/>
  <c r="L41" i="13" s="1"/>
  <c r="F41" i="13"/>
  <c r="S40" i="13"/>
  <c r="X40" i="13" s="1"/>
  <c r="L40" i="13"/>
  <c r="G40" i="13"/>
  <c r="F40" i="13"/>
  <c r="S39" i="13"/>
  <c r="L39" i="13"/>
  <c r="F39" i="13"/>
  <c r="F42" i="13" s="1"/>
  <c r="F44" i="13" s="1"/>
  <c r="S38" i="13"/>
  <c r="Y38" i="13" s="1"/>
  <c r="L38" i="13"/>
  <c r="F38" i="13"/>
  <c r="G38" i="13" s="1"/>
  <c r="S37" i="13"/>
  <c r="X37" i="13" s="1"/>
  <c r="L37" i="13"/>
  <c r="F37" i="13"/>
  <c r="G37" i="13" s="1"/>
  <c r="S36" i="13"/>
  <c r="L36" i="13"/>
  <c r="F36" i="13"/>
  <c r="G36" i="13" s="1"/>
  <c r="S35" i="13"/>
  <c r="Y35" i="13" s="1"/>
  <c r="L35" i="13"/>
  <c r="G35" i="13"/>
  <c r="F35" i="13"/>
  <c r="C22" i="13"/>
  <c r="F20" i="13"/>
  <c r="G20" i="13" s="1"/>
  <c r="S19" i="13"/>
  <c r="F19" i="13"/>
  <c r="AD18" i="13"/>
  <c r="AE18" i="13" s="1"/>
  <c r="S18" i="13"/>
  <c r="X18" i="13" s="1"/>
  <c r="F18" i="13"/>
  <c r="G18" i="13" s="1"/>
  <c r="L18" i="13" s="1"/>
  <c r="S17" i="13"/>
  <c r="Y17" i="13" s="1"/>
  <c r="F17" i="13"/>
  <c r="G17" i="13" s="1"/>
  <c r="S16" i="13"/>
  <c r="F16" i="13"/>
  <c r="G16" i="13" s="1"/>
  <c r="S15" i="13"/>
  <c r="X15" i="13" s="1"/>
  <c r="F15" i="13"/>
  <c r="G15" i="13" s="1"/>
  <c r="AE14" i="13"/>
  <c r="S14" i="13"/>
  <c r="C9" i="13"/>
  <c r="C10" i="13" s="1"/>
  <c r="AI33" i="12"/>
  <c r="AG33" i="12"/>
  <c r="AI29" i="12"/>
  <c r="AG29" i="12"/>
  <c r="AJ28" i="12"/>
  <c r="AI28" i="12"/>
  <c r="AG28" i="12"/>
  <c r="AJ27" i="12"/>
  <c r="AI27" i="12" s="1"/>
  <c r="AG27" i="12"/>
  <c r="AJ26" i="12"/>
  <c r="AI26" i="12"/>
  <c r="AG26" i="12"/>
  <c r="AJ25" i="12"/>
  <c r="AI25" i="12"/>
  <c r="AG25" i="12"/>
  <c r="AJ18" i="12"/>
  <c r="AI18" i="12" s="1"/>
  <c r="AG18" i="12"/>
  <c r="AJ17" i="12"/>
  <c r="AI17" i="12"/>
  <c r="AG17" i="12"/>
  <c r="AJ16" i="12"/>
  <c r="AI16" i="12"/>
  <c r="AG16" i="12"/>
  <c r="AJ15" i="12"/>
  <c r="AI15" i="12"/>
  <c r="AG15" i="12"/>
  <c r="AI11" i="12"/>
  <c r="AG11" i="12"/>
  <c r="AI10" i="12"/>
  <c r="AG10" i="12"/>
  <c r="AJ9" i="12"/>
  <c r="AI9" i="12"/>
  <c r="AG9" i="12"/>
  <c r="AJ8" i="12"/>
  <c r="AI8" i="12" s="1"/>
  <c r="AG8" i="12"/>
  <c r="AI7" i="12"/>
  <c r="AG7" i="12"/>
  <c r="X3" i="12"/>
  <c r="AK37" i="12"/>
  <c r="AL37" i="12" s="1"/>
  <c r="AD1" i="12"/>
  <c r="AC1" i="12"/>
  <c r="AB1" i="12"/>
  <c r="L15" i="13" l="1"/>
  <c r="L16" i="13"/>
  <c r="AX42" i="14"/>
  <c r="G19" i="13"/>
  <c r="F21" i="13"/>
  <c r="F23" i="13" s="1"/>
  <c r="L17" i="13"/>
  <c r="BJ12" i="24"/>
  <c r="H14" i="13"/>
  <c r="BJ6" i="24" s="1"/>
  <c r="AX41" i="14"/>
  <c r="AI41" i="14"/>
  <c r="AJ41" i="14" s="1"/>
  <c r="C11" i="13"/>
  <c r="C26" i="13" s="1"/>
  <c r="C29" i="13" s="1"/>
  <c r="Y1" i="12"/>
  <c r="Y3" i="12" s="1"/>
  <c r="Z28" i="12" s="1"/>
  <c r="AU4" i="9"/>
  <c r="AU3" i="9" s="1"/>
  <c r="AM4" i="9"/>
  <c r="AM3" i="9" s="1"/>
  <c r="AI42" i="14"/>
  <c r="AJ42" i="14" s="1"/>
  <c r="AL42" i="14" s="1"/>
  <c r="BA7" i="9"/>
  <c r="BD7" i="9" s="1"/>
  <c r="BF7" i="9" s="1"/>
  <c r="AS1" i="9"/>
  <c r="AS4" i="9" s="1"/>
  <c r="AP1" i="9"/>
  <c r="BA25" i="9"/>
  <c r="BC25" i="9" s="1"/>
  <c r="BE25" i="9" s="1"/>
  <c r="AU37" i="14"/>
  <c r="AI37" i="14"/>
  <c r="AJ37" i="14" s="1"/>
  <c r="AI43" i="14"/>
  <c r="AJ43" i="14" s="1"/>
  <c r="AX43" i="14"/>
  <c r="BA18" i="9"/>
  <c r="BC18" i="9" s="1"/>
  <c r="BA17" i="9"/>
  <c r="BC17" i="9" s="1"/>
  <c r="AN1" i="9"/>
  <c r="AV4" i="9" s="1"/>
  <c r="AV3" i="9" s="1"/>
  <c r="BA9" i="9"/>
  <c r="BC9" i="9" s="1"/>
  <c r="BE9" i="9" s="1"/>
  <c r="BA28" i="9"/>
  <c r="BC28" i="9" s="1"/>
  <c r="BE28" i="9" s="1"/>
  <c r="AQ1" i="9"/>
  <c r="AQ4" i="9" s="1"/>
  <c r="BA15" i="9"/>
  <c r="BC15" i="9" s="1"/>
  <c r="BE15" i="9" s="1"/>
  <c r="BA24" i="9"/>
  <c r="BD24" i="9" s="1"/>
  <c r="BF24" i="9" s="1"/>
  <c r="AR1" i="9"/>
  <c r="AZ4" i="9" s="1"/>
  <c r="AZ3" i="9" s="1"/>
  <c r="BA16" i="9"/>
  <c r="BD16" i="9" s="1"/>
  <c r="BF16" i="9" s="1"/>
  <c r="BA29" i="9"/>
  <c r="BC29" i="9" s="1"/>
  <c r="BE29" i="9" s="1"/>
  <c r="BA10" i="9"/>
  <c r="BC10" i="9" s="1"/>
  <c r="BE10" i="9" s="1"/>
  <c r="BA33" i="9"/>
  <c r="BC33" i="9" s="1"/>
  <c r="BA26" i="9"/>
  <c r="BD26" i="9" s="1"/>
  <c r="BF26" i="9" s="1"/>
  <c r="BA27" i="9"/>
  <c r="BC27" i="9" s="1"/>
  <c r="BE27" i="9" s="1"/>
  <c r="AO1" i="9"/>
  <c r="AW4" i="9" s="1"/>
  <c r="AW3" i="9" s="1"/>
  <c r="AX27" i="14"/>
  <c r="AU27" i="14"/>
  <c r="AX11" i="14"/>
  <c r="AI17" i="14"/>
  <c r="AJ17" i="14" s="1"/>
  <c r="AU17" i="14"/>
  <c r="AI28" i="14"/>
  <c r="AJ28" i="14" s="1"/>
  <c r="AU28" i="14"/>
  <c r="AU7" i="14"/>
  <c r="AI7" i="14"/>
  <c r="AJ7" i="14" s="1"/>
  <c r="AL7" i="14" s="1"/>
  <c r="AI27" i="14"/>
  <c r="AJ27" i="14" s="1"/>
  <c r="AI11" i="14"/>
  <c r="AY11" i="14" s="1"/>
  <c r="BA11" i="9"/>
  <c r="BD11" i="9" s="1"/>
  <c r="BA6" i="9"/>
  <c r="AX28" i="14"/>
  <c r="BA4" i="9"/>
  <c r="AP4" i="9"/>
  <c r="AP3" i="9" s="1"/>
  <c r="AX4" i="9"/>
  <c r="AX3" i="9" s="1"/>
  <c r="BC14" i="9"/>
  <c r="BE14" i="9" s="1"/>
  <c r="BD14" i="9"/>
  <c r="BF14" i="9" s="1"/>
  <c r="BD25" i="9"/>
  <c r="BF25" i="9" s="1"/>
  <c r="BC8" i="9"/>
  <c r="BD8" i="9"/>
  <c r="BF8" i="9" s="1"/>
  <c r="AX17" i="14"/>
  <c r="AX9" i="14"/>
  <c r="AI9" i="14"/>
  <c r="AY9" i="14" s="1"/>
  <c r="AD26" i="12"/>
  <c r="AD37" i="12"/>
  <c r="AI10" i="14"/>
  <c r="AJ10" i="14" s="1"/>
  <c r="AX10" i="14"/>
  <c r="AX37" i="14"/>
  <c r="AM37" i="12"/>
  <c r="AO37" i="12" s="1"/>
  <c r="AN37" i="12"/>
  <c r="X29" i="12"/>
  <c r="X37" i="12"/>
  <c r="X25" i="12"/>
  <c r="AX29" i="14"/>
  <c r="AI29" i="14"/>
  <c r="AX7" i="14"/>
  <c r="AX16" i="14"/>
  <c r="AI16" i="14"/>
  <c r="AX18" i="14"/>
  <c r="AI18" i="14"/>
  <c r="AX25" i="14"/>
  <c r="AI25" i="14"/>
  <c r="AX26" i="14"/>
  <c r="AI26" i="14"/>
  <c r="AX8" i="14"/>
  <c r="AI8" i="14"/>
  <c r="AX15" i="14"/>
  <c r="AI15" i="14"/>
  <c r="AX33" i="14"/>
  <c r="AI33" i="14"/>
  <c r="BI29" i="14"/>
  <c r="BJ29" i="14" s="1"/>
  <c r="AD9" i="12"/>
  <c r="AD16" i="12"/>
  <c r="X35" i="13"/>
  <c r="W35" i="13"/>
  <c r="AB28" i="12"/>
  <c r="AD28" i="12"/>
  <c r="AD7" i="12"/>
  <c r="AB15" i="12"/>
  <c r="AD15" i="12"/>
  <c r="AB25" i="12"/>
  <c r="AD25" i="12"/>
  <c r="AB29" i="12"/>
  <c r="V15" i="12"/>
  <c r="AD29" i="12"/>
  <c r="AB9" i="12"/>
  <c r="AB16" i="12"/>
  <c r="Y18" i="13"/>
  <c r="Y15" i="13"/>
  <c r="Y37" i="13"/>
  <c r="Y40" i="13"/>
  <c r="W40" i="13"/>
  <c r="AB10" i="12"/>
  <c r="AD10" i="12"/>
  <c r="L20" i="13"/>
  <c r="G39" i="13"/>
  <c r="G42" i="13" s="1"/>
  <c r="X19" i="13"/>
  <c r="Y19" i="13"/>
  <c r="W19" i="13"/>
  <c r="H18" i="13"/>
  <c r="Y39" i="13"/>
  <c r="X39" i="13"/>
  <c r="W39" i="13"/>
  <c r="W17" i="13"/>
  <c r="X17" i="13"/>
  <c r="X16" i="13"/>
  <c r="Y16" i="13"/>
  <c r="W16" i="13"/>
  <c r="X14" i="13"/>
  <c r="Y14" i="13"/>
  <c r="W14" i="13"/>
  <c r="W15" i="13"/>
  <c r="L19" i="13"/>
  <c r="L21" i="13" s="1"/>
  <c r="L42" i="13"/>
  <c r="Y36" i="13"/>
  <c r="X36" i="13"/>
  <c r="W36" i="13"/>
  <c r="W37" i="13"/>
  <c r="W38" i="13"/>
  <c r="W18" i="13"/>
  <c r="X38" i="13"/>
  <c r="AF17" i="12"/>
  <c r="AF27" i="12"/>
  <c r="AF18" i="12"/>
  <c r="AF9" i="12"/>
  <c r="AF10" i="12"/>
  <c r="AF11" i="12"/>
  <c r="AF33" i="12"/>
  <c r="AF8" i="12"/>
  <c r="AF28" i="12"/>
  <c r="AF15" i="12"/>
  <c r="AF25" i="12"/>
  <c r="AF29" i="12"/>
  <c r="AF16" i="12"/>
  <c r="AF7" i="12"/>
  <c r="AF26" i="12"/>
  <c r="X9" i="12"/>
  <c r="X15" i="12"/>
  <c r="X28" i="12"/>
  <c r="X18" i="12"/>
  <c r="X8" i="12"/>
  <c r="AB18" i="12"/>
  <c r="X11" i="12"/>
  <c r="AD18" i="12"/>
  <c r="X33" i="12"/>
  <c r="AB8" i="12"/>
  <c r="X17" i="12"/>
  <c r="AD8" i="12"/>
  <c r="AB11" i="12"/>
  <c r="AD27" i="12"/>
  <c r="AD33" i="12"/>
  <c r="AB17" i="12"/>
  <c r="X26" i="12"/>
  <c r="X7" i="12"/>
  <c r="AD17" i="12"/>
  <c r="X1" i="12"/>
  <c r="X27" i="12"/>
  <c r="AB27" i="12"/>
  <c r="AD11" i="12"/>
  <c r="X10" i="12"/>
  <c r="X16" i="12"/>
  <c r="AB26" i="12"/>
  <c r="J14" i="13" l="1"/>
  <c r="L7" i="24"/>
  <c r="AY41" i="14"/>
  <c r="BM12" i="24"/>
  <c r="BL12" i="24" s="1"/>
  <c r="BP12" i="24"/>
  <c r="L125" i="24"/>
  <c r="N121" i="24" s="1"/>
  <c r="BJ14" i="24"/>
  <c r="BM6" i="24"/>
  <c r="BL6" i="24" s="1"/>
  <c r="BP6" i="24"/>
  <c r="AY42" i="14"/>
  <c r="AY43" i="14"/>
  <c r="BD15" i="9"/>
  <c r="BF15" i="9" s="1"/>
  <c r="BC7" i="9"/>
  <c r="BE7" i="9" s="1"/>
  <c r="BD6" i="9"/>
  <c r="BF6" i="9" s="1"/>
  <c r="BC6" i="9"/>
  <c r="BA1" i="9"/>
  <c r="AQ37" i="9"/>
  <c r="AQ3" i="9"/>
  <c r="AN4" i="9"/>
  <c r="AN3" i="9" s="1"/>
  <c r="BD9" i="9"/>
  <c r="BF9" i="9" s="1"/>
  <c r="BD18" i="9"/>
  <c r="BQ5" i="9" s="1"/>
  <c r="BU5" i="9" s="1"/>
  <c r="BD17" i="9"/>
  <c r="BQ2" i="9" s="1"/>
  <c r="BU2" i="9" s="1"/>
  <c r="AY4" i="9"/>
  <c r="AY3" i="9" s="1"/>
  <c r="BA3" i="9" s="1"/>
  <c r="BD28" i="9"/>
  <c r="BF28" i="9" s="1"/>
  <c r="AR4" i="9"/>
  <c r="AR3" i="9" s="1"/>
  <c r="I18" i="13"/>
  <c r="R18" i="13" s="1"/>
  <c r="L125" i="19"/>
  <c r="L7" i="19"/>
  <c r="N3" i="19" s="1"/>
  <c r="I14" i="13"/>
  <c r="BC24" i="9"/>
  <c r="BE24" i="9" s="1"/>
  <c r="BD10" i="9"/>
  <c r="BF10" i="9" s="1"/>
  <c r="BD33" i="9"/>
  <c r="BF33" i="9" s="1"/>
  <c r="BD27" i="9"/>
  <c r="BF27" i="9" s="1"/>
  <c r="BC26" i="9"/>
  <c r="BE26" i="9" s="1"/>
  <c r="BD29" i="9"/>
  <c r="BF29" i="9" s="1"/>
  <c r="BC16" i="9"/>
  <c r="BE16" i="9" s="1"/>
  <c r="AO4" i="9"/>
  <c r="AO3" i="9" s="1"/>
  <c r="BC11" i="9"/>
  <c r="BE11" i="9" s="1"/>
  <c r="AY28" i="14"/>
  <c r="AY17" i="14"/>
  <c r="AY27" i="14"/>
  <c r="AJ11" i="14"/>
  <c r="AL11" i="14" s="1"/>
  <c r="AM11" i="14" s="1"/>
  <c r="AN11" i="14" s="1"/>
  <c r="AJ49" i="14"/>
  <c r="AJ47" i="14"/>
  <c r="AZ43" i="14"/>
  <c r="AL43" i="14"/>
  <c r="AJ48" i="14"/>
  <c r="AJ46" i="14"/>
  <c r="AZ42" i="14"/>
  <c r="AZ41" i="14"/>
  <c r="AL41" i="14"/>
  <c r="BF11" i="9"/>
  <c r="BP2" i="9"/>
  <c r="BE17" i="9"/>
  <c r="BP5" i="9"/>
  <c r="BT5" i="9" s="1"/>
  <c r="CC5" i="9" s="1"/>
  <c r="CD5" i="9" s="1"/>
  <c r="BE18" i="9"/>
  <c r="BE8" i="9"/>
  <c r="BP9" i="9"/>
  <c r="BT9" i="9" s="1"/>
  <c r="CC9" i="9" s="1"/>
  <c r="CD9" i="9" s="1"/>
  <c r="BE33" i="9"/>
  <c r="BE6" i="9"/>
  <c r="BQ3" i="9"/>
  <c r="BU3" i="9" s="1"/>
  <c r="BQ6" i="9"/>
  <c r="BU6" i="9" s="1"/>
  <c r="BP7" i="9"/>
  <c r="BT7" i="9" s="1"/>
  <c r="CC7" i="9" s="1"/>
  <c r="CD7" i="9" s="1"/>
  <c r="BQ4" i="9"/>
  <c r="BP4" i="9"/>
  <c r="BT4" i="9" s="1"/>
  <c r="CC4" i="9" s="1"/>
  <c r="CD4" i="9" s="1"/>
  <c r="Z9" i="12"/>
  <c r="Z15" i="12"/>
  <c r="AH15" i="12" s="1"/>
  <c r="AL15" i="12" s="1"/>
  <c r="AY10" i="14"/>
  <c r="AJ9" i="14"/>
  <c r="AZ9" i="14" s="1"/>
  <c r="AY37" i="14"/>
  <c r="AL37" i="14"/>
  <c r="AO37" i="14" s="1"/>
  <c r="V25" i="12"/>
  <c r="V37" i="12"/>
  <c r="Z27" i="12"/>
  <c r="Z37" i="12"/>
  <c r="AZ27" i="14"/>
  <c r="AL27" i="14"/>
  <c r="AJ26" i="14"/>
  <c r="AY26" i="14"/>
  <c r="AY25" i="14"/>
  <c r="AJ25" i="14"/>
  <c r="AL25" i="14" s="1"/>
  <c r="AN25" i="14" s="1"/>
  <c r="AY7" i="14"/>
  <c r="AJ16" i="14"/>
  <c r="AY16" i="14"/>
  <c r="AJ15" i="14"/>
  <c r="AY15" i="14"/>
  <c r="AJ29" i="14"/>
  <c r="AY29" i="14"/>
  <c r="AL28" i="14"/>
  <c r="AO28" i="14" s="1"/>
  <c r="AZ28" i="14"/>
  <c r="AJ33" i="14"/>
  <c r="AY33" i="14"/>
  <c r="AZ10" i="14"/>
  <c r="AL10" i="14"/>
  <c r="AO10" i="14" s="1"/>
  <c r="AJ18" i="14"/>
  <c r="AY18" i="14"/>
  <c r="AZ17" i="14"/>
  <c r="AL17" i="14"/>
  <c r="AJ8" i="14"/>
  <c r="AY8" i="14"/>
  <c r="V16" i="12"/>
  <c r="Z17" i="12"/>
  <c r="Z26" i="12"/>
  <c r="Z25" i="12"/>
  <c r="V11" i="12"/>
  <c r="Z10" i="12"/>
  <c r="V17" i="12"/>
  <c r="Z11" i="12"/>
  <c r="V29" i="12"/>
  <c r="Z18" i="12"/>
  <c r="V10" i="12"/>
  <c r="V26" i="12"/>
  <c r="V7" i="12"/>
  <c r="V27" i="12"/>
  <c r="V8" i="12"/>
  <c r="V33" i="12"/>
  <c r="Z33" i="12"/>
  <c r="V18" i="12"/>
  <c r="Z7" i="12"/>
  <c r="V28" i="12"/>
  <c r="AH28" i="12" s="1"/>
  <c r="AL28" i="12" s="1"/>
  <c r="Z16" i="12"/>
  <c r="V9" i="12"/>
  <c r="Z29" i="12"/>
  <c r="Z36" i="13"/>
  <c r="Z15" i="13"/>
  <c r="Z8" i="12"/>
  <c r="J18" i="13"/>
  <c r="G21" i="13"/>
  <c r="H41" i="13"/>
  <c r="I41" i="13" s="1"/>
  <c r="H19" i="13"/>
  <c r="I19" i="13" s="1"/>
  <c r="H20" i="13"/>
  <c r="I20" i="13" s="1"/>
  <c r="H16" i="13"/>
  <c r="H15" i="13"/>
  <c r="BJ8" i="24" s="1"/>
  <c r="C31" i="13"/>
  <c r="C30" i="13"/>
  <c r="H17" i="13"/>
  <c r="N2" i="24" l="1"/>
  <c r="N3" i="24"/>
  <c r="N120" i="24"/>
  <c r="N122" i="24" s="1"/>
  <c r="N123" i="24" s="1"/>
  <c r="BN12" i="24"/>
  <c r="BO12" i="24" s="1"/>
  <c r="BQ12" i="24"/>
  <c r="BR12" i="24" s="1"/>
  <c r="L71" i="24"/>
  <c r="N67" i="24" s="1"/>
  <c r="BJ10" i="24"/>
  <c r="BN6" i="24"/>
  <c r="BO6" i="24" s="1"/>
  <c r="BQ6" i="24"/>
  <c r="BR6" i="24" s="1"/>
  <c r="BM8" i="24"/>
  <c r="BL8" i="24" s="1"/>
  <c r="BP8" i="24"/>
  <c r="BM14" i="24"/>
  <c r="BL14" i="24" s="1"/>
  <c r="BP14" i="24"/>
  <c r="K14" i="13"/>
  <c r="R14" i="13"/>
  <c r="K18" i="13"/>
  <c r="N18" i="13" s="1"/>
  <c r="L43" i="24"/>
  <c r="L43" i="19"/>
  <c r="N91" i="19" s="1"/>
  <c r="I17" i="13"/>
  <c r="R17" i="13" s="1"/>
  <c r="L96" i="19"/>
  <c r="N92" i="19" s="1"/>
  <c r="L96" i="24"/>
  <c r="AH9" i="12"/>
  <c r="AL9" i="12" s="1"/>
  <c r="BF17" i="9"/>
  <c r="AH7" i="12"/>
  <c r="AL7" i="12" s="1"/>
  <c r="AS3" i="9"/>
  <c r="BT2" i="9"/>
  <c r="BQ7" i="9"/>
  <c r="BU7" i="9" s="1"/>
  <c r="BF18" i="9"/>
  <c r="BQ9" i="9"/>
  <c r="BU9" i="9" s="1"/>
  <c r="N2" i="19"/>
  <c r="N4" i="19" s="1"/>
  <c r="N5" i="19" s="1"/>
  <c r="P5" i="19" s="1"/>
  <c r="BQ8" i="9"/>
  <c r="BU8" i="9" s="1"/>
  <c r="N121" i="19"/>
  <c r="N120" i="19"/>
  <c r="BP3" i="9"/>
  <c r="BT3" i="9" s="1"/>
  <c r="CC3" i="9" s="1"/>
  <c r="CD3" i="9" s="1"/>
  <c r="BP8" i="9"/>
  <c r="BT8" i="9" s="1"/>
  <c r="CC8" i="9" s="1"/>
  <c r="CD8" i="9" s="1"/>
  <c r="BP6" i="9"/>
  <c r="BT6" i="9" s="1"/>
  <c r="CC6" i="9" s="1"/>
  <c r="CD6" i="9" s="1"/>
  <c r="AZ11" i="14"/>
  <c r="AJ13" i="14"/>
  <c r="AK13" i="14" s="1"/>
  <c r="I16" i="13"/>
  <c r="R16" i="13" s="1"/>
  <c r="V18" i="13" s="1"/>
  <c r="L71" i="19"/>
  <c r="I15" i="13"/>
  <c r="R15" i="13" s="1"/>
  <c r="AM41" i="14"/>
  <c r="BB41" i="14"/>
  <c r="AM42" i="14"/>
  <c r="BC42" i="14" s="1"/>
  <c r="AO42" i="14"/>
  <c r="AN42" i="14"/>
  <c r="BD42" i="14" s="1"/>
  <c r="BB42" i="14"/>
  <c r="AO43" i="14"/>
  <c r="AN43" i="14"/>
  <c r="BD43" i="14" s="1"/>
  <c r="AM43" i="14"/>
  <c r="BC43" i="14" s="1"/>
  <c r="BB43" i="14"/>
  <c r="BU4" i="9"/>
  <c r="AL29" i="14"/>
  <c r="AM29" i="14" s="1"/>
  <c r="AN29" i="14" s="1"/>
  <c r="AO29" i="14"/>
  <c r="AL9" i="14"/>
  <c r="BB9" i="14" s="1"/>
  <c r="AH29" i="12"/>
  <c r="AL29" i="12" s="1"/>
  <c r="AH37" i="12"/>
  <c r="AH8" i="12"/>
  <c r="AL8" i="12" s="1"/>
  <c r="AH25" i="12"/>
  <c r="AL25" i="12" s="1"/>
  <c r="AH26" i="12"/>
  <c r="AL26" i="12" s="1"/>
  <c r="AH11" i="12"/>
  <c r="AL11" i="12" s="1"/>
  <c r="AH16" i="12"/>
  <c r="AL16" i="12" s="1"/>
  <c r="AH17" i="12"/>
  <c r="AL17" i="12" s="1"/>
  <c r="AZ37" i="14"/>
  <c r="AH18" i="12"/>
  <c r="AL18" i="12" s="1"/>
  <c r="AH27" i="12"/>
  <c r="AL27" i="12" s="1"/>
  <c r="AH10" i="12"/>
  <c r="AL10" i="12" s="1"/>
  <c r="AL8" i="14"/>
  <c r="AZ8" i="14"/>
  <c r="AZ25" i="14"/>
  <c r="AL15" i="14"/>
  <c r="AZ15" i="14"/>
  <c r="AL18" i="14"/>
  <c r="AZ18" i="14"/>
  <c r="BB28" i="14"/>
  <c r="AM28" i="14"/>
  <c r="AN28" i="14"/>
  <c r="BD28" i="14" s="1"/>
  <c r="AZ26" i="14"/>
  <c r="AL26" i="14"/>
  <c r="AZ16" i="14"/>
  <c r="AL16" i="14"/>
  <c r="BB10" i="14"/>
  <c r="AN10" i="14"/>
  <c r="BD10" i="14" s="1"/>
  <c r="AM10" i="14"/>
  <c r="AL33" i="14"/>
  <c r="AO33" i="14" s="1"/>
  <c r="AZ33" i="14"/>
  <c r="BB27" i="14"/>
  <c r="AN27" i="14"/>
  <c r="BD27" i="14" s="1"/>
  <c r="AM27" i="14"/>
  <c r="BB17" i="14"/>
  <c r="AM17" i="14"/>
  <c r="AN17" i="14"/>
  <c r="BD17" i="14" s="1"/>
  <c r="BB11" i="14"/>
  <c r="BD11" i="14"/>
  <c r="AZ7" i="14"/>
  <c r="AZ29" i="14"/>
  <c r="AH33" i="12"/>
  <c r="AL33" i="12" s="1"/>
  <c r="AA15" i="13"/>
  <c r="Z16" i="13"/>
  <c r="AB15" i="13"/>
  <c r="Z37" i="13"/>
  <c r="AB36" i="13"/>
  <c r="AA36" i="13"/>
  <c r="J17" i="13"/>
  <c r="R19" i="13"/>
  <c r="J15" i="13"/>
  <c r="J20" i="13"/>
  <c r="K20" i="13" s="1"/>
  <c r="H21" i="13"/>
  <c r="J19" i="13"/>
  <c r="K19" i="13" s="1"/>
  <c r="J16" i="13"/>
  <c r="J38" i="13"/>
  <c r="J36" i="13"/>
  <c r="J39" i="13"/>
  <c r="J40" i="13"/>
  <c r="J35" i="13"/>
  <c r="J37" i="13"/>
  <c r="T18" i="13"/>
  <c r="U18" i="13" s="1"/>
  <c r="J41" i="13"/>
  <c r="K41" i="13" s="1"/>
  <c r="N4" i="24" l="1"/>
  <c r="O4" i="24"/>
  <c r="N23" i="13"/>
  <c r="N28" i="13" s="1"/>
  <c r="N14" i="13"/>
  <c r="K35" i="13" s="1"/>
  <c r="N35" i="13" s="1"/>
  <c r="M14" i="13"/>
  <c r="J23" i="13"/>
  <c r="J28" i="13" s="1"/>
  <c r="I23" i="13"/>
  <c r="I28" i="13" s="1"/>
  <c r="Q123" i="24" s="1"/>
  <c r="R21" i="13"/>
  <c r="BN14" i="24"/>
  <c r="BO14" i="24" s="1"/>
  <c r="BQ14" i="24"/>
  <c r="BR14" i="24" s="1"/>
  <c r="BM10" i="24"/>
  <c r="BP10" i="24"/>
  <c r="BP16" i="24" s="1"/>
  <c r="J21" i="13"/>
  <c r="N66" i="24"/>
  <c r="N68" i="24" s="1"/>
  <c r="N69" i="24" s="1"/>
  <c r="I21" i="13"/>
  <c r="BN8" i="24"/>
  <c r="BO8" i="24" s="1"/>
  <c r="BQ8" i="24"/>
  <c r="BR8" i="24" s="1"/>
  <c r="P123" i="24"/>
  <c r="Y155" i="24"/>
  <c r="AA155" i="24" s="1"/>
  <c r="N92" i="24"/>
  <c r="N91" i="24"/>
  <c r="N39" i="24"/>
  <c r="O1" i="24" s="1"/>
  <c r="N38" i="24"/>
  <c r="N122" i="19"/>
  <c r="N123" i="19" s="1"/>
  <c r="Z123" i="19" s="1"/>
  <c r="BS14" i="24"/>
  <c r="CK25" i="24" s="1"/>
  <c r="Z123" i="24"/>
  <c r="AG155" i="24" s="1"/>
  <c r="AI155" i="24" s="1"/>
  <c r="AK123" i="24"/>
  <c r="M18" i="13"/>
  <c r="K15" i="13"/>
  <c r="N15" i="13" s="1"/>
  <c r="K17" i="13"/>
  <c r="M17" i="13" s="1"/>
  <c r="N93" i="19"/>
  <c r="N94" i="19" s="1"/>
  <c r="BU10" i="9"/>
  <c r="BQ1" i="9"/>
  <c r="BS3" i="9" s="1"/>
  <c r="BP1" i="9"/>
  <c r="BR8" i="9" s="1"/>
  <c r="BT10" i="9"/>
  <c r="CC2" i="9"/>
  <c r="CC10" i="9" s="1"/>
  <c r="CD10" i="9" s="1"/>
  <c r="BE236" i="19"/>
  <c r="N67" i="19"/>
  <c r="N66" i="19"/>
  <c r="K16" i="13"/>
  <c r="N16" i="13" s="1"/>
  <c r="N38" i="19"/>
  <c r="N39" i="19"/>
  <c r="AO41" i="14"/>
  <c r="BC41" i="14"/>
  <c r="AN41" i="14"/>
  <c r="BD41" i="14" s="1"/>
  <c r="BE43" i="14"/>
  <c r="BG43" i="14" s="1"/>
  <c r="BH43" i="14" s="1"/>
  <c r="AR43" i="14"/>
  <c r="AS43" i="14" s="1"/>
  <c r="AR42" i="14"/>
  <c r="AS42" i="14" s="1"/>
  <c r="BE42" i="14"/>
  <c r="BG42" i="14" s="1"/>
  <c r="BH42" i="14" s="1"/>
  <c r="BS6" i="9"/>
  <c r="BS4" i="9"/>
  <c r="BS1" i="9"/>
  <c r="BS5" i="9"/>
  <c r="BS9" i="9"/>
  <c r="BS8" i="9"/>
  <c r="BS7" i="9"/>
  <c r="BS2" i="9"/>
  <c r="AN9" i="14"/>
  <c r="BD9" i="14" s="1"/>
  <c r="AM9" i="14"/>
  <c r="BC9" i="14" s="1"/>
  <c r="BB37" i="14"/>
  <c r="AN37" i="14"/>
  <c r="BD37" i="14" s="1"/>
  <c r="AM37" i="14"/>
  <c r="BB18" i="14"/>
  <c r="AN18" i="14"/>
  <c r="BD18" i="14" s="1"/>
  <c r="AM18" i="14"/>
  <c r="BB33" i="14"/>
  <c r="AN33" i="14"/>
  <c r="BD33" i="14" s="1"/>
  <c r="AM33" i="14"/>
  <c r="BB25" i="14"/>
  <c r="BD25" i="14"/>
  <c r="AM25" i="14"/>
  <c r="AO17" i="14"/>
  <c r="BO17" i="16" s="1"/>
  <c r="BR17" i="16" s="1"/>
  <c r="BC17" i="14"/>
  <c r="BB26" i="14"/>
  <c r="AM26" i="14"/>
  <c r="AN26" i="14"/>
  <c r="BD26" i="14" s="1"/>
  <c r="BB7" i="14"/>
  <c r="AN7" i="14"/>
  <c r="BD7" i="14" s="1"/>
  <c r="AM7" i="14"/>
  <c r="BO10" i="16"/>
  <c r="BR10" i="16" s="1"/>
  <c r="BC10" i="14"/>
  <c r="AO27" i="14"/>
  <c r="BO27" i="16" s="1"/>
  <c r="BR27" i="16" s="1"/>
  <c r="BC27" i="14"/>
  <c r="BO28" i="16"/>
  <c r="BR28" i="16" s="1"/>
  <c r="BC28" i="14"/>
  <c r="BB29" i="14"/>
  <c r="BD29" i="14"/>
  <c r="BB15" i="14"/>
  <c r="AN15" i="14"/>
  <c r="BD15" i="14" s="1"/>
  <c r="AM15" i="14"/>
  <c r="AO11" i="14"/>
  <c r="BO11" i="16" s="1"/>
  <c r="BR11" i="16" s="1"/>
  <c r="BC11" i="14"/>
  <c r="BB16" i="14"/>
  <c r="AM16" i="14"/>
  <c r="AN16" i="14"/>
  <c r="BD16" i="14" s="1"/>
  <c r="BB8" i="14"/>
  <c r="AM8" i="14"/>
  <c r="AN8" i="14"/>
  <c r="BD8" i="14" s="1"/>
  <c r="AB37" i="13"/>
  <c r="AA37" i="13"/>
  <c r="Z38" i="13"/>
  <c r="Z17" i="13"/>
  <c r="AA16" i="13"/>
  <c r="AB16" i="13"/>
  <c r="N41" i="13"/>
  <c r="P41" i="13" s="1"/>
  <c r="Q41" i="13" s="1"/>
  <c r="M41" i="13"/>
  <c r="N20" i="13"/>
  <c r="P20" i="13" s="1"/>
  <c r="Q20" i="13" s="1"/>
  <c r="M20" i="13"/>
  <c r="V16" i="13"/>
  <c r="T16" i="13"/>
  <c r="U16" i="13" s="1"/>
  <c r="N19" i="13"/>
  <c r="M19" i="13"/>
  <c r="V17" i="13"/>
  <c r="T17" i="13"/>
  <c r="U17" i="13" s="1"/>
  <c r="J42" i="13"/>
  <c r="T15" i="13"/>
  <c r="U15" i="13" s="1"/>
  <c r="V15" i="13"/>
  <c r="V19" i="13"/>
  <c r="T19" i="13"/>
  <c r="U19" i="13" s="1"/>
  <c r="K39" i="13"/>
  <c r="E39" i="13"/>
  <c r="P18" i="13"/>
  <c r="Q18" i="13" s="1"/>
  <c r="N5" i="24" l="1"/>
  <c r="N1" i="24"/>
  <c r="BT14" i="24"/>
  <c r="Z122" i="24"/>
  <c r="N25" i="13"/>
  <c r="J25" i="13"/>
  <c r="I25" i="13"/>
  <c r="Q41" i="24" s="1"/>
  <c r="N26" i="13"/>
  <c r="J26" i="13"/>
  <c r="I26" i="13"/>
  <c r="Q69" i="24" s="1"/>
  <c r="I22" i="13"/>
  <c r="K23" i="13" s="1"/>
  <c r="J22" i="13"/>
  <c r="L23" i="13" s="1"/>
  <c r="L28" i="13" s="1"/>
  <c r="S123" i="24" s="1"/>
  <c r="P14" i="13"/>
  <c r="N24" i="13"/>
  <c r="J24" i="13"/>
  <c r="I24" i="13"/>
  <c r="Q5" i="24" s="1"/>
  <c r="CD7" i="24"/>
  <c r="CP7" i="24" s="1"/>
  <c r="Z69" i="24"/>
  <c r="AH123" i="24"/>
  <c r="BL10" i="24"/>
  <c r="BM16" i="24"/>
  <c r="K21" i="13"/>
  <c r="Y88" i="24"/>
  <c r="AA88" i="24" s="1"/>
  <c r="P69" i="24"/>
  <c r="BZ14" i="24"/>
  <c r="N40" i="24"/>
  <c r="N41" i="24" s="1"/>
  <c r="N93" i="24"/>
  <c r="N94" i="24" s="1"/>
  <c r="AA123" i="24"/>
  <c r="M15" i="13"/>
  <c r="BS10" i="24"/>
  <c r="M16" i="13"/>
  <c r="AK69" i="24"/>
  <c r="AP69" i="24" s="1"/>
  <c r="AQ69" i="24" s="1"/>
  <c r="N17" i="13"/>
  <c r="AK94" i="19"/>
  <c r="Z94" i="19"/>
  <c r="AH94" i="19" s="1"/>
  <c r="BR6" i="9"/>
  <c r="BR2" i="9"/>
  <c r="BC5" i="19" s="1"/>
  <c r="BR9" i="9"/>
  <c r="BR1" i="9"/>
  <c r="BR4" i="9"/>
  <c r="BC127" i="19" s="1"/>
  <c r="BR5" i="9"/>
  <c r="BC235" i="19" s="1"/>
  <c r="BR3" i="9"/>
  <c r="BC24" i="19" s="1"/>
  <c r="BR7" i="9"/>
  <c r="CD2" i="9"/>
  <c r="BC168" i="19"/>
  <c r="BC145" i="19"/>
  <c r="BC67" i="19"/>
  <c r="BL12" i="19"/>
  <c r="AH123" i="19"/>
  <c r="AK123" i="19"/>
  <c r="BM12" i="19" s="1"/>
  <c r="BP12" i="19" s="1"/>
  <c r="BQ12" i="19" s="1"/>
  <c r="BR12" i="19" s="1"/>
  <c r="BL6" i="19"/>
  <c r="BV4" i="19" s="1"/>
  <c r="AK5" i="19"/>
  <c r="BM6" i="19" s="1"/>
  <c r="BV41" i="19" s="1"/>
  <c r="CA41" i="19" s="1"/>
  <c r="CC41" i="19" s="1"/>
  <c r="BE146" i="19"/>
  <c r="BE25" i="19"/>
  <c r="Z5" i="19"/>
  <c r="AH5" i="19" s="1"/>
  <c r="BE169" i="19"/>
  <c r="BE68" i="19"/>
  <c r="BE128" i="19"/>
  <c r="BE6" i="19"/>
  <c r="N68" i="19"/>
  <c r="N69" i="19" s="1"/>
  <c r="BL10" i="19" s="1"/>
  <c r="N40" i="19"/>
  <c r="N41" i="19" s="1"/>
  <c r="BE41" i="14"/>
  <c r="BG41" i="14" s="1"/>
  <c r="BH41" i="14" s="1"/>
  <c r="AR41" i="14"/>
  <c r="AS41" i="14" s="1"/>
  <c r="AO9" i="14"/>
  <c r="BO9" i="16" s="1"/>
  <c r="BR9" i="16" s="1"/>
  <c r="BC37" i="14"/>
  <c r="AR17" i="14"/>
  <c r="AS17" i="14" s="1"/>
  <c r="BE17" i="14"/>
  <c r="AR27" i="14"/>
  <c r="AS27" i="14" s="1"/>
  <c r="BE27" i="14"/>
  <c r="AO16" i="14"/>
  <c r="BO16" i="16" s="1"/>
  <c r="BR16" i="16" s="1"/>
  <c r="BC16" i="14"/>
  <c r="AR10" i="14"/>
  <c r="AS10" i="14" s="1"/>
  <c r="BE10" i="14"/>
  <c r="BC33" i="14"/>
  <c r="BO33" i="16"/>
  <c r="BR33" i="16" s="1"/>
  <c r="BC29" i="14"/>
  <c r="BO29" i="16"/>
  <c r="BR29" i="16" s="1"/>
  <c r="AR28" i="14"/>
  <c r="AS28" i="14" s="1"/>
  <c r="BE28" i="14"/>
  <c r="AO25" i="14"/>
  <c r="BO25" i="16" s="1"/>
  <c r="BR25" i="16" s="1"/>
  <c r="BC25" i="14"/>
  <c r="BC7" i="14"/>
  <c r="AO7" i="14"/>
  <c r="BO7" i="16" s="1"/>
  <c r="BR7" i="16" s="1"/>
  <c r="AO15" i="14"/>
  <c r="BC15" i="14"/>
  <c r="AO26" i="14"/>
  <c r="BO26" i="16" s="1"/>
  <c r="BR26" i="16" s="1"/>
  <c r="BC26" i="14"/>
  <c r="BC8" i="14"/>
  <c r="AO8" i="14"/>
  <c r="BO8" i="16" s="1"/>
  <c r="BR8" i="16" s="1"/>
  <c r="BE11" i="14"/>
  <c r="AR11" i="14"/>
  <c r="AS11" i="14" s="1"/>
  <c r="AO18" i="14"/>
  <c r="BO18" i="16" s="1"/>
  <c r="BR18" i="16" s="1"/>
  <c r="BC18" i="14"/>
  <c r="AB17" i="13"/>
  <c r="AA17" i="13"/>
  <c r="Z18" i="13"/>
  <c r="AA38" i="13"/>
  <c r="AB38" i="13"/>
  <c r="Z39" i="13"/>
  <c r="N39" i="13"/>
  <c r="P39" i="13" s="1"/>
  <c r="Q39" i="13" s="1"/>
  <c r="M39" i="13"/>
  <c r="V14" i="13"/>
  <c r="T14" i="13"/>
  <c r="U14" i="13" s="1"/>
  <c r="E37" i="13"/>
  <c r="K37" i="13"/>
  <c r="P16" i="13"/>
  <c r="Q16" i="13" s="1"/>
  <c r="K36" i="13"/>
  <c r="P15" i="13"/>
  <c r="Q15" i="13" s="1"/>
  <c r="E36" i="13"/>
  <c r="E40" i="13"/>
  <c r="P19" i="13"/>
  <c r="Q19" i="13" s="1"/>
  <c r="K40" i="13"/>
  <c r="AN26" i="11"/>
  <c r="BI9" i="22" l="1"/>
  <c r="BI9" i="34"/>
  <c r="P5" i="24"/>
  <c r="BE167" i="24"/>
  <c r="BE189" i="24"/>
  <c r="BS6" i="24"/>
  <c r="BZ6" i="24" s="1"/>
  <c r="CK6" i="24" s="1"/>
  <c r="Y30" i="24"/>
  <c r="AA30" i="24" s="1"/>
  <c r="Z5" i="24"/>
  <c r="DB44" i="24"/>
  <c r="DB48" i="24" s="1"/>
  <c r="Z4" i="24"/>
  <c r="L26" i="13"/>
  <c r="S69" i="24" s="1"/>
  <c r="L25" i="13"/>
  <c r="S41" i="24" s="1"/>
  <c r="L24" i="13"/>
  <c r="S5" i="24" s="1"/>
  <c r="K28" i="13"/>
  <c r="R123" i="24" s="1"/>
  <c r="K26" i="13"/>
  <c r="R69" i="24" s="1"/>
  <c r="K24" i="13"/>
  <c r="R5" i="24" s="1"/>
  <c r="K25" i="13"/>
  <c r="R41" i="24" s="1"/>
  <c r="BT6" i="24"/>
  <c r="BT8" i="24"/>
  <c r="Z40" i="24"/>
  <c r="BT10" i="24"/>
  <c r="Z68" i="24"/>
  <c r="AH122" i="24"/>
  <c r="CA14" i="24"/>
  <c r="E38" i="13"/>
  <c r="J27" i="13"/>
  <c r="N27" i="13"/>
  <c r="K27" i="13"/>
  <c r="R94" i="24" s="1"/>
  <c r="L27" i="13"/>
  <c r="S94" i="24" s="1"/>
  <c r="I27" i="13"/>
  <c r="Q94" i="24" s="1"/>
  <c r="BU14" i="24"/>
  <c r="AB122" i="24"/>
  <c r="CY9" i="22"/>
  <c r="CX9" i="22"/>
  <c r="CK14" i="24"/>
  <c r="CK15" i="24" s="1"/>
  <c r="BZ15" i="24"/>
  <c r="AG87" i="24"/>
  <c r="AI87" i="24" s="1"/>
  <c r="Z41" i="24"/>
  <c r="AA69" i="24"/>
  <c r="AG35" i="24"/>
  <c r="AI35" i="24" s="1"/>
  <c r="AA5" i="24"/>
  <c r="AA1" i="24" s="1"/>
  <c r="N21" i="13"/>
  <c r="N22" i="13" s="1"/>
  <c r="BN10" i="24"/>
  <c r="BO10" i="24" s="1"/>
  <c r="BQ10" i="24"/>
  <c r="BL16" i="24"/>
  <c r="BS16" i="24" s="1"/>
  <c r="BZ10" i="24"/>
  <c r="DB26" i="24" s="1"/>
  <c r="CK21" i="24"/>
  <c r="BE225" i="24"/>
  <c r="P41" i="24"/>
  <c r="P94" i="24"/>
  <c r="Y116" i="24"/>
  <c r="AA116" i="24" s="1"/>
  <c r="Z94" i="24"/>
  <c r="AG118" i="24" s="1"/>
  <c r="AI118" i="24" s="1"/>
  <c r="BS12" i="24"/>
  <c r="BE387" i="24"/>
  <c r="BE354" i="24"/>
  <c r="BE371" i="24"/>
  <c r="BE337" i="24"/>
  <c r="BE320" i="24"/>
  <c r="BE305" i="24"/>
  <c r="BE290" i="24"/>
  <c r="BE274" i="24"/>
  <c r="BE257" i="24"/>
  <c r="AK94" i="24"/>
  <c r="O14" i="18"/>
  <c r="O15" i="18"/>
  <c r="M21" i="13"/>
  <c r="P17" i="13"/>
  <c r="Q17" i="13" s="1"/>
  <c r="AK41" i="24"/>
  <c r="BZ42" i="24" s="1"/>
  <c r="BS8" i="24"/>
  <c r="BS42" i="24"/>
  <c r="AH70" i="24"/>
  <c r="K38" i="13"/>
  <c r="N38" i="13" s="1"/>
  <c r="P38" i="13" s="1"/>
  <c r="BI21" i="22"/>
  <c r="CI41" i="19"/>
  <c r="BI21" i="9"/>
  <c r="CB21" i="9" s="1"/>
  <c r="BY21" i="9" s="1"/>
  <c r="CJ41" i="19"/>
  <c r="CA11" i="9"/>
  <c r="BC192" i="19"/>
  <c r="BA3" i="19" s="1"/>
  <c r="BC214" i="19"/>
  <c r="BC45" i="19"/>
  <c r="BP6" i="19"/>
  <c r="BV47" i="19"/>
  <c r="CA47" i="19" s="1"/>
  <c r="CC47" i="19" s="1"/>
  <c r="AZ236" i="19"/>
  <c r="AZ6" i="19"/>
  <c r="Z70" i="19"/>
  <c r="AH70" i="19" s="1"/>
  <c r="BE67" i="19"/>
  <c r="BE66" i="19" s="1"/>
  <c r="AZ169" i="19"/>
  <c r="BF169" i="19" s="1"/>
  <c r="AZ68" i="19"/>
  <c r="BF68" i="19" s="1"/>
  <c r="AZ146" i="19"/>
  <c r="BF146" i="19" s="1"/>
  <c r="AZ25" i="19"/>
  <c r="BF25" i="19" s="1"/>
  <c r="AZ128" i="19"/>
  <c r="BF128" i="19" s="1"/>
  <c r="AK69" i="19"/>
  <c r="BM10" i="19" s="1"/>
  <c r="BV26" i="19"/>
  <c r="BV13" i="19"/>
  <c r="BV21" i="19"/>
  <c r="BL42" i="19"/>
  <c r="BL8" i="19"/>
  <c r="AK41" i="19"/>
  <c r="Z41" i="19"/>
  <c r="AH41" i="19" s="1"/>
  <c r="BE193" i="19"/>
  <c r="BE46" i="19"/>
  <c r="BE215" i="19"/>
  <c r="BO15" i="16"/>
  <c r="BR15" i="16" s="1"/>
  <c r="BE9" i="14"/>
  <c r="BG9" i="14" s="1"/>
  <c r="BH9" i="14" s="1"/>
  <c r="AR9" i="14"/>
  <c r="AS9" i="14" s="1"/>
  <c r="BG10" i="14"/>
  <c r="BH10" i="14" s="1"/>
  <c r="BJ10" i="16"/>
  <c r="BM10" i="16" s="1"/>
  <c r="BG27" i="14"/>
  <c r="BH27" i="14" s="1"/>
  <c r="BJ27" i="16"/>
  <c r="BM27" i="16" s="1"/>
  <c r="BG17" i="14"/>
  <c r="BH17" i="14" s="1"/>
  <c r="BJ17" i="16"/>
  <c r="BM17" i="16" s="1"/>
  <c r="BG28" i="14"/>
  <c r="BH28" i="14" s="1"/>
  <c r="BJ28" i="16"/>
  <c r="BM28" i="16" s="1"/>
  <c r="BO37" i="11"/>
  <c r="BR37" i="11" s="1"/>
  <c r="BQ37" i="14"/>
  <c r="BO37" i="15"/>
  <c r="BR37" i="15" s="1"/>
  <c r="BE37" i="14"/>
  <c r="BO37" i="16"/>
  <c r="BR37" i="16" s="1"/>
  <c r="AR37" i="14"/>
  <c r="AS37" i="14" s="1"/>
  <c r="BO37" i="14"/>
  <c r="BR37" i="14" s="1"/>
  <c r="BG11" i="14"/>
  <c r="BH11" i="14" s="1"/>
  <c r="BJ11" i="16"/>
  <c r="BM11" i="16" s="1"/>
  <c r="AR29" i="14"/>
  <c r="AS29" i="14" s="1"/>
  <c r="BE29" i="14"/>
  <c r="AR26" i="14"/>
  <c r="AS26" i="14" s="1"/>
  <c r="BE26" i="14"/>
  <c r="BE15" i="14"/>
  <c r="AR15" i="14"/>
  <c r="AS15" i="14" s="1"/>
  <c r="AR8" i="14"/>
  <c r="AS8" i="14" s="1"/>
  <c r="BE8" i="14"/>
  <c r="AR33" i="14"/>
  <c r="AS33" i="14" s="1"/>
  <c r="BE33" i="14"/>
  <c r="BE16" i="14"/>
  <c r="AR16" i="14"/>
  <c r="AS16" i="14" s="1"/>
  <c r="BE7" i="14"/>
  <c r="AR7" i="14"/>
  <c r="AS7" i="14" s="1"/>
  <c r="BE18" i="14"/>
  <c r="AR18" i="14"/>
  <c r="AS18" i="14" s="1"/>
  <c r="AR25" i="14"/>
  <c r="AS25" i="14" s="1"/>
  <c r="BE25" i="14"/>
  <c r="AB18" i="13"/>
  <c r="AA18" i="13"/>
  <c r="Z19" i="13"/>
  <c r="AA39" i="13"/>
  <c r="AB39" i="13"/>
  <c r="Z40" i="13"/>
  <c r="N40" i="13"/>
  <c r="P40" i="13" s="1"/>
  <c r="Q40" i="13" s="1"/>
  <c r="M40" i="13"/>
  <c r="N36" i="13"/>
  <c r="P36" i="13" s="1"/>
  <c r="Q36" i="13" s="1"/>
  <c r="M36" i="13"/>
  <c r="E35" i="13"/>
  <c r="Q14" i="13"/>
  <c r="N37" i="13"/>
  <c r="P37" i="13" s="1"/>
  <c r="Q37" i="13" s="1"/>
  <c r="M37" i="13"/>
  <c r="CH9" i="34" l="1"/>
  <c r="BK9" i="34"/>
  <c r="BL9" i="34" s="1"/>
  <c r="CX9" i="34"/>
  <c r="CY9" i="34"/>
  <c r="DB46" i="24"/>
  <c r="DB45" i="24"/>
  <c r="Y5" i="24"/>
  <c r="CA6" i="24"/>
  <c r="CA7" i="24" s="1"/>
  <c r="DU46" i="24"/>
  <c r="DU51" i="24"/>
  <c r="AB68" i="24"/>
  <c r="T69" i="24"/>
  <c r="CL14" i="24"/>
  <c r="BU6" i="24"/>
  <c r="BU8" i="24"/>
  <c r="BU10" i="24"/>
  <c r="AB40" i="24"/>
  <c r="T41" i="24"/>
  <c r="T5" i="24"/>
  <c r="AB4" i="24"/>
  <c r="BT12" i="24"/>
  <c r="Z93" i="24"/>
  <c r="BV12" i="24"/>
  <c r="AA93" i="24"/>
  <c r="Q38" i="13"/>
  <c r="CA15" i="24"/>
  <c r="T94" i="24"/>
  <c r="BU12" i="24"/>
  <c r="AB93" i="24"/>
  <c r="CA10" i="24"/>
  <c r="AH68" i="24"/>
  <c r="BV8" i="24"/>
  <c r="AA40" i="24"/>
  <c r="AH40" i="24"/>
  <c r="CA8" i="24"/>
  <c r="BV6" i="24"/>
  <c r="AA4" i="24"/>
  <c r="AJ122" i="24"/>
  <c r="CB14" i="24"/>
  <c r="CB15" i="24" s="1"/>
  <c r="BV10" i="24"/>
  <c r="AA68" i="24"/>
  <c r="H38" i="13"/>
  <c r="I38" i="13" s="1"/>
  <c r="R38" i="13" s="1"/>
  <c r="V38" i="13" s="1"/>
  <c r="BV14" i="24"/>
  <c r="AA122" i="24"/>
  <c r="T123" i="24"/>
  <c r="DB30" i="24"/>
  <c r="DB28" i="24"/>
  <c r="DB47" i="24"/>
  <c r="BZ11" i="24"/>
  <c r="DB27" i="24"/>
  <c r="BQ6" i="19"/>
  <c r="BR6" i="19" s="1"/>
  <c r="BZ7" i="24"/>
  <c r="AA41" i="24"/>
  <c r="AG61" i="24"/>
  <c r="AI61" i="24" s="1"/>
  <c r="DU47" i="24"/>
  <c r="CK10" i="24"/>
  <c r="CK11" i="24" s="1"/>
  <c r="AH94" i="24"/>
  <c r="BR10" i="24"/>
  <c r="BR16" i="24" s="1"/>
  <c r="BQ16" i="24"/>
  <c r="BZ8" i="24"/>
  <c r="CK19" i="24"/>
  <c r="BZ12" i="24"/>
  <c r="CK23" i="24"/>
  <c r="AA94" i="24"/>
  <c r="O16" i="18"/>
  <c r="O17" i="18"/>
  <c r="O13" i="18"/>
  <c r="AH41" i="24"/>
  <c r="M38" i="13"/>
  <c r="CH21" i="22"/>
  <c r="CE21" i="22" s="1"/>
  <c r="CY21" i="22"/>
  <c r="BF236" i="19"/>
  <c r="BP10" i="19"/>
  <c r="BQ10" i="19" s="1"/>
  <c r="BR10" i="19" s="1"/>
  <c r="BV39" i="19"/>
  <c r="CA39" i="19" s="1"/>
  <c r="CC39" i="19" s="1"/>
  <c r="BV40" i="19"/>
  <c r="CA40" i="19" s="1"/>
  <c r="CC40" i="19" s="1"/>
  <c r="CJ47" i="19"/>
  <c r="CI47" i="19"/>
  <c r="BF6" i="19"/>
  <c r="H37" i="13"/>
  <c r="I37" i="13" s="1"/>
  <c r="R37" i="13" s="1"/>
  <c r="T37" i="13" s="1"/>
  <c r="U37" i="13" s="1"/>
  <c r="H40" i="13"/>
  <c r="I40" i="13" s="1"/>
  <c r="R40" i="13" s="1"/>
  <c r="T40" i="13" s="1"/>
  <c r="U40" i="13" s="1"/>
  <c r="AP69" i="19"/>
  <c r="AQ69" i="19" s="1"/>
  <c r="BM42" i="19"/>
  <c r="BM8" i="19"/>
  <c r="AZ46" i="19"/>
  <c r="BF46" i="19" s="1"/>
  <c r="AZ215" i="19"/>
  <c r="AZ193" i="19"/>
  <c r="BV35" i="19" s="1"/>
  <c r="CA35" i="19" s="1"/>
  <c r="CC35" i="19" s="1"/>
  <c r="BJ9" i="16"/>
  <c r="BM9" i="16" s="1"/>
  <c r="BG16" i="14"/>
  <c r="BH16" i="14" s="1"/>
  <c r="BJ16" i="16"/>
  <c r="BM16" i="16" s="1"/>
  <c r="BG15" i="14"/>
  <c r="BH15" i="14" s="1"/>
  <c r="BJ15" i="16"/>
  <c r="BM15" i="16" s="1"/>
  <c r="BJ25" i="16"/>
  <c r="BM25" i="16" s="1"/>
  <c r="BG25" i="14"/>
  <c r="BH25" i="14" s="1"/>
  <c r="BG33" i="14"/>
  <c r="BH33" i="14" s="1"/>
  <c r="BJ33" i="16"/>
  <c r="BM33" i="16" s="1"/>
  <c r="BJ37" i="11"/>
  <c r="BM37" i="11" s="1"/>
  <c r="BJ37" i="15"/>
  <c r="BM37" i="15" s="1"/>
  <c r="BJ37" i="14"/>
  <c r="BM37" i="14" s="1"/>
  <c r="BJ37" i="16"/>
  <c r="BM37" i="16" s="1"/>
  <c r="BG37" i="14"/>
  <c r="BH37" i="14" s="1"/>
  <c r="BL37" i="14"/>
  <c r="BG8" i="14"/>
  <c r="BH8" i="14" s="1"/>
  <c r="BJ8" i="16"/>
  <c r="BM8" i="16" s="1"/>
  <c r="BJ26" i="16"/>
  <c r="BM26" i="16" s="1"/>
  <c r="BG26" i="14"/>
  <c r="BH26" i="14" s="1"/>
  <c r="BJ29" i="16"/>
  <c r="BM29" i="16" s="1"/>
  <c r="BG29" i="14"/>
  <c r="BH29" i="14" s="1"/>
  <c r="BG18" i="14"/>
  <c r="BH18" i="14" s="1"/>
  <c r="BJ18" i="16"/>
  <c r="BM18" i="16" s="1"/>
  <c r="BG7" i="14"/>
  <c r="BH7" i="14" s="1"/>
  <c r="BJ7" i="16"/>
  <c r="BM7" i="16" s="1"/>
  <c r="AB40" i="13"/>
  <c r="AA40" i="13"/>
  <c r="AB19" i="13"/>
  <c r="AA19" i="13"/>
  <c r="H35" i="13"/>
  <c r="H39" i="13"/>
  <c r="I39" i="13" s="1"/>
  <c r="R39" i="13" s="1"/>
  <c r="K42" i="13"/>
  <c r="P35" i="13"/>
  <c r="Q35" i="13" s="1"/>
  <c r="M35" i="13"/>
  <c r="H36" i="13"/>
  <c r="I36" i="13" s="1"/>
  <c r="R36" i="13" s="1"/>
  <c r="CE9" i="34" l="1"/>
  <c r="CM9" i="34"/>
  <c r="CD9" i="34"/>
  <c r="DB49" i="24"/>
  <c r="CB6" i="24"/>
  <c r="CB7" i="24" s="1"/>
  <c r="AJ68" i="24"/>
  <c r="AJ40" i="24"/>
  <c r="D178" i="27"/>
  <c r="CB10" i="24"/>
  <c r="CB11" i="24" s="1"/>
  <c r="DC44" i="24"/>
  <c r="DC48" i="24" s="1"/>
  <c r="CL15" i="24"/>
  <c r="CB8" i="24"/>
  <c r="CB9" i="24" s="1"/>
  <c r="CL10" i="24"/>
  <c r="CL8" i="24"/>
  <c r="AC40" i="24"/>
  <c r="AC93" i="24"/>
  <c r="DB17" i="24"/>
  <c r="DB19" i="24" s="1"/>
  <c r="DD45" i="24"/>
  <c r="CM15" i="24"/>
  <c r="CM14" i="24"/>
  <c r="CE8" i="24"/>
  <c r="CE9" i="24" s="1"/>
  <c r="AI40" i="24"/>
  <c r="AI122" i="24"/>
  <c r="CE14" i="24"/>
  <c r="CE15" i="24" s="1"/>
  <c r="CG15" i="24" s="1"/>
  <c r="AC122" i="24"/>
  <c r="CA11" i="24"/>
  <c r="AJ93" i="24"/>
  <c r="CB12" i="24"/>
  <c r="CB13" i="24" s="1"/>
  <c r="AI93" i="24"/>
  <c r="CE12" i="24"/>
  <c r="CE13" i="24" s="1"/>
  <c r="CE6" i="24"/>
  <c r="AC4" i="24"/>
  <c r="CA9" i="24"/>
  <c r="CE10" i="24"/>
  <c r="CE11" i="24" s="1"/>
  <c r="AI68" i="24"/>
  <c r="AC68" i="24"/>
  <c r="CA12" i="24"/>
  <c r="AH93" i="24"/>
  <c r="T38" i="13"/>
  <c r="U38" i="13" s="1"/>
  <c r="DB31" i="24"/>
  <c r="DB29" i="24"/>
  <c r="CK12" i="24"/>
  <c r="CK13" i="24" s="1"/>
  <c r="DB35" i="24"/>
  <c r="BZ13" i="24"/>
  <c r="CK8" i="24"/>
  <c r="CK9" i="24" s="1"/>
  <c r="BZ9" i="24"/>
  <c r="BR17" i="24"/>
  <c r="M42" i="13"/>
  <c r="V40" i="13"/>
  <c r="V37" i="13"/>
  <c r="BI9" i="9"/>
  <c r="CB9" i="9" s="1"/>
  <c r="BI20" i="22"/>
  <c r="BI20" i="9"/>
  <c r="CB20" i="9" s="1"/>
  <c r="BY20" i="9" s="1"/>
  <c r="CI40" i="19"/>
  <c r="CJ40" i="19"/>
  <c r="BI19" i="22"/>
  <c r="BI19" i="9"/>
  <c r="CB19" i="9" s="1"/>
  <c r="BY19" i="9" s="1"/>
  <c r="CJ39" i="19"/>
  <c r="CI39" i="19"/>
  <c r="CJ35" i="19"/>
  <c r="CI35" i="19"/>
  <c r="BF193" i="19"/>
  <c r="CO9" i="9"/>
  <c r="BP8" i="19"/>
  <c r="BQ8" i="19" s="1"/>
  <c r="BR8" i="19" s="1"/>
  <c r="BV42" i="19"/>
  <c r="CA42" i="19" s="1"/>
  <c r="CC42" i="19" s="1"/>
  <c r="BV44" i="19"/>
  <c r="CA44" i="19" s="1"/>
  <c r="CC44" i="19" s="1"/>
  <c r="BF215" i="19"/>
  <c r="BV37" i="19"/>
  <c r="CA37" i="19" s="1"/>
  <c r="CC37" i="19" s="1"/>
  <c r="T36" i="13"/>
  <c r="U36" i="13" s="1"/>
  <c r="V36" i="13"/>
  <c r="V39" i="13"/>
  <c r="T39" i="13"/>
  <c r="U39" i="13" s="1"/>
  <c r="H42" i="13"/>
  <c r="I35" i="13"/>
  <c r="CN9" i="34" l="1"/>
  <c r="CQ9" i="34"/>
  <c r="CR9" i="34" s="1"/>
  <c r="F178" i="27"/>
  <c r="P178" i="27" s="1"/>
  <c r="CM8" i="24"/>
  <c r="CM9" i="24"/>
  <c r="DD18" i="24" s="1"/>
  <c r="CM10" i="24"/>
  <c r="BZ5" i="24"/>
  <c r="BZ4" i="24" s="1"/>
  <c r="D46" i="27"/>
  <c r="D90" i="27"/>
  <c r="F90" i="27" s="1"/>
  <c r="P90" i="27" s="1"/>
  <c r="CM11" i="24"/>
  <c r="DC45" i="24"/>
  <c r="DC49" i="24" s="1"/>
  <c r="DD27" i="24"/>
  <c r="DD31" i="24" s="1"/>
  <c r="DC46" i="24"/>
  <c r="DC17" i="24"/>
  <c r="DC18" i="24" s="1"/>
  <c r="DC26" i="24"/>
  <c r="DC30" i="24" s="1"/>
  <c r="CL9" i="24"/>
  <c r="CG14" i="24"/>
  <c r="CL11" i="24"/>
  <c r="CL12" i="24"/>
  <c r="DB21" i="24"/>
  <c r="DB18" i="24"/>
  <c r="DB20" i="24" s="1"/>
  <c r="CR8" i="24"/>
  <c r="CR12" i="24"/>
  <c r="AK40" i="24"/>
  <c r="CG9" i="24"/>
  <c r="F46" i="27"/>
  <c r="P46" i="27" s="1"/>
  <c r="CG8" i="24"/>
  <c r="DD44" i="24"/>
  <c r="D180" i="27"/>
  <c r="CR10" i="24"/>
  <c r="AK68" i="24"/>
  <c r="CE7" i="24"/>
  <c r="CG7" i="24" s="1"/>
  <c r="CG6" i="24"/>
  <c r="CM12" i="24"/>
  <c r="DD36" i="24"/>
  <c r="CM13" i="24"/>
  <c r="CR14" i="24"/>
  <c r="AK122" i="24"/>
  <c r="CG10" i="24"/>
  <c r="AK93" i="24"/>
  <c r="DD47" i="24"/>
  <c r="DD49" i="24"/>
  <c r="CG11" i="24"/>
  <c r="DC47" i="24"/>
  <c r="DD17" i="24"/>
  <c r="D48" i="27"/>
  <c r="DD20" i="24"/>
  <c r="DD22" i="24"/>
  <c r="CG12" i="24"/>
  <c r="CA13" i="24"/>
  <c r="CG13" i="24" s="1"/>
  <c r="DB37" i="24"/>
  <c r="DB39" i="24"/>
  <c r="DB36" i="24"/>
  <c r="CH20" i="22"/>
  <c r="CE20" i="22" s="1"/>
  <c r="CY20" i="22"/>
  <c r="CH19" i="22"/>
  <c r="CE19" i="22" s="1"/>
  <c r="CY19" i="22"/>
  <c r="CI44" i="19"/>
  <c r="BI22" i="22"/>
  <c r="BK9" i="9"/>
  <c r="BL9" i="9" s="1"/>
  <c r="BY9" i="9"/>
  <c r="CG9" i="9"/>
  <c r="CK9" i="9" s="1"/>
  <c r="CH9" i="22"/>
  <c r="CD9" i="22" s="1"/>
  <c r="BK9" i="22"/>
  <c r="CI42" i="19"/>
  <c r="BI22" i="9"/>
  <c r="CB22" i="9" s="1"/>
  <c r="BY22" i="9" s="1"/>
  <c r="CJ37" i="19"/>
  <c r="CI37" i="19"/>
  <c r="CJ44" i="19"/>
  <c r="BI8" i="9"/>
  <c r="CJ42" i="19"/>
  <c r="BI7" i="9"/>
  <c r="R35" i="13"/>
  <c r="I42" i="13"/>
  <c r="DD26" i="24" l="1"/>
  <c r="D92" i="27"/>
  <c r="F92" i="27" s="1"/>
  <c r="P92" i="27" s="1"/>
  <c r="DC27" i="24"/>
  <c r="DC28" i="24"/>
  <c r="DC19" i="24"/>
  <c r="DC21" i="24"/>
  <c r="DD29" i="24"/>
  <c r="DC35" i="24"/>
  <c r="DC36" i="24" s="1"/>
  <c r="D135" i="27"/>
  <c r="F135" i="27" s="1"/>
  <c r="P135" i="27" s="1"/>
  <c r="CT8" i="24"/>
  <c r="CL13" i="24"/>
  <c r="D134" i="27"/>
  <c r="F134" i="27" s="1"/>
  <c r="P134" i="27" s="1"/>
  <c r="DI17" i="24"/>
  <c r="DI21" i="24" s="1"/>
  <c r="D47" i="27"/>
  <c r="F47" i="27" s="1"/>
  <c r="P47" i="27" s="1"/>
  <c r="CR9" i="24"/>
  <c r="DI35" i="24"/>
  <c r="DI39" i="24" s="1"/>
  <c r="DB22" i="24"/>
  <c r="CR13" i="24"/>
  <c r="F48" i="27"/>
  <c r="P48" i="27" s="1"/>
  <c r="D179" i="27"/>
  <c r="DI44" i="24"/>
  <c r="CR15" i="24"/>
  <c r="DD35" i="24"/>
  <c r="D136" i="27"/>
  <c r="DD28" i="24"/>
  <c r="DD30" i="24"/>
  <c r="DC22" i="24"/>
  <c r="DC20" i="24"/>
  <c r="D91" i="27"/>
  <c r="CR11" i="24"/>
  <c r="DI26" i="24"/>
  <c r="DD19" i="24"/>
  <c r="DD21" i="24"/>
  <c r="DD46" i="24"/>
  <c r="DD48" i="24"/>
  <c r="DC29" i="24"/>
  <c r="DC31" i="24"/>
  <c r="DD40" i="24"/>
  <c r="DD38" i="24"/>
  <c r="F180" i="27"/>
  <c r="P180" i="27" s="1"/>
  <c r="DB40" i="24"/>
  <c r="DB38" i="24"/>
  <c r="CH22" i="22"/>
  <c r="CE22" i="22" s="1"/>
  <c r="CY22" i="22"/>
  <c r="BG7" i="9"/>
  <c r="BK7" i="9" s="1"/>
  <c r="BL7" i="9" s="1"/>
  <c r="BG7" i="22"/>
  <c r="BG8" i="9"/>
  <c r="BK8" i="9" s="1"/>
  <c r="BL8" i="9" s="1"/>
  <c r="BG8" i="22"/>
  <c r="CH9" i="9"/>
  <c r="BL9" i="22"/>
  <c r="CM9" i="22"/>
  <c r="CE9" i="22"/>
  <c r="CB8" i="9"/>
  <c r="CB7" i="9"/>
  <c r="T35" i="13"/>
  <c r="U35" i="13" s="1"/>
  <c r="V35" i="13"/>
  <c r="DC37" i="24" l="1"/>
  <c r="DC39" i="24"/>
  <c r="D53" i="27"/>
  <c r="E48" i="27" s="1"/>
  <c r="DI18" i="24"/>
  <c r="DK18" i="24" s="1"/>
  <c r="DL18" i="24" s="1"/>
  <c r="DM18" i="24" s="1"/>
  <c r="DI19" i="24"/>
  <c r="DK19" i="24" s="1"/>
  <c r="DL19" i="24" s="1"/>
  <c r="DM19" i="24" s="1"/>
  <c r="DK17" i="24"/>
  <c r="DL17" i="24" s="1"/>
  <c r="DM17" i="24" s="1"/>
  <c r="DI37" i="24"/>
  <c r="DI36" i="24"/>
  <c r="DI40" i="24" s="1"/>
  <c r="DK21" i="24"/>
  <c r="DL21" i="24" s="1"/>
  <c r="DM21" i="24" s="1"/>
  <c r="DN21" i="24" s="1"/>
  <c r="DI46" i="24"/>
  <c r="DI45" i="24"/>
  <c r="DI48" i="24"/>
  <c r="F91" i="27"/>
  <c r="P91" i="27" s="1"/>
  <c r="F179" i="27"/>
  <c r="P179" i="27" s="1"/>
  <c r="F136" i="27"/>
  <c r="P136" i="27" s="1"/>
  <c r="DD37" i="24"/>
  <c r="DD39" i="24"/>
  <c r="DI27" i="24"/>
  <c r="DI30" i="24"/>
  <c r="DI28" i="24"/>
  <c r="DC38" i="24"/>
  <c r="DC40" i="24"/>
  <c r="P53" i="27"/>
  <c r="BH8" i="22"/>
  <c r="BH7" i="22"/>
  <c r="CN9" i="22"/>
  <c r="CQ9" i="22"/>
  <c r="CR9" i="22" s="1"/>
  <c r="CG7" i="9"/>
  <c r="CK7" i="9" s="1"/>
  <c r="BY7" i="9"/>
  <c r="CG8" i="9"/>
  <c r="CK8" i="9" s="1"/>
  <c r="BY8" i="9"/>
  <c r="CO7" i="9"/>
  <c r="CO8" i="9"/>
  <c r="AJ7" i="9"/>
  <c r="AJ10" i="9"/>
  <c r="AJ11" i="9"/>
  <c r="AJ29" i="9"/>
  <c r="AM29" i="11"/>
  <c r="AM28" i="11"/>
  <c r="AM27" i="11"/>
  <c r="AM26" i="11"/>
  <c r="AM11" i="11"/>
  <c r="AM10" i="11"/>
  <c r="AM7" i="11"/>
  <c r="AG33" i="11"/>
  <c r="AG29" i="11"/>
  <c r="AN28" i="11"/>
  <c r="AG28" i="11"/>
  <c r="AN27" i="11"/>
  <c r="AG27" i="11"/>
  <c r="AG26" i="11"/>
  <c r="AN25" i="11"/>
  <c r="AM25" i="11" s="1"/>
  <c r="AG25" i="11"/>
  <c r="AN18" i="11"/>
  <c r="AM18" i="11" s="1"/>
  <c r="AG18" i="11"/>
  <c r="AN17" i="11"/>
  <c r="AM17" i="11" s="1"/>
  <c r="AG17" i="11"/>
  <c r="AN16" i="11"/>
  <c r="AM16" i="11" s="1"/>
  <c r="AG16" i="11"/>
  <c r="AN15" i="11"/>
  <c r="AM15" i="11" s="1"/>
  <c r="AG15" i="11"/>
  <c r="AG11" i="11"/>
  <c r="AG10" i="11"/>
  <c r="AN9" i="11"/>
  <c r="AM9" i="11" s="1"/>
  <c r="AG9" i="11"/>
  <c r="AN8" i="11"/>
  <c r="AM8" i="11" s="1"/>
  <c r="AG8" i="11"/>
  <c r="AG7" i="11"/>
  <c r="AB7" i="11"/>
  <c r="Z37" i="11"/>
  <c r="X7" i="11"/>
  <c r="AB10" i="9"/>
  <c r="AD37" i="9"/>
  <c r="X37" i="9"/>
  <c r="AM37" i="9"/>
  <c r="C42" i="10"/>
  <c r="C43" i="10" s="1"/>
  <c r="F41" i="10"/>
  <c r="G41" i="10" s="1"/>
  <c r="S40" i="10"/>
  <c r="X40" i="10" s="1"/>
  <c r="L40" i="10"/>
  <c r="F40" i="10"/>
  <c r="G40" i="10" s="1"/>
  <c r="S39" i="10"/>
  <c r="L39" i="10"/>
  <c r="F39" i="10"/>
  <c r="G39" i="10" s="1"/>
  <c r="S38" i="10"/>
  <c r="Y38" i="10" s="1"/>
  <c r="L38" i="10"/>
  <c r="F38" i="10"/>
  <c r="G38" i="10" s="1"/>
  <c r="S37" i="10"/>
  <c r="L37" i="10"/>
  <c r="G37" i="10"/>
  <c r="F37" i="10"/>
  <c r="S36" i="10"/>
  <c r="X36" i="10" s="1"/>
  <c r="L36" i="10"/>
  <c r="F36" i="10"/>
  <c r="G36" i="10" s="1"/>
  <c r="S35" i="10"/>
  <c r="Y35" i="10" s="1"/>
  <c r="L35" i="10"/>
  <c r="F35" i="10"/>
  <c r="G35" i="10" s="1"/>
  <c r="G20" i="10"/>
  <c r="L20" i="10" s="1"/>
  <c r="F20" i="10"/>
  <c r="S19" i="10"/>
  <c r="Y19" i="10" s="1"/>
  <c r="F19" i="10"/>
  <c r="G19" i="10" s="1"/>
  <c r="AD18" i="10"/>
  <c r="AE18" i="10" s="1"/>
  <c r="S18" i="10"/>
  <c r="Y18" i="10" s="1"/>
  <c r="F18" i="10"/>
  <c r="G18" i="10" s="1"/>
  <c r="L18" i="10" s="1"/>
  <c r="S17" i="10"/>
  <c r="X17" i="10" s="1"/>
  <c r="F17" i="10"/>
  <c r="G17" i="10" s="1"/>
  <c r="S16" i="10"/>
  <c r="Y16" i="10" s="1"/>
  <c r="F16" i="10"/>
  <c r="G16" i="10" s="1"/>
  <c r="S15" i="10"/>
  <c r="Y15" i="10" s="1"/>
  <c r="G15" i="10"/>
  <c r="L15" i="10" s="1"/>
  <c r="F15" i="10"/>
  <c r="AE14" i="10"/>
  <c r="S14" i="10"/>
  <c r="X14" i="10" s="1"/>
  <c r="F14" i="10"/>
  <c r="C9" i="10"/>
  <c r="C10" i="10" s="1"/>
  <c r="J14" i="10" s="1"/>
  <c r="AN2" i="8"/>
  <c r="AN3" i="8"/>
  <c r="E46" i="27" l="1"/>
  <c r="E49" i="27"/>
  <c r="E50" i="27"/>
  <c r="E51" i="27"/>
  <c r="E47" i="27"/>
  <c r="F53" i="27"/>
  <c r="E53" i="27"/>
  <c r="E52" i="27"/>
  <c r="DI22" i="24"/>
  <c r="DK22" i="24" s="1"/>
  <c r="DL22" i="24" s="1"/>
  <c r="DM22" i="24" s="1"/>
  <c r="DN17" i="24"/>
  <c r="DI20" i="24"/>
  <c r="DK20" i="24" s="1"/>
  <c r="DL20" i="24" s="1"/>
  <c r="DM20" i="24" s="1"/>
  <c r="DN19" i="24"/>
  <c r="DI38" i="24"/>
  <c r="Q53" i="27"/>
  <c r="Q52" i="27"/>
  <c r="Q51" i="27"/>
  <c r="Q50" i="27"/>
  <c r="Q49" i="27"/>
  <c r="Q46" i="27"/>
  <c r="Q48" i="27"/>
  <c r="DI49" i="24"/>
  <c r="DI47" i="24"/>
  <c r="Q47" i="27"/>
  <c r="DI29" i="24"/>
  <c r="DI31" i="24"/>
  <c r="L42" i="10"/>
  <c r="C11" i="10"/>
  <c r="C26" i="10" s="1"/>
  <c r="F21" i="10"/>
  <c r="F23" i="10" s="1"/>
  <c r="CH8" i="9"/>
  <c r="CH7" i="9"/>
  <c r="AN37" i="8"/>
  <c r="AX37" i="8" s="1"/>
  <c r="AY37" i="8" s="1"/>
  <c r="AZ37" i="8" s="1"/>
  <c r="AN1" i="8"/>
  <c r="Y17" i="10"/>
  <c r="W39" i="10"/>
  <c r="Y40" i="10"/>
  <c r="AO37" i="9"/>
  <c r="AN37" i="9"/>
  <c r="AP37" i="9" s="1"/>
  <c r="Z37" i="9"/>
  <c r="V37" i="9"/>
  <c r="X29" i="11"/>
  <c r="X37" i="11"/>
  <c r="AF33" i="9"/>
  <c r="AD26" i="11"/>
  <c r="AD37" i="11"/>
  <c r="W37" i="10"/>
  <c r="W15" i="10"/>
  <c r="X37" i="10"/>
  <c r="Y37" i="10"/>
  <c r="Z36" i="10"/>
  <c r="AA36" i="10" s="1"/>
  <c r="Z15" i="10"/>
  <c r="AB15" i="10" s="1"/>
  <c r="W40" i="10"/>
  <c r="W35" i="10"/>
  <c r="X35" i="10"/>
  <c r="X15" i="10"/>
  <c r="AD10" i="11"/>
  <c r="V27" i="11"/>
  <c r="X25" i="11"/>
  <c r="AB10" i="11"/>
  <c r="AB15" i="11"/>
  <c r="AB29" i="11"/>
  <c r="AB25" i="11"/>
  <c r="AD29" i="11"/>
  <c r="AB9" i="11"/>
  <c r="AD9" i="11"/>
  <c r="AB28" i="11"/>
  <c r="AD7" i="11"/>
  <c r="AD28" i="11"/>
  <c r="AF28" i="11"/>
  <c r="AB16" i="11"/>
  <c r="AD15" i="11"/>
  <c r="AD25" i="11"/>
  <c r="AD16" i="11"/>
  <c r="Z29" i="11"/>
  <c r="Z16" i="11"/>
  <c r="Z10" i="11"/>
  <c r="Z28" i="11"/>
  <c r="Z7" i="11"/>
  <c r="Z15" i="11"/>
  <c r="Z9" i="11"/>
  <c r="Z26" i="11"/>
  <c r="Z18" i="11"/>
  <c r="Z17" i="11"/>
  <c r="Z33" i="11"/>
  <c r="Z11" i="11"/>
  <c r="Z25" i="11"/>
  <c r="Z27" i="11"/>
  <c r="Z8" i="11"/>
  <c r="X15" i="11"/>
  <c r="X11" i="11"/>
  <c r="AD18" i="11"/>
  <c r="X33" i="11"/>
  <c r="X9" i="11"/>
  <c r="X28" i="11"/>
  <c r="AB8" i="11"/>
  <c r="X17" i="11"/>
  <c r="AB27" i="11"/>
  <c r="X27" i="11"/>
  <c r="AD8" i="11"/>
  <c r="AB11" i="11"/>
  <c r="AD27" i="11"/>
  <c r="AD33" i="11"/>
  <c r="X18" i="11"/>
  <c r="AB18" i="11"/>
  <c r="AD11" i="11"/>
  <c r="AB17" i="11"/>
  <c r="X26" i="11"/>
  <c r="X8" i="11"/>
  <c r="AD17" i="11"/>
  <c r="X10" i="11"/>
  <c r="X16" i="11"/>
  <c r="AB26" i="11"/>
  <c r="L19" i="10"/>
  <c r="L16" i="10"/>
  <c r="L17" i="10"/>
  <c r="G42" i="10"/>
  <c r="L41" i="10"/>
  <c r="W17" i="10"/>
  <c r="F42" i="10"/>
  <c r="F44" i="10" s="1"/>
  <c r="W36" i="10"/>
  <c r="X39" i="10"/>
  <c r="X19" i="10"/>
  <c r="Y36" i="10"/>
  <c r="W19" i="10"/>
  <c r="Y39" i="10"/>
  <c r="G14" i="10"/>
  <c r="H16" i="10" s="1"/>
  <c r="I16" i="10" s="1"/>
  <c r="W14" i="10"/>
  <c r="W16" i="10"/>
  <c r="X16" i="10"/>
  <c r="W38" i="10"/>
  <c r="Y14" i="10"/>
  <c r="W18" i="10"/>
  <c r="X38" i="10"/>
  <c r="X18" i="10"/>
  <c r="C29" i="10" l="1"/>
  <c r="C31" i="10" s="1"/>
  <c r="H15" i="10"/>
  <c r="I15" i="10" s="1"/>
  <c r="R15" i="10" s="1"/>
  <c r="H17" i="10"/>
  <c r="I17" i="10" s="1"/>
  <c r="R17" i="10" s="1"/>
  <c r="H41" i="10"/>
  <c r="I41" i="10" s="1"/>
  <c r="H20" i="10"/>
  <c r="I20" i="10" s="1"/>
  <c r="H19" i="10"/>
  <c r="I19" i="10" s="1"/>
  <c r="R19" i="10" s="1"/>
  <c r="J16" i="10"/>
  <c r="K16" i="10" s="1"/>
  <c r="N16" i="10" s="1"/>
  <c r="AI37" i="9"/>
  <c r="Z37" i="10"/>
  <c r="Z38" i="10" s="1"/>
  <c r="AB36" i="10"/>
  <c r="V25" i="11"/>
  <c r="V37" i="11"/>
  <c r="AH37" i="11" s="1"/>
  <c r="AI37" i="11" s="1"/>
  <c r="AS37" i="9"/>
  <c r="V7" i="11"/>
  <c r="Z16" i="10"/>
  <c r="AA15" i="10"/>
  <c r="V11" i="11"/>
  <c r="V28" i="11"/>
  <c r="AH28" i="11" s="1"/>
  <c r="V26" i="11"/>
  <c r="V16" i="11"/>
  <c r="V9" i="11"/>
  <c r="V15" i="11"/>
  <c r="V29" i="11"/>
  <c r="V17" i="11"/>
  <c r="V33" i="11"/>
  <c r="V10" i="11"/>
  <c r="V8" i="11"/>
  <c r="V18" i="11"/>
  <c r="AF16" i="11"/>
  <c r="AF18" i="11"/>
  <c r="AF26" i="11"/>
  <c r="AF10" i="11"/>
  <c r="AF9" i="11"/>
  <c r="AF25" i="11"/>
  <c r="AF7" i="11"/>
  <c r="AF15" i="11"/>
  <c r="AF29" i="11"/>
  <c r="AF17" i="11"/>
  <c r="AF8" i="11"/>
  <c r="AF27" i="11"/>
  <c r="AH27" i="11" s="1"/>
  <c r="AF33" i="11"/>
  <c r="AF11" i="11"/>
  <c r="R16" i="10"/>
  <c r="L14" i="10"/>
  <c r="G21" i="10"/>
  <c r="H14" i="10"/>
  <c r="H18" i="10"/>
  <c r="C30" i="10" l="1"/>
  <c r="J15" i="10"/>
  <c r="J17" i="10"/>
  <c r="K17" i="10" s="1"/>
  <c r="N17" i="10" s="1"/>
  <c r="AK37" i="11"/>
  <c r="AJ37" i="11"/>
  <c r="AH9" i="11"/>
  <c r="AR9" i="11" s="1"/>
  <c r="AH29" i="11"/>
  <c r="AR29" i="11" s="1"/>
  <c r="AS29" i="11" s="1"/>
  <c r="AT29" i="11" s="1"/>
  <c r="AA37" i="10"/>
  <c r="AB37" i="10"/>
  <c r="J20" i="10"/>
  <c r="K20" i="10" s="1"/>
  <c r="N20" i="10" s="1"/>
  <c r="P20" i="10" s="1"/>
  <c r="Q20" i="10" s="1"/>
  <c r="J19" i="10"/>
  <c r="K19" i="10" s="1"/>
  <c r="N19" i="10" s="1"/>
  <c r="E40" i="10" s="1"/>
  <c r="J41" i="10"/>
  <c r="K41" i="10" s="1"/>
  <c r="N41" i="10" s="1"/>
  <c r="P41" i="10" s="1"/>
  <c r="Q41" i="10" s="1"/>
  <c r="M16" i="10"/>
  <c r="AH15" i="11"/>
  <c r="AR15" i="11" s="1"/>
  <c r="AH7" i="11"/>
  <c r="AI7" i="11" s="1"/>
  <c r="AH8" i="11"/>
  <c r="AR8" i="11" s="1"/>
  <c r="AH10" i="11"/>
  <c r="AR10" i="11" s="1"/>
  <c r="AX37" i="11"/>
  <c r="AH25" i="11"/>
  <c r="AR25" i="11" s="1"/>
  <c r="AH16" i="11"/>
  <c r="AI16" i="11" s="1"/>
  <c r="AK16" i="11" s="1"/>
  <c r="AH33" i="11"/>
  <c r="AI33" i="11" s="1"/>
  <c r="AK33" i="11" s="1"/>
  <c r="AH17" i="11"/>
  <c r="AI17" i="11" s="1"/>
  <c r="AK17" i="11" s="1"/>
  <c r="AH11" i="11"/>
  <c r="AI11" i="11" s="1"/>
  <c r="AH18" i="11"/>
  <c r="AI18" i="11" s="1"/>
  <c r="AA16" i="10"/>
  <c r="Z17" i="10"/>
  <c r="AB16" i="10"/>
  <c r="AR27" i="11"/>
  <c r="AI27" i="11"/>
  <c r="AR28" i="11"/>
  <c r="AI28" i="11"/>
  <c r="AH26" i="11"/>
  <c r="H21" i="10"/>
  <c r="T15" i="10"/>
  <c r="U15" i="10" s="1"/>
  <c r="V15" i="10"/>
  <c r="V17" i="10"/>
  <c r="T17" i="10"/>
  <c r="U17" i="10" s="1"/>
  <c r="E37" i="10"/>
  <c r="P16" i="10"/>
  <c r="Q16" i="10" s="1"/>
  <c r="L21" i="10"/>
  <c r="I18" i="10"/>
  <c r="J18" i="10"/>
  <c r="T16" i="10"/>
  <c r="U16" i="10" s="1"/>
  <c r="V16" i="10"/>
  <c r="AB38" i="10"/>
  <c r="AA38" i="10"/>
  <c r="Z39" i="10"/>
  <c r="V19" i="10"/>
  <c r="T19" i="10"/>
  <c r="U19" i="10" s="1"/>
  <c r="M17" i="10" l="1"/>
  <c r="K15" i="10"/>
  <c r="N15" i="10" s="1"/>
  <c r="J21" i="10"/>
  <c r="M20" i="10"/>
  <c r="M19" i="10"/>
  <c r="AI15" i="11"/>
  <c r="AJ15" i="11" s="1"/>
  <c r="AL15" i="11" s="1"/>
  <c r="AO15" i="11" s="1"/>
  <c r="AP15" i="11" s="1"/>
  <c r="AI9" i="11"/>
  <c r="AJ9" i="11" s="1"/>
  <c r="AL9" i="11" s="1"/>
  <c r="AO9" i="11" s="1"/>
  <c r="AP9" i="11" s="1"/>
  <c r="AL37" i="11"/>
  <c r="AO37" i="11" s="1"/>
  <c r="AP37" i="11" s="1"/>
  <c r="BF37" i="11" s="1"/>
  <c r="BA37" i="11"/>
  <c r="AR7" i="11"/>
  <c r="AI29" i="11"/>
  <c r="AK29" i="11" s="1"/>
  <c r="AI8" i="11"/>
  <c r="AJ8" i="11" s="1"/>
  <c r="AL8" i="11" s="1"/>
  <c r="AO8" i="11" s="1"/>
  <c r="AP8" i="11" s="1"/>
  <c r="M41" i="10"/>
  <c r="AJ33" i="11"/>
  <c r="AL33" i="11" s="1"/>
  <c r="AO33" i="11" s="1"/>
  <c r="AP33" i="11" s="1"/>
  <c r="AI10" i="11"/>
  <c r="AJ10" i="11" s="1"/>
  <c r="AL10" i="11" s="1"/>
  <c r="AO10" i="11" s="1"/>
  <c r="AP10" i="11" s="1"/>
  <c r="AR16" i="11"/>
  <c r="AR17" i="11"/>
  <c r="AK18" i="11"/>
  <c r="AJ18" i="11"/>
  <c r="AL18" i="11" s="1"/>
  <c r="AO18" i="11" s="1"/>
  <c r="AP18" i="11" s="1"/>
  <c r="AR18" i="11"/>
  <c r="AI25" i="11"/>
  <c r="AK25" i="11" s="1"/>
  <c r="AY37" i="11"/>
  <c r="AR11" i="11"/>
  <c r="AJ16" i="11"/>
  <c r="AL16" i="11" s="1"/>
  <c r="AO16" i="11" s="1"/>
  <c r="AP16" i="11" s="1"/>
  <c r="AJ17" i="11"/>
  <c r="AL17" i="11" s="1"/>
  <c r="AO17" i="11" s="1"/>
  <c r="AP17" i="11" s="1"/>
  <c r="AB17" i="10"/>
  <c r="Z18" i="10"/>
  <c r="AA17" i="10"/>
  <c r="AK28" i="11"/>
  <c r="AJ28" i="11"/>
  <c r="AL28" i="11" s="1"/>
  <c r="AO28" i="11" s="1"/>
  <c r="AP28" i="11" s="1"/>
  <c r="AK27" i="11"/>
  <c r="AJ27" i="11"/>
  <c r="AL27" i="11" s="1"/>
  <c r="AO27" i="11" s="1"/>
  <c r="AP27" i="11" s="1"/>
  <c r="AK11" i="11"/>
  <c r="AJ11" i="11"/>
  <c r="AL11" i="11" s="1"/>
  <c r="AO11" i="11" s="1"/>
  <c r="AP11" i="11" s="1"/>
  <c r="AK7" i="11"/>
  <c r="AJ7" i="11"/>
  <c r="AL7" i="11" s="1"/>
  <c r="AO7" i="11" s="1"/>
  <c r="AP7" i="11" s="1"/>
  <c r="AR26" i="11"/>
  <c r="AI26" i="11"/>
  <c r="P15" i="10"/>
  <c r="Q15" i="10" s="1"/>
  <c r="E36" i="10"/>
  <c r="R18" i="10"/>
  <c r="K18" i="10"/>
  <c r="K14" i="10"/>
  <c r="I21" i="10"/>
  <c r="R14" i="10"/>
  <c r="P19" i="10"/>
  <c r="Q19" i="10" s="1"/>
  <c r="AB39" i="10"/>
  <c r="AA39" i="10"/>
  <c r="Z40" i="10"/>
  <c r="P17" i="10"/>
  <c r="Q17" i="10" s="1"/>
  <c r="E38" i="10"/>
  <c r="M15" i="10" l="1"/>
  <c r="N14" i="10"/>
  <c r="K21" i="10"/>
  <c r="AK9" i="11"/>
  <c r="E35" i="10"/>
  <c r="AK15" i="11"/>
  <c r="AK8" i="11"/>
  <c r="AJ29" i="11"/>
  <c r="AL29" i="11" s="1"/>
  <c r="AO29" i="11" s="1"/>
  <c r="AP29" i="11" s="1"/>
  <c r="AK10" i="11"/>
  <c r="AJ25" i="11"/>
  <c r="AL25" i="11" s="1"/>
  <c r="AO25" i="11" s="1"/>
  <c r="AP25" i="11" s="1"/>
  <c r="AZ37" i="11"/>
  <c r="AB18" i="10"/>
  <c r="Z19" i="10"/>
  <c r="AA18" i="10"/>
  <c r="AJ26" i="11"/>
  <c r="AL26" i="11" s="1"/>
  <c r="AO26" i="11" s="1"/>
  <c r="AP26" i="11" s="1"/>
  <c r="AK26" i="11"/>
  <c r="V18" i="10"/>
  <c r="T18" i="10"/>
  <c r="U18" i="10" s="1"/>
  <c r="T14" i="10"/>
  <c r="U14" i="10" s="1"/>
  <c r="V14" i="10"/>
  <c r="M14" i="10"/>
  <c r="N18" i="10"/>
  <c r="M18" i="10"/>
  <c r="AB40" i="10"/>
  <c r="AA40" i="10"/>
  <c r="M21" i="10" l="1"/>
  <c r="N21" i="10"/>
  <c r="P21" i="10" s="1"/>
  <c r="BB37" i="11"/>
  <c r="AB19" i="10"/>
  <c r="AA19" i="10"/>
  <c r="P18" i="10"/>
  <c r="Q18" i="10" s="1"/>
  <c r="E39" i="10"/>
  <c r="P14" i="10"/>
  <c r="Q14" i="10" s="1"/>
  <c r="N22" i="10" l="1"/>
  <c r="P22" i="10" s="1"/>
  <c r="BD37" i="11"/>
  <c r="H39" i="10"/>
  <c r="BC37" i="11"/>
  <c r="H35" i="10"/>
  <c r="H37" i="10"/>
  <c r="H38" i="10"/>
  <c r="H36" i="10"/>
  <c r="H40" i="10"/>
  <c r="I38" i="10" l="1"/>
  <c r="J38" i="10"/>
  <c r="I35" i="10"/>
  <c r="J35" i="10"/>
  <c r="I36" i="10"/>
  <c r="R36" i="10" s="1"/>
  <c r="J36" i="10"/>
  <c r="I40" i="10"/>
  <c r="J40" i="10"/>
  <c r="I37" i="10"/>
  <c r="J37" i="10"/>
  <c r="I39" i="10"/>
  <c r="J39" i="10"/>
  <c r="BQ37" i="11"/>
  <c r="BE37" i="11"/>
  <c r="AR37" i="11"/>
  <c r="AS37" i="11" s="1"/>
  <c r="H42" i="10"/>
  <c r="V36" i="10" l="1"/>
  <c r="T36" i="10"/>
  <c r="U36" i="10" s="1"/>
  <c r="R37" i="10"/>
  <c r="K37" i="10"/>
  <c r="N37" i="10" s="1"/>
  <c r="J42" i="10"/>
  <c r="R39" i="10"/>
  <c r="K39" i="10"/>
  <c r="N39" i="10" s="1"/>
  <c r="R40" i="10"/>
  <c r="K40" i="10"/>
  <c r="N40" i="10" s="1"/>
  <c r="K36" i="10"/>
  <c r="N36" i="10" s="1"/>
  <c r="K35" i="10"/>
  <c r="I42" i="10"/>
  <c r="R38" i="10"/>
  <c r="K38" i="10"/>
  <c r="N38" i="10" s="1"/>
  <c r="BL37" i="11"/>
  <c r="BG37" i="11"/>
  <c r="BH37" i="11" s="1"/>
  <c r="R35" i="10"/>
  <c r="M38" i="10" l="1"/>
  <c r="P38" i="10"/>
  <c r="Q38" i="10" s="1"/>
  <c r="N35" i="10"/>
  <c r="K42" i="10"/>
  <c r="M39" i="10"/>
  <c r="P39" i="10"/>
  <c r="Q39" i="10" s="1"/>
  <c r="M36" i="10"/>
  <c r="P36" i="10"/>
  <c r="Q36" i="10" s="1"/>
  <c r="V40" i="10"/>
  <c r="T40" i="10"/>
  <c r="U40" i="10" s="1"/>
  <c r="T38" i="10"/>
  <c r="U38" i="10" s="1"/>
  <c r="V38" i="10"/>
  <c r="M40" i="10"/>
  <c r="P40" i="10"/>
  <c r="Q40" i="10" s="1"/>
  <c r="V39" i="10"/>
  <c r="T39" i="10"/>
  <c r="U39" i="10" s="1"/>
  <c r="M37" i="10"/>
  <c r="P37" i="10"/>
  <c r="Q37" i="10" s="1"/>
  <c r="T37" i="10"/>
  <c r="U37" i="10" s="1"/>
  <c r="V37" i="10"/>
  <c r="V35" i="10"/>
  <c r="T35" i="10"/>
  <c r="U35" i="10" s="1"/>
  <c r="M35" i="10" l="1"/>
  <c r="M42" i="10" s="1"/>
  <c r="P35" i="10"/>
  <c r="Q35" i="10" s="1"/>
  <c r="AV7" i="8"/>
  <c r="AY7" i="8"/>
  <c r="AG33" i="9" l="1"/>
  <c r="AD33" i="9"/>
  <c r="Z33" i="9"/>
  <c r="X33" i="9"/>
  <c r="V33" i="9"/>
  <c r="AG29" i="9"/>
  <c r="AF29" i="9"/>
  <c r="AD29" i="9"/>
  <c r="AB29" i="9"/>
  <c r="Z29" i="9"/>
  <c r="X29" i="9"/>
  <c r="V29" i="9"/>
  <c r="AK28" i="9"/>
  <c r="AJ28" i="9" s="1"/>
  <c r="AG28" i="9"/>
  <c r="AF28" i="9"/>
  <c r="AD28" i="9"/>
  <c r="AB28" i="9"/>
  <c r="Z28" i="9"/>
  <c r="X28" i="9"/>
  <c r="V28" i="9"/>
  <c r="AK27" i="9"/>
  <c r="AJ27" i="9" s="1"/>
  <c r="AG27" i="9"/>
  <c r="AF27" i="9"/>
  <c r="AD27" i="9"/>
  <c r="AB27" i="9"/>
  <c r="Z27" i="9"/>
  <c r="X27" i="9"/>
  <c r="V27" i="9"/>
  <c r="AK26" i="9"/>
  <c r="AJ26" i="9" s="1"/>
  <c r="AG26" i="9"/>
  <c r="AF26" i="9"/>
  <c r="AD26" i="9"/>
  <c r="AB26" i="9"/>
  <c r="Z26" i="9"/>
  <c r="X26" i="9"/>
  <c r="V26" i="9"/>
  <c r="AK25" i="9"/>
  <c r="AJ25" i="9" s="1"/>
  <c r="AG25" i="9"/>
  <c r="AF25" i="9"/>
  <c r="AD25" i="9"/>
  <c r="AB25" i="9"/>
  <c r="Z25" i="9"/>
  <c r="X25" i="9"/>
  <c r="V25" i="9"/>
  <c r="AK18" i="9"/>
  <c r="AG18" i="9"/>
  <c r="AF18" i="9"/>
  <c r="AD18" i="9"/>
  <c r="AB18" i="9"/>
  <c r="Z18" i="9"/>
  <c r="X18" i="9"/>
  <c r="V18" i="9"/>
  <c r="AK17" i="9"/>
  <c r="AG17" i="9"/>
  <c r="AF17" i="9"/>
  <c r="AD17" i="9"/>
  <c r="AB17" i="9"/>
  <c r="Z17" i="9"/>
  <c r="X17" i="9"/>
  <c r="V17" i="9"/>
  <c r="AK16" i="9"/>
  <c r="AJ16" i="9" s="1"/>
  <c r="AG16" i="9"/>
  <c r="AF16" i="9"/>
  <c r="AD16" i="9"/>
  <c r="AB16" i="9"/>
  <c r="Z16" i="9"/>
  <c r="X16" i="9"/>
  <c r="V16" i="9"/>
  <c r="AK15" i="9"/>
  <c r="AJ15" i="9" s="1"/>
  <c r="AG15" i="9"/>
  <c r="AF15" i="9"/>
  <c r="AD15" i="9"/>
  <c r="AB15" i="9"/>
  <c r="Z15" i="9"/>
  <c r="X15" i="9"/>
  <c r="V15" i="9"/>
  <c r="AG11" i="9"/>
  <c r="AF11" i="9"/>
  <c r="AD11" i="9"/>
  <c r="AB11" i="9"/>
  <c r="Z11" i="9"/>
  <c r="X11" i="9"/>
  <c r="V11" i="9"/>
  <c r="AG10" i="9"/>
  <c r="AF10" i="9"/>
  <c r="AD10" i="9"/>
  <c r="Z10" i="9"/>
  <c r="X10" i="9"/>
  <c r="V10" i="9"/>
  <c r="AK9" i="9"/>
  <c r="AG9" i="9"/>
  <c r="AF9" i="9"/>
  <c r="AD9" i="9"/>
  <c r="AB9" i="9"/>
  <c r="Z9" i="9"/>
  <c r="X9" i="9"/>
  <c r="V9" i="9"/>
  <c r="AK8" i="9"/>
  <c r="AF8" i="9"/>
  <c r="AD8" i="9"/>
  <c r="AB8" i="9"/>
  <c r="Z8" i="9"/>
  <c r="X8" i="9"/>
  <c r="V8" i="9"/>
  <c r="AF7" i="9"/>
  <c r="AD7" i="9"/>
  <c r="AB7" i="9"/>
  <c r="Z7" i="9"/>
  <c r="X7" i="9"/>
  <c r="V7" i="9"/>
  <c r="AJ17" i="9" l="1"/>
  <c r="BG2" i="9"/>
  <c r="AJ18" i="9"/>
  <c r="BG5" i="9"/>
  <c r="AJ9" i="9"/>
  <c r="BG6" i="9"/>
  <c r="AJ8" i="9"/>
  <c r="BG3" i="9"/>
  <c r="AI7" i="9"/>
  <c r="AI26" i="9"/>
  <c r="AI28" i="9"/>
  <c r="AI16" i="9"/>
  <c r="AI25" i="9"/>
  <c r="AI9" i="9"/>
  <c r="AI18" i="9"/>
  <c r="AI33" i="9"/>
  <c r="AI17" i="9"/>
  <c r="AI11" i="9"/>
  <c r="AI13" i="9" s="1"/>
  <c r="AI8" i="9"/>
  <c r="AI27" i="9"/>
  <c r="AI29" i="9"/>
  <c r="AI10" i="9"/>
  <c r="AI15" i="9"/>
  <c r="AZ28" i="8"/>
  <c r="AY28" i="8" s="1"/>
  <c r="AZ27" i="8"/>
  <c r="AY27" i="8" s="1"/>
  <c r="AZ9" i="8"/>
  <c r="AY9" i="8" s="1"/>
  <c r="AZ26" i="8"/>
  <c r="AY26" i="8" s="1"/>
  <c r="AZ25" i="8"/>
  <c r="AZ18" i="8"/>
  <c r="AY18" i="8" s="1"/>
  <c r="AZ15" i="8"/>
  <c r="AY15" i="8" s="1"/>
  <c r="AZ16" i="8"/>
  <c r="AY16" i="8" s="1"/>
  <c r="AZ17" i="8"/>
  <c r="AY17" i="8" s="1"/>
  <c r="AZ8" i="8"/>
  <c r="AY8" i="8" s="1"/>
  <c r="AY33" i="8"/>
  <c r="AY29" i="8"/>
  <c r="AY25" i="8"/>
  <c r="AY11" i="8"/>
  <c r="AY10" i="8"/>
  <c r="AL33" i="8"/>
  <c r="AL29" i="8"/>
  <c r="AL28" i="8"/>
  <c r="AL27" i="8"/>
  <c r="AL26" i="8"/>
  <c r="AL25" i="8"/>
  <c r="AL18" i="8"/>
  <c r="AL17" i="8"/>
  <c r="AL16" i="8"/>
  <c r="AL15" i="8"/>
  <c r="AN33" i="8"/>
  <c r="AN29" i="8"/>
  <c r="AN28" i="8"/>
  <c r="AN27" i="8"/>
  <c r="AN26" i="8"/>
  <c r="AN25" i="8"/>
  <c r="AN18" i="8"/>
  <c r="AN17" i="8"/>
  <c r="AN16" i="8"/>
  <c r="AP33" i="8"/>
  <c r="AP29" i="8"/>
  <c r="AP28" i="8"/>
  <c r="AP27" i="8"/>
  <c r="AP26" i="8"/>
  <c r="AP25" i="8"/>
  <c r="AP18" i="8"/>
  <c r="AP17" i="8"/>
  <c r="AP16" i="8"/>
  <c r="AP15" i="8"/>
  <c r="AR29" i="8"/>
  <c r="AR28" i="8"/>
  <c r="AR27" i="8"/>
  <c r="AR26" i="8"/>
  <c r="AR25" i="8"/>
  <c r="AR18" i="8"/>
  <c r="AR17" i="8"/>
  <c r="AR16" i="8"/>
  <c r="AR15" i="8"/>
  <c r="AV29" i="8"/>
  <c r="AV28" i="8"/>
  <c r="AV27" i="8"/>
  <c r="AV26" i="8"/>
  <c r="AV25" i="8"/>
  <c r="AV18" i="8"/>
  <c r="AV17" i="8"/>
  <c r="AV16" i="8"/>
  <c r="AV15" i="8"/>
  <c r="AT33" i="8"/>
  <c r="AT29" i="8"/>
  <c r="AT28" i="8"/>
  <c r="AT27" i="8"/>
  <c r="AT26" i="8"/>
  <c r="AT25" i="8"/>
  <c r="AT18" i="8"/>
  <c r="AT17" i="8"/>
  <c r="AT16" i="8"/>
  <c r="AT15" i="8"/>
  <c r="AT11" i="8"/>
  <c r="AT10" i="8"/>
  <c r="AT9" i="8"/>
  <c r="AT8" i="8"/>
  <c r="AV11" i="8"/>
  <c r="AV10" i="8"/>
  <c r="AV9" i="8"/>
  <c r="AV8" i="8"/>
  <c r="AT7" i="8"/>
  <c r="AR11" i="8"/>
  <c r="AR10" i="8"/>
  <c r="AR9" i="8"/>
  <c r="AR8" i="8"/>
  <c r="AR7" i="8"/>
  <c r="AW33" i="8"/>
  <c r="AW29" i="8"/>
  <c r="AW28" i="8"/>
  <c r="AW27" i="8"/>
  <c r="AW26" i="8"/>
  <c r="AW25" i="8"/>
  <c r="AW18" i="8"/>
  <c r="AW17" i="8"/>
  <c r="AW16" i="8"/>
  <c r="AW15" i="8"/>
  <c r="AW11" i="8"/>
  <c r="AW10" i="8"/>
  <c r="AW9" i="8"/>
  <c r="AW8" i="8"/>
  <c r="AW7" i="8"/>
  <c r="AP11" i="8"/>
  <c r="AP10" i="8"/>
  <c r="AP9" i="8"/>
  <c r="AP8" i="8"/>
  <c r="AP7" i="8"/>
  <c r="AN11" i="8"/>
  <c r="AN10" i="8"/>
  <c r="AN9" i="8"/>
  <c r="AN8" i="8"/>
  <c r="AN7" i="8"/>
  <c r="AL11" i="8"/>
  <c r="AL10" i="8"/>
  <c r="AL9" i="8"/>
  <c r="AL8" i="8"/>
  <c r="F10" i="6"/>
  <c r="E9" i="6"/>
  <c r="E10" i="6"/>
  <c r="G17" i="6"/>
  <c r="A10" i="1"/>
  <c r="A9" i="1"/>
  <c r="BH2" i="9" l="1"/>
  <c r="BH3" i="9"/>
  <c r="BB9" i="19" s="1"/>
  <c r="BB133" i="19" s="1"/>
  <c r="BB26" i="19"/>
  <c r="BB7" i="19"/>
  <c r="BH8" i="9"/>
  <c r="BH9" i="9"/>
  <c r="BH7" i="9"/>
  <c r="BH5" i="9"/>
  <c r="BB13" i="19" s="1"/>
  <c r="BH6" i="9"/>
  <c r="BH4" i="9"/>
  <c r="BB11" i="19" s="1"/>
  <c r="AX28" i="8"/>
  <c r="AX7" i="8"/>
  <c r="AX29" i="8"/>
  <c r="AX26" i="8"/>
  <c r="AX8" i="8"/>
  <c r="AX10" i="8"/>
  <c r="AX33" i="8"/>
  <c r="AX9" i="8"/>
  <c r="AX27" i="8"/>
  <c r="AX25" i="8"/>
  <c r="AX15" i="8"/>
  <c r="AX18" i="8"/>
  <c r="AX16" i="8"/>
  <c r="AX17" i="8"/>
  <c r="AX11" i="8"/>
  <c r="A22" i="1"/>
  <c r="BB47" i="19" l="1"/>
  <c r="BB30" i="19"/>
  <c r="BB129" i="19"/>
  <c r="BB170" i="19"/>
  <c r="BB147" i="19"/>
  <c r="BB69" i="19"/>
  <c r="BB49" i="19"/>
  <c r="BB149" i="19"/>
  <c r="BB71" i="19"/>
  <c r="BB216" i="19"/>
  <c r="BB172" i="19"/>
  <c r="BB53" i="19"/>
  <c r="BB194" i="19"/>
  <c r="BB131" i="19"/>
  <c r="BB32" i="19"/>
  <c r="BB6" i="19"/>
  <c r="AZ7" i="19" s="1"/>
  <c r="A59" i="1"/>
  <c r="BB25" i="19" l="1"/>
  <c r="AZ32" i="19" s="1"/>
  <c r="BV19" i="19" s="1"/>
  <c r="CA19" i="19" s="1"/>
  <c r="CC19" i="19" s="1"/>
  <c r="BB46" i="19"/>
  <c r="AZ47" i="19" s="1"/>
  <c r="BB128" i="19"/>
  <c r="BB68" i="19"/>
  <c r="AZ9" i="19"/>
  <c r="BV8" i="19" s="1"/>
  <c r="CA8" i="19" s="1"/>
  <c r="CC8" i="19" s="1"/>
  <c r="AZ11" i="19"/>
  <c r="BV10" i="19" s="1"/>
  <c r="CA10" i="19" s="1"/>
  <c r="CC10" i="19" s="1"/>
  <c r="AZ13" i="19"/>
  <c r="BV12" i="19" s="1"/>
  <c r="CA12" i="19" s="1"/>
  <c r="CC12" i="19" s="1"/>
  <c r="A71" i="1"/>
  <c r="A72" i="1"/>
  <c r="A73" i="1"/>
  <c r="A74" i="1"/>
  <c r="A75" i="1"/>
  <c r="A76" i="1"/>
  <c r="A77" i="1"/>
  <c r="A78" i="1"/>
  <c r="A79" i="1"/>
  <c r="A70" i="1"/>
  <c r="A60" i="1"/>
  <c r="A62" i="1"/>
  <c r="A61" i="1"/>
  <c r="A63" i="1"/>
  <c r="A64" i="1"/>
  <c r="A65" i="1"/>
  <c r="A66" i="1"/>
  <c r="A67" i="1"/>
  <c r="A68" i="1"/>
  <c r="A33" i="1"/>
  <c r="A34" i="1"/>
  <c r="A35" i="1"/>
  <c r="A36" i="1"/>
  <c r="A37" i="1"/>
  <c r="A38" i="1"/>
  <c r="A39" i="1"/>
  <c r="A40" i="1"/>
  <c r="A41" i="1"/>
  <c r="A42" i="1"/>
  <c r="A43" i="1"/>
  <c r="A44" i="1"/>
  <c r="A45" i="1"/>
  <c r="A46" i="1"/>
  <c r="A48" i="1"/>
  <c r="A49" i="1"/>
  <c r="A50" i="1"/>
  <c r="A51" i="1"/>
  <c r="A52" i="1"/>
  <c r="A53" i="1"/>
  <c r="A54" i="1"/>
  <c r="A55" i="1"/>
  <c r="A56" i="1"/>
  <c r="A57" i="1"/>
  <c r="A32" i="1"/>
  <c r="A25" i="1"/>
  <c r="A26" i="1"/>
  <c r="A27" i="1"/>
  <c r="A29" i="1"/>
  <c r="A28" i="1"/>
  <c r="A24" i="1"/>
  <c r="A7" i="1"/>
  <c r="A8" i="1"/>
  <c r="A11" i="1"/>
  <c r="A12" i="1"/>
  <c r="A13" i="1"/>
  <c r="A14" i="1"/>
  <c r="A15" i="1"/>
  <c r="A16" i="1"/>
  <c r="A17" i="1"/>
  <c r="A18" i="1"/>
  <c r="A19" i="1"/>
  <c r="A20" i="1"/>
  <c r="A21" i="1"/>
  <c r="CI12" i="19" l="1"/>
  <c r="CI10" i="19"/>
  <c r="CI8" i="19"/>
  <c r="AZ53" i="19"/>
  <c r="AZ49" i="19"/>
  <c r="AZ30" i="19"/>
  <c r="BV17" i="19" s="1"/>
  <c r="CA17" i="19" s="1"/>
  <c r="CC17" i="19" s="1"/>
  <c r="CI17" i="19" s="1"/>
  <c r="AZ26" i="19"/>
  <c r="AZ24" i="19" s="1"/>
  <c r="CJ19" i="19"/>
  <c r="CI19" i="19"/>
  <c r="CJ10" i="19"/>
  <c r="BI4" i="9"/>
  <c r="CB4" i="9" s="1"/>
  <c r="AZ69" i="19"/>
  <c r="AZ71" i="19"/>
  <c r="BV25" i="19" s="1"/>
  <c r="CA25" i="19" s="1"/>
  <c r="CC25" i="19" s="1"/>
  <c r="AZ45" i="19"/>
  <c r="CJ12" i="19"/>
  <c r="BI5" i="9"/>
  <c r="CB5" i="9" s="1"/>
  <c r="BY5" i="9" s="1"/>
  <c r="BV6" i="19"/>
  <c r="AZ5" i="19"/>
  <c r="AZ8" i="19"/>
  <c r="AZ12" i="19"/>
  <c r="AZ10" i="19"/>
  <c r="CJ8" i="19"/>
  <c r="BI3" i="9"/>
  <c r="CB3" i="9" s="1"/>
  <c r="BY3" i="9" s="1"/>
  <c r="AZ131" i="19"/>
  <c r="BV32" i="19" s="1"/>
  <c r="CA32" i="19" s="1"/>
  <c r="CC32" i="19" s="1"/>
  <c r="AZ133" i="19"/>
  <c r="AZ129" i="19"/>
  <c r="BV1" i="19" l="1"/>
  <c r="CA1" i="19" s="1"/>
  <c r="CA6" i="19"/>
  <c r="BV15" i="19"/>
  <c r="CA15" i="19" s="1"/>
  <c r="CC15" i="19" s="1"/>
  <c r="AZ52" i="19"/>
  <c r="CJ17" i="19"/>
  <c r="AZ48" i="19"/>
  <c r="CG4" i="9"/>
  <c r="CK4" i="9" s="1"/>
  <c r="BY4" i="9"/>
  <c r="CG3" i="9"/>
  <c r="CK3" i="9" s="1"/>
  <c r="CG5" i="9"/>
  <c r="CK5" i="9" s="1"/>
  <c r="CJ32" i="19"/>
  <c r="CI32" i="19"/>
  <c r="CJ25" i="19"/>
  <c r="CI25" i="19"/>
  <c r="CO5" i="9"/>
  <c r="CO3" i="9"/>
  <c r="CO4" i="9"/>
  <c r="BI6" i="9"/>
  <c r="BJ5" i="9" s="1"/>
  <c r="BK5" i="9"/>
  <c r="BL5" i="9" s="1"/>
  <c r="BK3" i="9"/>
  <c r="BL3" i="9" s="1"/>
  <c r="BK4" i="9"/>
  <c r="BL4" i="9" s="1"/>
  <c r="CC6" i="19"/>
  <c r="BV11" i="19"/>
  <c r="BV9" i="19"/>
  <c r="BV7" i="19"/>
  <c r="AZ130" i="19"/>
  <c r="BV30" i="19"/>
  <c r="CA30" i="19" s="1"/>
  <c r="CC30" i="19" s="1"/>
  <c r="BV28" i="19"/>
  <c r="CA28" i="19" s="1"/>
  <c r="CC28" i="19" s="1"/>
  <c r="AZ132" i="19"/>
  <c r="AZ127" i="19"/>
  <c r="BV23" i="19"/>
  <c r="CA23" i="19" s="1"/>
  <c r="CC23" i="19" s="1"/>
  <c r="AZ70" i="19"/>
  <c r="AZ67" i="19"/>
  <c r="CH3" i="9" l="1"/>
  <c r="BV16" i="19"/>
  <c r="BV18" i="19"/>
  <c r="CI6" i="19"/>
  <c r="CH5" i="9"/>
  <c r="BJ3" i="9"/>
  <c r="CH4" i="9"/>
  <c r="CJ28" i="19"/>
  <c r="CI28" i="19"/>
  <c r="CJ15" i="19"/>
  <c r="CI15" i="19"/>
  <c r="CJ30" i="19"/>
  <c r="CI30" i="19"/>
  <c r="CJ6" i="19"/>
  <c r="CJ23" i="19"/>
  <c r="CI23" i="19"/>
  <c r="BJ4" i="9"/>
  <c r="CB6" i="9"/>
  <c r="BY6" i="9" s="1"/>
  <c r="BK6" i="9"/>
  <c r="BL6" i="9" s="1"/>
  <c r="BJ9" i="9"/>
  <c r="BJ8" i="9"/>
  <c r="BJ7" i="9"/>
  <c r="BJ6" i="9"/>
  <c r="BI2" i="9"/>
  <c r="BK2" i="9" l="1"/>
  <c r="BL2" i="9" s="1"/>
  <c r="BL10" i="9" s="1"/>
  <c r="BJ2" i="9"/>
  <c r="CG6" i="9"/>
  <c r="CK6" i="9" s="1"/>
  <c r="CB2" i="9"/>
  <c r="CO2" i="9"/>
  <c r="CO6" i="9"/>
  <c r="CB11" i="9" l="1"/>
  <c r="BZ11" i="9" s="1"/>
  <c r="BY2" i="9"/>
  <c r="BY11" i="9" s="1"/>
  <c r="BK10" i="9"/>
  <c r="CH6" i="9"/>
  <c r="CB10" i="9"/>
  <c r="BZ10" i="9" s="1"/>
  <c r="CG2" i="9"/>
  <c r="CK2" i="9" s="1"/>
  <c r="BY10" i="9" l="1"/>
  <c r="CH2" i="9"/>
  <c r="AI138" i="24"/>
  <c r="AI74" i="24"/>
  <c r="AI103" i="24"/>
  <c r="AI20" i="24"/>
  <c r="AI41" i="24"/>
  <c r="CQ6" i="24" l="1"/>
  <c r="BO4" i="19"/>
  <c r="AI94" i="24"/>
  <c r="AG100" i="24" s="1"/>
  <c r="CQ12" i="24"/>
  <c r="AI70" i="24"/>
  <c r="AG71" i="24" s="1"/>
  <c r="CQ10" i="24"/>
  <c r="AI123" i="24"/>
  <c r="AG131" i="24" s="1"/>
  <c r="CQ14" i="24"/>
  <c r="AG45" i="24"/>
  <c r="AG47" i="24"/>
  <c r="AG43" i="24"/>
  <c r="AH6" i="24"/>
  <c r="AJ4" i="24" s="1"/>
  <c r="DH44" i="24" l="1"/>
  <c r="D183" i="27"/>
  <c r="DH35" i="24"/>
  <c r="D139" i="27"/>
  <c r="DH26" i="24"/>
  <c r="D95" i="27"/>
  <c r="DH6" i="24"/>
  <c r="D12" i="27"/>
  <c r="F12" i="27" s="1"/>
  <c r="P12" i="27" s="1"/>
  <c r="CM7" i="24"/>
  <c r="DD7" i="24" s="1"/>
  <c r="CQ7" i="24"/>
  <c r="BC4" i="24"/>
  <c r="DZ12" i="24"/>
  <c r="DZ10" i="24"/>
  <c r="DZ1" i="24"/>
  <c r="DZ8" i="24"/>
  <c r="DZ9" i="24" s="1"/>
  <c r="DZ7" i="24"/>
  <c r="CZ5" i="24"/>
  <c r="DB6" i="24" s="1"/>
  <c r="AH5" i="24"/>
  <c r="BA5" i="24" s="1"/>
  <c r="AG96" i="24"/>
  <c r="AG98" i="24"/>
  <c r="CI5" i="24"/>
  <c r="CQ15" i="24"/>
  <c r="CQ11" i="24"/>
  <c r="AG125" i="24"/>
  <c r="AG127" i="24"/>
  <c r="CQ13" i="24"/>
  <c r="AG129" i="24"/>
  <c r="AH4" i="24"/>
  <c r="AI4" i="24"/>
  <c r="AK6" i="24"/>
  <c r="T9" i="18"/>
  <c r="DW72" i="24" l="1"/>
  <c r="DW69" i="24"/>
  <c r="DU6" i="24"/>
  <c r="DU72" i="24"/>
  <c r="DY56" i="24"/>
  <c r="DY47" i="24"/>
  <c r="DY52" i="24"/>
  <c r="DY54" i="24"/>
  <c r="DY44" i="24"/>
  <c r="DY49" i="24"/>
  <c r="DW55" i="24"/>
  <c r="DW57" i="24"/>
  <c r="DW48" i="24"/>
  <c r="DW50" i="24"/>
  <c r="DW45" i="24"/>
  <c r="DW27" i="24"/>
  <c r="DW41" i="24"/>
  <c r="DW39" i="24"/>
  <c r="DY28" i="24"/>
  <c r="DY26" i="24"/>
  <c r="DY40" i="24"/>
  <c r="DY32" i="24"/>
  <c r="DY42" i="24"/>
  <c r="DY30" i="24"/>
  <c r="DY38" i="24"/>
  <c r="DY34" i="24"/>
  <c r="DZ32" i="24"/>
  <c r="DZ54" i="24" s="1"/>
  <c r="DZ28" i="24"/>
  <c r="DZ50" i="24" s="1"/>
  <c r="DZ13" i="24"/>
  <c r="DZ34" i="24"/>
  <c r="DZ56" i="24" s="1"/>
  <c r="DZ30" i="24"/>
  <c r="DZ52" i="24" s="1"/>
  <c r="DY16" i="24"/>
  <c r="DY18" i="24"/>
  <c r="DY20" i="24"/>
  <c r="DY24" i="24"/>
  <c r="DZ11" i="24"/>
  <c r="DZ26" i="24"/>
  <c r="DZ48" i="24" s="1"/>
  <c r="DZ18" i="24"/>
  <c r="DZ40" i="24" s="1"/>
  <c r="DZ24" i="24"/>
  <c r="DZ2" i="24"/>
  <c r="DZ21" i="24"/>
  <c r="DZ43" i="24" s="1"/>
  <c r="DH12" i="24"/>
  <c r="F95" i="27"/>
  <c r="P95" i="27" s="1"/>
  <c r="D97" i="27"/>
  <c r="E95" i="27" s="1"/>
  <c r="DH27" i="24"/>
  <c r="DH28" i="24"/>
  <c r="DH30" i="24"/>
  <c r="F139" i="27"/>
  <c r="P139" i="27" s="1"/>
  <c r="D141" i="27"/>
  <c r="E139" i="27" s="1"/>
  <c r="DH37" i="24"/>
  <c r="DK37" i="24" s="1"/>
  <c r="DL37" i="24" s="1"/>
  <c r="DM37" i="24" s="1"/>
  <c r="DH39" i="24"/>
  <c r="DK39" i="24" s="1"/>
  <c r="DL39" i="24" s="1"/>
  <c r="DM39" i="24" s="1"/>
  <c r="DN39" i="24" s="1"/>
  <c r="DH36" i="24"/>
  <c r="DY68" i="24"/>
  <c r="DY6" i="24"/>
  <c r="DH8" i="24"/>
  <c r="F183" i="27"/>
  <c r="P183" i="27" s="1"/>
  <c r="D185" i="27"/>
  <c r="E183" i="27" s="1"/>
  <c r="CK7" i="24"/>
  <c r="CL6" i="24"/>
  <c r="CT5" i="24"/>
  <c r="DH10" i="24"/>
  <c r="DH7" i="24"/>
  <c r="DH46" i="24"/>
  <c r="DK46" i="24" s="1"/>
  <c r="DL46" i="24" s="1"/>
  <c r="DM46" i="24" s="1"/>
  <c r="DH48" i="24"/>
  <c r="DK48" i="24" s="1"/>
  <c r="DL48" i="24" s="1"/>
  <c r="DM48" i="24" s="1"/>
  <c r="DN48" i="24" s="1"/>
  <c r="DH45" i="24"/>
  <c r="DK44" i="24"/>
  <c r="DL44" i="24" s="1"/>
  <c r="DM44" i="24" s="1"/>
  <c r="CN6" i="24"/>
  <c r="CM6" i="24"/>
  <c r="CR6" i="24"/>
  <c r="DG6" i="24"/>
  <c r="DG7" i="24"/>
  <c r="CN7" i="24"/>
  <c r="DE7" i="24" s="1"/>
  <c r="DW7" i="24" s="1"/>
  <c r="CT9" i="24"/>
  <c r="CU9" i="24" s="1"/>
  <c r="CV9" i="24" s="1"/>
  <c r="CT11" i="24"/>
  <c r="CU11" i="24" s="1"/>
  <c r="CV11" i="24" s="1"/>
  <c r="CT15" i="24"/>
  <c r="CU15" i="24" s="1"/>
  <c r="CV15" i="24" s="1"/>
  <c r="CT13" i="24"/>
  <c r="CU13" i="24" s="1"/>
  <c r="CV13" i="24" s="1"/>
  <c r="CT10" i="24"/>
  <c r="CU10" i="24" s="1"/>
  <c r="CV10" i="24" s="1"/>
  <c r="CT14" i="24"/>
  <c r="CU14" i="24" s="1"/>
  <c r="CV14" i="24" s="1"/>
  <c r="CU8" i="24"/>
  <c r="CV8" i="24" s="1"/>
  <c r="CT12" i="24"/>
  <c r="CU12" i="24" s="1"/>
  <c r="CV12" i="24" s="1"/>
  <c r="CW31" i="24" s="1"/>
  <c r="BA4" i="24"/>
  <c r="BB4" i="24"/>
  <c r="AI5" i="24"/>
  <c r="AK4" i="24"/>
  <c r="AZ189" i="24"/>
  <c r="BF189" i="24" s="1"/>
  <c r="AZ122" i="24"/>
  <c r="AZ125" i="24" s="1"/>
  <c r="AK2" i="24"/>
  <c r="BE2" i="24" s="1"/>
  <c r="CK16" i="24"/>
  <c r="CK17" i="24" s="1"/>
  <c r="AZ241" i="24"/>
  <c r="DU42" i="24" s="1"/>
  <c r="AZ145" i="24"/>
  <c r="AZ167" i="24"/>
  <c r="BF167" i="24" s="1"/>
  <c r="AZ104" i="24"/>
  <c r="AN9" i="18" s="1"/>
  <c r="AZ274" i="24"/>
  <c r="AH1" i="24"/>
  <c r="AZ225" i="24"/>
  <c r="DU40" i="24" s="1"/>
  <c r="AZ210" i="24"/>
  <c r="DU38" i="24" s="1"/>
  <c r="AZ290" i="24"/>
  <c r="T10" i="18"/>
  <c r="T16" i="18" s="1"/>
  <c r="AZ257" i="24"/>
  <c r="AZ305" i="24"/>
  <c r="AZ320" i="24"/>
  <c r="T8" i="18"/>
  <c r="AK5" i="24"/>
  <c r="BD65" i="24"/>
  <c r="BE65" i="24" s="1"/>
  <c r="U9" i="18"/>
  <c r="BD46" i="24"/>
  <c r="BE46" i="24" s="1"/>
  <c r="BD85" i="24"/>
  <c r="BE85" i="24" s="1"/>
  <c r="BD122" i="24"/>
  <c r="BE122" i="24" s="1"/>
  <c r="BD104" i="24"/>
  <c r="BD210" i="24"/>
  <c r="BD25" i="24"/>
  <c r="DU15" i="24" s="1"/>
  <c r="BD6" i="24"/>
  <c r="DT5" i="24" s="1"/>
  <c r="DT4" i="24" s="1"/>
  <c r="BD241" i="24"/>
  <c r="BE241" i="24" s="1"/>
  <c r="BD145" i="24"/>
  <c r="BE145" i="24" s="1"/>
  <c r="EX69" i="24" l="1"/>
  <c r="FK69" i="24"/>
  <c r="FD69" i="24"/>
  <c r="ES69" i="24"/>
  <c r="EX48" i="24"/>
  <c r="FK48" i="24"/>
  <c r="FD48" i="24"/>
  <c r="ES48" i="24"/>
  <c r="EX57" i="24"/>
  <c r="FK57" i="24"/>
  <c r="FD57" i="24"/>
  <c r="ES57" i="24"/>
  <c r="EX45" i="24"/>
  <c r="FK45" i="24"/>
  <c r="FD45" i="24"/>
  <c r="ES45" i="24"/>
  <c r="FD50" i="24"/>
  <c r="EX50" i="24"/>
  <c r="FK50" i="24"/>
  <c r="ES50" i="24"/>
  <c r="EX55" i="24"/>
  <c r="ES55" i="24"/>
  <c r="FK55" i="24"/>
  <c r="FD55" i="24"/>
  <c r="EX39" i="24"/>
  <c r="FK39" i="24"/>
  <c r="FD39" i="24"/>
  <c r="ES39" i="24"/>
  <c r="FD41" i="24"/>
  <c r="EX41" i="24"/>
  <c r="FK41" i="24"/>
  <c r="ES41" i="24"/>
  <c r="EX72" i="24"/>
  <c r="FD72" i="24"/>
  <c r="ES72" i="24"/>
  <c r="FK72" i="24"/>
  <c r="DY50" i="24"/>
  <c r="DY48" i="24"/>
  <c r="DY45" i="24"/>
  <c r="DY53" i="24"/>
  <c r="DY55" i="24"/>
  <c r="DW53" i="24"/>
  <c r="DY35" i="24"/>
  <c r="DX57" i="24"/>
  <c r="DX48" i="24"/>
  <c r="DX45" i="24"/>
  <c r="DX53" i="24"/>
  <c r="DX55" i="24"/>
  <c r="DX50" i="24"/>
  <c r="DX56" i="24"/>
  <c r="DX47" i="24"/>
  <c r="DX52" i="24"/>
  <c r="DX54" i="24"/>
  <c r="DX44" i="24"/>
  <c r="DX49" i="24"/>
  <c r="DW31" i="24"/>
  <c r="DX28" i="24"/>
  <c r="DX38" i="24"/>
  <c r="DX26" i="24"/>
  <c r="DX40" i="24"/>
  <c r="DX32" i="24"/>
  <c r="DX42" i="24"/>
  <c r="DX30" i="24"/>
  <c r="AR9" i="18"/>
  <c r="DU49" i="24"/>
  <c r="BF387" i="24"/>
  <c r="DU65" i="24"/>
  <c r="DW35" i="24"/>
  <c r="BF257" i="24"/>
  <c r="DU44" i="24"/>
  <c r="DW43" i="24"/>
  <c r="DW33" i="24"/>
  <c r="BF371" i="24"/>
  <c r="DU63" i="24"/>
  <c r="DW29" i="24"/>
  <c r="FD29" i="24" s="1"/>
  <c r="BF320" i="24"/>
  <c r="DU56" i="24"/>
  <c r="BF337" i="24"/>
  <c r="DU59" i="24"/>
  <c r="AT9" i="18"/>
  <c r="DU54" i="24"/>
  <c r="BF290" i="24"/>
  <c r="DU52" i="24"/>
  <c r="DX39" i="24"/>
  <c r="DX41" i="24"/>
  <c r="DX27" i="24"/>
  <c r="DX43" i="24"/>
  <c r="DX35" i="24"/>
  <c r="DX34" i="24"/>
  <c r="DX33" i="24"/>
  <c r="DX31" i="24"/>
  <c r="DX29" i="24"/>
  <c r="DY43" i="24"/>
  <c r="DY39" i="24"/>
  <c r="DY29" i="24"/>
  <c r="DY31" i="24"/>
  <c r="DY41" i="24"/>
  <c r="DY27" i="24"/>
  <c r="DY33" i="24"/>
  <c r="BF354" i="24"/>
  <c r="DU61" i="24"/>
  <c r="DW21" i="24"/>
  <c r="EX21" i="24" s="1"/>
  <c r="DW19" i="24"/>
  <c r="EX19" i="24" s="1"/>
  <c r="DW17" i="24"/>
  <c r="DW25" i="24"/>
  <c r="DZ29" i="24"/>
  <c r="DZ33" i="24"/>
  <c r="DZ55" i="24" s="1"/>
  <c r="DZ35" i="24"/>
  <c r="DZ57" i="24" s="1"/>
  <c r="DZ31" i="24"/>
  <c r="DZ53" i="24" s="1"/>
  <c r="AZ25" i="24"/>
  <c r="AZ26" i="24" s="1"/>
  <c r="DU16" i="24" s="1"/>
  <c r="DU17" i="24" s="1"/>
  <c r="AZ85" i="24"/>
  <c r="AZ86" i="24" s="1"/>
  <c r="DU24" i="24" s="1"/>
  <c r="DU25" i="24" s="1"/>
  <c r="D7" i="27"/>
  <c r="DC6" i="24"/>
  <c r="DB5" i="24" s="1"/>
  <c r="CK5" i="24"/>
  <c r="CK4" i="24" s="1"/>
  <c r="DY7" i="24"/>
  <c r="DY17" i="24"/>
  <c r="DY25" i="24"/>
  <c r="DY21" i="24"/>
  <c r="DY19" i="24"/>
  <c r="DX7" i="24"/>
  <c r="DX19" i="24"/>
  <c r="DX17" i="24"/>
  <c r="DX25" i="24"/>
  <c r="DX21" i="24"/>
  <c r="DX18" i="24"/>
  <c r="DX16" i="24"/>
  <c r="DX24" i="24"/>
  <c r="DX20" i="24"/>
  <c r="DZ19" i="24"/>
  <c r="DZ41" i="24" s="1"/>
  <c r="DZ25" i="24"/>
  <c r="DZ47" i="24" s="1"/>
  <c r="DZ27" i="24"/>
  <c r="DZ49" i="24" s="1"/>
  <c r="DZ71" i="24" s="1"/>
  <c r="DN44" i="24"/>
  <c r="DN37" i="24"/>
  <c r="E134" i="27"/>
  <c r="E135" i="27"/>
  <c r="E141" i="27"/>
  <c r="E140" i="27"/>
  <c r="E136" i="27"/>
  <c r="E138" i="27"/>
  <c r="E137" i="27"/>
  <c r="F141" i="27"/>
  <c r="DH13" i="24"/>
  <c r="P141" i="27"/>
  <c r="Q139" i="27" s="1"/>
  <c r="DU7" i="24"/>
  <c r="DU68" i="24"/>
  <c r="E179" i="27"/>
  <c r="E182" i="27"/>
  <c r="E225" i="27"/>
  <c r="E178" i="27"/>
  <c r="F185" i="27"/>
  <c r="E180" i="27"/>
  <c r="E181" i="27"/>
  <c r="E185" i="27"/>
  <c r="E184" i="27"/>
  <c r="DH9" i="24"/>
  <c r="DH11" i="24"/>
  <c r="DX6" i="24"/>
  <c r="DX68" i="24"/>
  <c r="P185" i="27"/>
  <c r="Q183" i="27" s="1"/>
  <c r="DK27" i="24"/>
  <c r="DL27" i="24" s="1"/>
  <c r="DM27" i="24" s="1"/>
  <c r="DH29" i="24"/>
  <c r="DK29" i="24" s="1"/>
  <c r="DL29" i="24" s="1"/>
  <c r="DM29" i="24" s="1"/>
  <c r="DH31" i="24"/>
  <c r="DK31" i="24" s="1"/>
  <c r="DL31" i="24" s="1"/>
  <c r="DM31" i="24" s="1"/>
  <c r="DH49" i="24"/>
  <c r="DK49" i="24" s="1"/>
  <c r="DL49" i="24" s="1"/>
  <c r="DM49" i="24" s="1"/>
  <c r="DH47" i="24"/>
  <c r="DK47" i="24" s="1"/>
  <c r="DL47" i="24" s="1"/>
  <c r="DM47" i="24" s="1"/>
  <c r="DK45" i="24"/>
  <c r="DL45" i="24" s="1"/>
  <c r="DM45" i="24" s="1"/>
  <c r="DH38" i="24"/>
  <c r="DK38" i="24" s="1"/>
  <c r="DL38" i="24" s="1"/>
  <c r="DM38" i="24" s="1"/>
  <c r="DH40" i="24"/>
  <c r="DK40" i="24" s="1"/>
  <c r="DL40" i="24" s="1"/>
  <c r="DM40" i="24" s="1"/>
  <c r="DK36" i="24"/>
  <c r="DL36" i="24" s="1"/>
  <c r="DM36" i="24" s="1"/>
  <c r="E91" i="27"/>
  <c r="E94" i="27"/>
  <c r="F97" i="27"/>
  <c r="E93" i="27"/>
  <c r="E90" i="27"/>
  <c r="E92" i="27"/>
  <c r="E97" i="27"/>
  <c r="E96" i="27"/>
  <c r="DN46" i="24"/>
  <c r="P97" i="27"/>
  <c r="Q95" i="27" s="1"/>
  <c r="ES7" i="24"/>
  <c r="FD7" i="24"/>
  <c r="DE6" i="24"/>
  <c r="CT6" i="24"/>
  <c r="EF6" i="24" s="1"/>
  <c r="D10" i="27"/>
  <c r="DI6" i="24"/>
  <c r="D8" i="27"/>
  <c r="DD6" i="24"/>
  <c r="D9" i="27"/>
  <c r="DE13" i="24"/>
  <c r="DE11" i="24"/>
  <c r="DE9" i="24"/>
  <c r="FK7" i="24"/>
  <c r="EX7" i="24"/>
  <c r="DG13" i="24"/>
  <c r="DG9" i="24"/>
  <c r="DG11" i="24"/>
  <c r="DG8" i="24"/>
  <c r="DG12" i="24"/>
  <c r="DG10" i="24"/>
  <c r="CW12" i="24"/>
  <c r="DK30" i="24" s="1"/>
  <c r="DL30" i="24" s="1"/>
  <c r="DM30" i="24" s="1"/>
  <c r="DN30" i="24" s="1"/>
  <c r="CW8" i="24"/>
  <c r="DK26" i="24" s="1"/>
  <c r="DL26" i="24" s="1"/>
  <c r="DM26" i="24" s="1"/>
  <c r="DB10" i="24"/>
  <c r="CW14" i="24"/>
  <c r="DK35" i="24" s="1"/>
  <c r="DL35" i="24" s="1"/>
  <c r="DM35" i="24" s="1"/>
  <c r="DN35" i="24" s="1"/>
  <c r="DB12" i="24"/>
  <c r="DB7" i="24"/>
  <c r="CW10" i="24"/>
  <c r="DK28" i="24" s="1"/>
  <c r="DL28" i="24" s="1"/>
  <c r="DM28" i="24" s="1"/>
  <c r="DB8" i="24"/>
  <c r="AZ46" i="24"/>
  <c r="AZ72" i="24" s="1"/>
  <c r="AG7" i="24"/>
  <c r="AZ6" i="24"/>
  <c r="AZ11" i="24" s="1"/>
  <c r="AG9" i="24"/>
  <c r="DD13" i="24"/>
  <c r="DD11" i="24"/>
  <c r="DD9" i="24"/>
  <c r="CR7" i="24"/>
  <c r="CL7" i="24"/>
  <c r="AZ123" i="24"/>
  <c r="AZ124" i="24" s="1"/>
  <c r="BF122" i="24"/>
  <c r="BB5" i="24"/>
  <c r="BD4" i="24"/>
  <c r="AZ109" i="24"/>
  <c r="BF145" i="24"/>
  <c r="BF241" i="24"/>
  <c r="BF225" i="24"/>
  <c r="BF274" i="24"/>
  <c r="AG13" i="24"/>
  <c r="AZ107" i="24"/>
  <c r="DU32" i="24" s="1"/>
  <c r="AZ105" i="24"/>
  <c r="BD2" i="24"/>
  <c r="BF2" i="24" s="1"/>
  <c r="AI1" i="24"/>
  <c r="BE25" i="24"/>
  <c r="AG11" i="24"/>
  <c r="AZ65" i="24"/>
  <c r="BF65" i="24" s="1"/>
  <c r="AG15" i="24"/>
  <c r="BF305" i="24"/>
  <c r="AC22" i="18"/>
  <c r="AC23" i="18" s="1"/>
  <c r="AE23" i="18" s="1"/>
  <c r="T15" i="18"/>
  <c r="U8" i="18"/>
  <c r="U15" i="18" s="1"/>
  <c r="AX9" i="18"/>
  <c r="T11" i="18"/>
  <c r="U10" i="18"/>
  <c r="AV9" i="18"/>
  <c r="AP9" i="18"/>
  <c r="T7" i="18"/>
  <c r="BE6" i="24"/>
  <c r="BE210" i="24"/>
  <c r="BF210" i="24" s="1"/>
  <c r="DU37" i="24"/>
  <c r="BE104" i="24"/>
  <c r="BF104" i="24" s="1"/>
  <c r="DU71" i="24"/>
  <c r="DU23" i="24"/>
  <c r="DU22" i="24" s="1"/>
  <c r="FK19" i="24" l="1"/>
  <c r="DW71" i="24"/>
  <c r="DW6" i="24"/>
  <c r="FD19" i="24"/>
  <c r="FK31" i="24"/>
  <c r="EX31" i="24"/>
  <c r="FD31" i="24"/>
  <c r="ES31" i="24"/>
  <c r="DU57" i="24"/>
  <c r="DU69" i="24"/>
  <c r="FK35" i="24"/>
  <c r="FD35" i="24"/>
  <c r="EX35" i="24"/>
  <c r="ES35" i="24"/>
  <c r="FK33" i="24"/>
  <c r="FD33" i="24"/>
  <c r="EX33" i="24"/>
  <c r="ES33" i="24"/>
  <c r="FD53" i="24"/>
  <c r="EX53" i="24"/>
  <c r="FK53" i="24"/>
  <c r="ES53" i="24"/>
  <c r="FK71" i="24"/>
  <c r="EX71" i="24"/>
  <c r="FD71" i="24"/>
  <c r="ES71" i="24"/>
  <c r="EF52" i="24"/>
  <c r="EF16" i="24"/>
  <c r="EF32" i="24"/>
  <c r="EF65" i="24"/>
  <c r="EF28" i="24"/>
  <c r="EF61" i="24"/>
  <c r="EF59" i="24"/>
  <c r="EF20" i="24"/>
  <c r="EF50" i="24"/>
  <c r="EF40" i="24"/>
  <c r="EF63" i="24"/>
  <c r="EF26" i="24"/>
  <c r="EF18" i="24"/>
  <c r="EF44" i="24"/>
  <c r="EF42" i="24"/>
  <c r="EF38" i="24"/>
  <c r="EF71" i="24"/>
  <c r="EF34" i="24"/>
  <c r="EF68" i="24"/>
  <c r="EF30" i="24"/>
  <c r="EF24" i="24"/>
  <c r="EF56" i="24"/>
  <c r="EF54" i="24"/>
  <c r="DV40" i="24"/>
  <c r="DV24" i="24"/>
  <c r="DV34" i="24"/>
  <c r="DV32" i="24"/>
  <c r="DV52" i="24"/>
  <c r="DV56" i="24"/>
  <c r="DV49" i="24"/>
  <c r="DV47" i="24"/>
  <c r="AB263" i="27" s="1"/>
  <c r="DV44" i="24"/>
  <c r="DV38" i="24"/>
  <c r="DV20" i="24"/>
  <c r="DV18" i="24"/>
  <c r="DV28" i="24"/>
  <c r="DV68" i="24"/>
  <c r="DV54" i="24"/>
  <c r="DV16" i="24"/>
  <c r="DV30" i="24"/>
  <c r="DV26" i="24"/>
  <c r="DV71" i="24"/>
  <c r="DV42" i="24"/>
  <c r="FK43" i="24"/>
  <c r="FD43" i="24"/>
  <c r="EX43" i="24"/>
  <c r="ES43" i="24"/>
  <c r="DU48" i="24"/>
  <c r="DU45" i="24"/>
  <c r="DU53" i="24"/>
  <c r="DU55" i="24"/>
  <c r="DU50" i="24"/>
  <c r="ES21" i="24"/>
  <c r="DW49" i="24"/>
  <c r="DW44" i="24"/>
  <c r="DW54" i="24"/>
  <c r="DW56" i="24"/>
  <c r="DW52" i="24"/>
  <c r="DW47" i="24"/>
  <c r="EA16" i="24"/>
  <c r="EA6" i="24"/>
  <c r="EX29" i="24"/>
  <c r="DU29" i="24"/>
  <c r="DU43" i="24"/>
  <c r="DU33" i="24"/>
  <c r="DU35" i="24"/>
  <c r="DU41" i="24"/>
  <c r="DU31" i="24"/>
  <c r="DU39" i="24"/>
  <c r="FK29" i="24"/>
  <c r="ES19" i="24"/>
  <c r="DW42" i="24"/>
  <c r="DW40" i="24"/>
  <c r="DW26" i="24"/>
  <c r="EX26" i="24" s="1"/>
  <c r="DW34" i="24"/>
  <c r="DW38" i="24"/>
  <c r="DW28" i="24"/>
  <c r="DW32" i="24"/>
  <c r="DW30" i="24"/>
  <c r="FK21" i="24"/>
  <c r="FD21" i="24"/>
  <c r="ES29" i="24"/>
  <c r="AB10" i="27"/>
  <c r="AP10" i="27" s="1"/>
  <c r="DW4" i="24"/>
  <c r="DE12" i="24"/>
  <c r="DB9" i="24"/>
  <c r="DE8" i="24"/>
  <c r="DE10" i="24"/>
  <c r="DB4" i="24"/>
  <c r="DW18" i="24"/>
  <c r="DW24" i="24"/>
  <c r="EX24" i="24" s="1"/>
  <c r="DW20" i="24"/>
  <c r="DW16" i="24"/>
  <c r="AZ103" i="24"/>
  <c r="DU34" i="24"/>
  <c r="DC10" i="24"/>
  <c r="D224" i="27"/>
  <c r="DW68" i="24"/>
  <c r="Q137" i="27"/>
  <c r="Q135" i="27"/>
  <c r="Q134" i="27"/>
  <c r="Q141" i="27"/>
  <c r="Q138" i="27"/>
  <c r="Q140" i="27"/>
  <c r="Q136" i="27"/>
  <c r="EA68" i="24"/>
  <c r="Q184" i="27"/>
  <c r="Q178" i="27"/>
  <c r="Q180" i="27"/>
  <c r="Q182" i="27"/>
  <c r="Q179" i="27"/>
  <c r="Q181" i="27"/>
  <c r="Q225" i="27"/>
  <c r="Q185" i="27"/>
  <c r="Q97" i="27"/>
  <c r="Q96" i="27"/>
  <c r="Q93" i="27"/>
  <c r="Q91" i="27"/>
  <c r="Q94" i="27"/>
  <c r="Q92" i="27"/>
  <c r="Q90" i="27"/>
  <c r="AB14" i="27"/>
  <c r="AP14" i="27" s="1"/>
  <c r="DU1" i="24"/>
  <c r="DC8" i="24"/>
  <c r="DV6" i="24"/>
  <c r="AB7" i="27"/>
  <c r="DC12" i="24"/>
  <c r="DC7" i="24"/>
  <c r="AB9" i="27"/>
  <c r="DI7" i="24"/>
  <c r="EA69" i="24" s="1"/>
  <c r="AB8" i="27"/>
  <c r="DD10" i="24"/>
  <c r="D14" i="27"/>
  <c r="E8" i="27" s="1"/>
  <c r="F10" i="27"/>
  <c r="P10" i="27" s="1"/>
  <c r="DD8" i="24"/>
  <c r="F7" i="27"/>
  <c r="P7" i="27" s="1"/>
  <c r="DK6" i="24"/>
  <c r="EE5" i="24" s="1"/>
  <c r="F9" i="27"/>
  <c r="P9" i="27" s="1"/>
  <c r="F8" i="27"/>
  <c r="P8" i="27" s="1"/>
  <c r="DD12" i="24"/>
  <c r="DI12" i="24"/>
  <c r="DI10" i="24"/>
  <c r="DI8" i="24"/>
  <c r="BP5" i="19"/>
  <c r="BP4" i="19" s="1"/>
  <c r="BQ4" i="19" s="1"/>
  <c r="DN28" i="24"/>
  <c r="DN26" i="24"/>
  <c r="CT7" i="24"/>
  <c r="CU7" i="24" s="1"/>
  <c r="CV7" i="24" s="1"/>
  <c r="DB11" i="24"/>
  <c r="DB13" i="24"/>
  <c r="DU2" i="24"/>
  <c r="AZ66" i="24"/>
  <c r="AZ64" i="24" s="1"/>
  <c r="AL9" i="18"/>
  <c r="BF46" i="24"/>
  <c r="AZ53" i="24"/>
  <c r="AZ47" i="24"/>
  <c r="AZ49" i="24"/>
  <c r="AZ68" i="24"/>
  <c r="AZ71" i="24" s="1"/>
  <c r="CU6" i="24"/>
  <c r="CV6" i="24" s="1"/>
  <c r="DW2" i="24"/>
  <c r="AZ10" i="24"/>
  <c r="DU10" i="24"/>
  <c r="AZ13" i="24"/>
  <c r="AZ9" i="24"/>
  <c r="DU8" i="24" s="1"/>
  <c r="AZ7" i="24"/>
  <c r="AZ5" i="24" s="1"/>
  <c r="DU28" i="24"/>
  <c r="AZ30" i="24"/>
  <c r="DU18" i="24" s="1"/>
  <c r="DU19" i="24" s="1"/>
  <c r="AZ106" i="24"/>
  <c r="AZ32" i="24"/>
  <c r="DU20" i="24" s="1"/>
  <c r="DU21" i="24" s="1"/>
  <c r="AZ108" i="24"/>
  <c r="BF25" i="24"/>
  <c r="DU30" i="24"/>
  <c r="AZ88" i="24"/>
  <c r="DU26" i="24" s="1"/>
  <c r="DU27" i="24" s="1"/>
  <c r="AZ1" i="24"/>
  <c r="BF6" i="24"/>
  <c r="T14" i="18"/>
  <c r="U7" i="18"/>
  <c r="U14" i="18" s="1"/>
  <c r="T12" i="18"/>
  <c r="U12" i="18" s="1"/>
  <c r="U11" i="18"/>
  <c r="T17" i="18"/>
  <c r="U16" i="18"/>
  <c r="T6" i="18"/>
  <c r="U6" i="18" s="1"/>
  <c r="AZ24" i="24"/>
  <c r="AZ84" i="24"/>
  <c r="BE84" i="24"/>
  <c r="BE83" i="24" s="1"/>
  <c r="BF85" i="24"/>
  <c r="AP263" i="27" l="1"/>
  <c r="AP259" i="27"/>
  <c r="AB260" i="27"/>
  <c r="AB261" i="27"/>
  <c r="AB259" i="27"/>
  <c r="AP260" i="27"/>
  <c r="DV57" i="24"/>
  <c r="DV53" i="24"/>
  <c r="DV31" i="24"/>
  <c r="DV45" i="24"/>
  <c r="DV27" i="24"/>
  <c r="DV41" i="24"/>
  <c r="DV39" i="24"/>
  <c r="DV21" i="24"/>
  <c r="DV55" i="24"/>
  <c r="DV48" i="24"/>
  <c r="DV35" i="24"/>
  <c r="DV19" i="24"/>
  <c r="DV43" i="24"/>
  <c r="DV50" i="24"/>
  <c r="DV33" i="24"/>
  <c r="DV17" i="24"/>
  <c r="DV69" i="24"/>
  <c r="DV29" i="24"/>
  <c r="DV72" i="24"/>
  <c r="DV25" i="24"/>
  <c r="FI56" i="24"/>
  <c r="FB56" i="24"/>
  <c r="EE68" i="24"/>
  <c r="FI68" i="24"/>
  <c r="EW68" i="24"/>
  <c r="FD56" i="24"/>
  <c r="EX56" i="24"/>
  <c r="ES56" i="24"/>
  <c r="FK56" i="24"/>
  <c r="FB71" i="24"/>
  <c r="FI71" i="24"/>
  <c r="FJ69" i="24"/>
  <c r="FC69" i="24"/>
  <c r="FK68" i="24"/>
  <c r="EX68" i="24"/>
  <c r="D220" i="27"/>
  <c r="FJ68" i="24"/>
  <c r="D216" i="27"/>
  <c r="D222" i="27" s="1"/>
  <c r="DU5" i="24"/>
  <c r="DU4" i="24" s="1"/>
  <c r="DC11" i="24"/>
  <c r="FD27" i="24"/>
  <c r="FK27" i="24"/>
  <c r="EX27" i="24"/>
  <c r="ES27" i="24"/>
  <c r="DI9" i="24"/>
  <c r="EA17" i="24"/>
  <c r="FK25" i="24"/>
  <c r="FD25" i="24"/>
  <c r="ES25" i="24"/>
  <c r="EX25" i="24"/>
  <c r="DI13" i="24"/>
  <c r="DK10" i="24"/>
  <c r="DL10" i="24" s="1"/>
  <c r="DM10" i="24" s="1"/>
  <c r="DW1" i="24"/>
  <c r="DI11" i="24"/>
  <c r="FC68" i="24"/>
  <c r="BF221" i="27" s="1"/>
  <c r="EE6" i="24"/>
  <c r="EG6" i="24" s="1"/>
  <c r="BI2" i="34" s="1"/>
  <c r="F220" i="27"/>
  <c r="P220" i="27" s="1"/>
  <c r="Q220" i="27" s="1"/>
  <c r="E220" i="27"/>
  <c r="F224" i="27"/>
  <c r="P224" i="27" s="1"/>
  <c r="Q224" i="27" s="1"/>
  <c r="E224" i="27"/>
  <c r="D215" i="27"/>
  <c r="D221" i="27" s="1"/>
  <c r="AB130" i="27"/>
  <c r="D217" i="27"/>
  <c r="D223" i="27" s="1"/>
  <c r="D219" i="27"/>
  <c r="AB173" i="27"/>
  <c r="AB174" i="27"/>
  <c r="EX6" i="24"/>
  <c r="ES68" i="24"/>
  <c r="FD26" i="24"/>
  <c r="FD20" i="24"/>
  <c r="EX40" i="24"/>
  <c r="FK18" i="24"/>
  <c r="AP8" i="27"/>
  <c r="DK7" i="24"/>
  <c r="DL7" i="24" s="1"/>
  <c r="DM7" i="24" s="1"/>
  <c r="DC9" i="24"/>
  <c r="DK8" i="24"/>
  <c r="DL8" i="24" s="1"/>
  <c r="DM8" i="24" s="1"/>
  <c r="AP131" i="27"/>
  <c r="AP130" i="27"/>
  <c r="AP87" i="27"/>
  <c r="AP86" i="27"/>
  <c r="AP9" i="27"/>
  <c r="AB45" i="27"/>
  <c r="AB131" i="27"/>
  <c r="AB87" i="27"/>
  <c r="AB44" i="27"/>
  <c r="AB86" i="27"/>
  <c r="AB43" i="27"/>
  <c r="AB88" i="27"/>
  <c r="AB132" i="27"/>
  <c r="FD6" i="24"/>
  <c r="BF8" i="27" s="1"/>
  <c r="BR8" i="27" s="1"/>
  <c r="BS8" i="27" s="1"/>
  <c r="ES6" i="24"/>
  <c r="FK6" i="24"/>
  <c r="EX28" i="24"/>
  <c r="AP7" i="27"/>
  <c r="AB15" i="27"/>
  <c r="AC7" i="27" s="1"/>
  <c r="DC13" i="24"/>
  <c r="E9" i="27"/>
  <c r="E7" i="27"/>
  <c r="DY8" i="24"/>
  <c r="DX8" i="24"/>
  <c r="DV8" i="24"/>
  <c r="DK12" i="24"/>
  <c r="DL12" i="24" s="1"/>
  <c r="DM12" i="24" s="1"/>
  <c r="DN12" i="24" s="1"/>
  <c r="EA18" i="24"/>
  <c r="FC6" i="24"/>
  <c r="BF9" i="27" s="1"/>
  <c r="BR9" i="27" s="1"/>
  <c r="BS9" i="27" s="1"/>
  <c r="EA20" i="24"/>
  <c r="FJ6" i="24"/>
  <c r="EA1" i="24"/>
  <c r="EA7" i="24"/>
  <c r="EA19" i="24" s="1"/>
  <c r="FI6" i="24"/>
  <c r="ER6" i="24"/>
  <c r="DV7" i="24"/>
  <c r="DV1" i="24"/>
  <c r="FB6" i="24"/>
  <c r="EW6" i="24"/>
  <c r="F14" i="27"/>
  <c r="E11" i="27"/>
  <c r="E12" i="27"/>
  <c r="E13" i="27"/>
  <c r="E10" i="27"/>
  <c r="E14" i="27"/>
  <c r="P14" i="27"/>
  <c r="EF12" i="24"/>
  <c r="EF10" i="24"/>
  <c r="EF8" i="24"/>
  <c r="DX10" i="24"/>
  <c r="DY10" i="24"/>
  <c r="DW10" i="24"/>
  <c r="EA10" i="24"/>
  <c r="DV10" i="24"/>
  <c r="DL6" i="24"/>
  <c r="DM6" i="24" s="1"/>
  <c r="CW6" i="24"/>
  <c r="AZ52" i="24"/>
  <c r="EA8" i="24"/>
  <c r="DW8" i="24"/>
  <c r="AZ67" i="24"/>
  <c r="AZ48" i="24"/>
  <c r="AZ45" i="24"/>
  <c r="DU11" i="24"/>
  <c r="DU12" i="24"/>
  <c r="CQ5" i="24"/>
  <c r="AZ12" i="24"/>
  <c r="AZ8" i="24"/>
  <c r="U18" i="18"/>
  <c r="AJ9" i="18"/>
  <c r="AZ87" i="24"/>
  <c r="T18" i="18"/>
  <c r="U17" i="18"/>
  <c r="U13" i="18"/>
  <c r="T13" i="18"/>
  <c r="AB267" i="27" l="1"/>
  <c r="AB266" i="27"/>
  <c r="AB265" i="27"/>
  <c r="BR221" i="27"/>
  <c r="BS221" i="27" s="1"/>
  <c r="BK2" i="34"/>
  <c r="CX2" i="34"/>
  <c r="CH2" i="34"/>
  <c r="CY2" i="34"/>
  <c r="FI50" i="24"/>
  <c r="FB50" i="24"/>
  <c r="FI43" i="24"/>
  <c r="FB43" i="24"/>
  <c r="FI48" i="24"/>
  <c r="FB48" i="24"/>
  <c r="FI45" i="24"/>
  <c r="FB45" i="24"/>
  <c r="EZ68" i="24"/>
  <c r="FI69" i="24"/>
  <c r="FN69" i="24" s="1"/>
  <c r="EE69" i="24"/>
  <c r="ER69" i="24"/>
  <c r="EU69" i="24" s="1"/>
  <c r="EW69" i="24"/>
  <c r="EZ69" i="24" s="1"/>
  <c r="FB69" i="24"/>
  <c r="FB31" i="24"/>
  <c r="FI31" i="24"/>
  <c r="FI39" i="24"/>
  <c r="FB39" i="24"/>
  <c r="FI53" i="24"/>
  <c r="FB53" i="24"/>
  <c r="FB35" i="24"/>
  <c r="FI35" i="24"/>
  <c r="FI55" i="24"/>
  <c r="FB55" i="24"/>
  <c r="EX42" i="24"/>
  <c r="D226" i="27"/>
  <c r="FB41" i="24"/>
  <c r="FI41" i="24"/>
  <c r="FB72" i="24"/>
  <c r="FI72" i="24"/>
  <c r="FB33" i="24"/>
  <c r="FI33" i="24"/>
  <c r="FI57" i="24"/>
  <c r="FB57" i="24"/>
  <c r="DK13" i="24"/>
  <c r="DL13" i="24" s="1"/>
  <c r="DM13" i="24" s="1"/>
  <c r="DK11" i="24"/>
  <c r="DL11" i="24" s="1"/>
  <c r="DM11" i="24" s="1"/>
  <c r="EA32" i="24"/>
  <c r="EA28" i="24"/>
  <c r="FB29" i="24"/>
  <c r="FI29" i="24"/>
  <c r="EF5" i="24"/>
  <c r="EN6" i="24"/>
  <c r="EP6" i="24" s="1"/>
  <c r="FJ19" i="24"/>
  <c r="FC19" i="24"/>
  <c r="ES32" i="24"/>
  <c r="EX32" i="24"/>
  <c r="FJ20" i="24"/>
  <c r="EA21" i="24"/>
  <c r="FB27" i="24"/>
  <c r="FI27" i="24"/>
  <c r="FI21" i="24"/>
  <c r="FB21" i="24"/>
  <c r="EA26" i="24"/>
  <c r="EA24" i="24"/>
  <c r="ER24" i="24" s="1"/>
  <c r="FD52" i="24"/>
  <c r="EX52" i="24"/>
  <c r="ES47" i="24"/>
  <c r="EX47" i="24"/>
  <c r="FK54" i="24"/>
  <c r="EX54" i="24"/>
  <c r="FK49" i="24"/>
  <c r="EX49" i="24"/>
  <c r="FD38" i="24"/>
  <c r="EX38" i="24"/>
  <c r="FB25" i="24"/>
  <c r="FI25" i="24"/>
  <c r="DK9" i="24"/>
  <c r="DL9" i="24" s="1"/>
  <c r="DM9" i="24" s="1"/>
  <c r="EE19" i="24"/>
  <c r="FI19" i="24"/>
  <c r="EW19" i="24"/>
  <c r="EZ19" i="24" s="1"/>
  <c r="FB19" i="24"/>
  <c r="ER19" i="24"/>
  <c r="EU19" i="24" s="1"/>
  <c r="FK30" i="24"/>
  <c r="EX30" i="24"/>
  <c r="FK38" i="24"/>
  <c r="FB42" i="24"/>
  <c r="FI42" i="24"/>
  <c r="EX44" i="24"/>
  <c r="FK42" i="24"/>
  <c r="FD42" i="24"/>
  <c r="ES42" i="24"/>
  <c r="FK47" i="24"/>
  <c r="FT6" i="24"/>
  <c r="FU6" i="24" s="1"/>
  <c r="FK40" i="24"/>
  <c r="EX34" i="24"/>
  <c r="F221" i="27"/>
  <c r="P221" i="27" s="1"/>
  <c r="Q221" i="27" s="1"/>
  <c r="E221" i="27"/>
  <c r="F223" i="27"/>
  <c r="P223" i="27" s="1"/>
  <c r="Q223" i="27" s="1"/>
  <c r="E223" i="27"/>
  <c r="F219" i="27"/>
  <c r="P219" i="27" s="1"/>
  <c r="E219" i="27"/>
  <c r="F222" i="27"/>
  <c r="P222" i="27" s="1"/>
  <c r="Q222" i="27" s="1"/>
  <c r="E222" i="27"/>
  <c r="EZ6" i="24"/>
  <c r="FK32" i="24"/>
  <c r="ES38" i="24"/>
  <c r="FD40" i="24"/>
  <c r="FD47" i="24"/>
  <c r="BF263" i="27" s="1"/>
  <c r="FK26" i="24"/>
  <c r="EM68" i="24"/>
  <c r="ES40" i="24"/>
  <c r="EX20" i="24"/>
  <c r="AB54" i="27"/>
  <c r="AP54" i="27" s="1"/>
  <c r="ES26" i="24"/>
  <c r="FD49" i="24"/>
  <c r="ES49" i="24"/>
  <c r="FD68" i="24"/>
  <c r="BF220" i="27" s="1"/>
  <c r="DN8" i="24"/>
  <c r="FD18" i="24"/>
  <c r="ES52" i="24"/>
  <c r="FK20" i="24"/>
  <c r="EX18" i="24"/>
  <c r="ES20" i="24"/>
  <c r="FK52" i="24"/>
  <c r="DN6" i="24"/>
  <c r="AB97" i="27"/>
  <c r="AP97" i="27" s="1"/>
  <c r="AC9" i="27"/>
  <c r="AC8" i="27"/>
  <c r="FD32" i="24"/>
  <c r="ES18" i="24"/>
  <c r="EU6" i="24"/>
  <c r="FD24" i="24"/>
  <c r="ES24" i="24"/>
  <c r="EE20" i="24"/>
  <c r="EG20" i="24" s="1"/>
  <c r="EN20" i="24" s="1"/>
  <c r="AP15" i="27"/>
  <c r="AQ8" i="27" s="1"/>
  <c r="FJ18" i="24"/>
  <c r="FC18" i="24"/>
  <c r="FD54" i="24"/>
  <c r="ES54" i="24"/>
  <c r="EW18" i="24"/>
  <c r="FI18" i="24"/>
  <c r="FB18" i="24"/>
  <c r="EE18" i="24"/>
  <c r="EM18" i="24" s="1"/>
  <c r="AP44" i="27"/>
  <c r="AP43" i="27"/>
  <c r="FD30" i="24"/>
  <c r="ES30" i="24"/>
  <c r="AC12" i="27"/>
  <c r="AC15" i="27"/>
  <c r="AC14" i="27"/>
  <c r="AC11" i="27"/>
  <c r="AC13" i="27"/>
  <c r="AC10" i="27"/>
  <c r="FG6" i="24"/>
  <c r="FD28" i="24"/>
  <c r="ES28" i="24"/>
  <c r="EF1" i="24"/>
  <c r="DN10" i="24"/>
  <c r="FK24" i="24"/>
  <c r="FK28" i="24"/>
  <c r="EE7" i="24"/>
  <c r="EM7" i="24" s="1"/>
  <c r="AB92" i="27"/>
  <c r="AB93" i="27"/>
  <c r="AB94" i="27"/>
  <c r="FD10" i="24"/>
  <c r="BF83" i="27" s="1"/>
  <c r="BR83" i="27" s="1"/>
  <c r="BS83" i="27" s="1"/>
  <c r="ES10" i="24"/>
  <c r="AB50" i="27"/>
  <c r="AB51" i="27"/>
  <c r="AB49" i="27"/>
  <c r="FD8" i="24"/>
  <c r="BF47" i="27" s="1"/>
  <c r="BR47" i="27" s="1"/>
  <c r="BS47" i="27" s="1"/>
  <c r="ES8" i="24"/>
  <c r="EA9" i="24"/>
  <c r="AB48" i="27"/>
  <c r="EA11" i="24"/>
  <c r="AB91" i="27"/>
  <c r="AB47" i="27"/>
  <c r="EE8" i="24"/>
  <c r="EF7" i="24" s="1"/>
  <c r="AB90" i="27"/>
  <c r="EE10" i="24"/>
  <c r="EF9" i="24" s="1"/>
  <c r="Q7" i="27"/>
  <c r="EE1" i="24"/>
  <c r="EM6" i="24"/>
  <c r="FI52" i="24"/>
  <c r="FB52" i="24"/>
  <c r="FI24" i="24"/>
  <c r="FB24" i="24"/>
  <c r="FI49" i="24"/>
  <c r="FB49" i="24"/>
  <c r="FB54" i="24"/>
  <c r="FI54" i="24"/>
  <c r="FB68" i="24"/>
  <c r="BF219" i="27" s="1"/>
  <c r="ER68" i="24"/>
  <c r="EU68" i="24" s="1"/>
  <c r="FC20" i="24"/>
  <c r="EW20" i="24"/>
  <c r="FB20" i="24"/>
  <c r="FI20" i="24"/>
  <c r="ER20" i="24"/>
  <c r="FB30" i="24"/>
  <c r="FI30" i="24"/>
  <c r="BF7" i="27"/>
  <c r="Q13" i="27"/>
  <c r="Q14" i="27"/>
  <c r="Q12" i="27"/>
  <c r="Q11" i="27"/>
  <c r="Q10" i="27"/>
  <c r="FI38" i="24"/>
  <c r="FB38" i="24"/>
  <c r="FI47" i="24"/>
  <c r="FB47" i="24"/>
  <c r="BF262" i="27" s="1"/>
  <c r="Q9" i="27"/>
  <c r="FB28" i="24"/>
  <c r="FI28" i="24"/>
  <c r="EA2" i="24"/>
  <c r="FJ7" i="24"/>
  <c r="FC7" i="24"/>
  <c r="ER18" i="24"/>
  <c r="EW7" i="24"/>
  <c r="EZ7" i="24" s="1"/>
  <c r="ER7" i="24"/>
  <c r="EU7" i="24" s="1"/>
  <c r="FB7" i="24"/>
  <c r="DV2" i="24"/>
  <c r="FI7" i="24"/>
  <c r="FB40" i="24"/>
  <c r="FI40" i="24"/>
  <c r="FB26" i="24"/>
  <c r="FI26" i="24"/>
  <c r="FI32" i="24"/>
  <c r="FB32" i="24"/>
  <c r="Q8" i="27"/>
  <c r="ER10" i="24"/>
  <c r="ER8" i="24"/>
  <c r="EW10" i="24"/>
  <c r="EW1" i="24" s="1"/>
  <c r="FI10" i="24"/>
  <c r="FI1" i="24" s="1"/>
  <c r="FB10" i="24"/>
  <c r="FJ10" i="24"/>
  <c r="FJ1" i="24" s="1"/>
  <c r="FC10" i="24"/>
  <c r="FB8" i="24"/>
  <c r="BF46" i="27" s="1"/>
  <c r="FI8" i="24"/>
  <c r="FK10" i="24"/>
  <c r="FJ8" i="24"/>
  <c r="FC8" i="24"/>
  <c r="FK8" i="24"/>
  <c r="EX10" i="24"/>
  <c r="EW8" i="24"/>
  <c r="EX8" i="24"/>
  <c r="DU13" i="24"/>
  <c r="DX12" i="24"/>
  <c r="DY12" i="24"/>
  <c r="DY11" i="24"/>
  <c r="DX11" i="24"/>
  <c r="DV11" i="24"/>
  <c r="DW11" i="24"/>
  <c r="DV12" i="24"/>
  <c r="EA12" i="24"/>
  <c r="DW12" i="24"/>
  <c r="DU9" i="24"/>
  <c r="DW9" i="24" s="1"/>
  <c r="AP267" i="27" l="1"/>
  <c r="AP266" i="27"/>
  <c r="AP265" i="27"/>
  <c r="BL2" i="34"/>
  <c r="CE2" i="34"/>
  <c r="CD2" i="34"/>
  <c r="CM2" i="34"/>
  <c r="BR263" i="27"/>
  <c r="BS263" i="27" s="1"/>
  <c r="BR220" i="27"/>
  <c r="BS220" i="27" s="1"/>
  <c r="BR262" i="27"/>
  <c r="FV6" i="24"/>
  <c r="FP6" i="24"/>
  <c r="FO69" i="24"/>
  <c r="ER1" i="24"/>
  <c r="GM10" i="24"/>
  <c r="GN10" i="24" s="1"/>
  <c r="EG69" i="24"/>
  <c r="EN69" i="24" s="1"/>
  <c r="EP69" i="24" s="1"/>
  <c r="EM69" i="24"/>
  <c r="FG69" i="24"/>
  <c r="FT69" i="24"/>
  <c r="FU69" i="24" s="1"/>
  <c r="BF82" i="27"/>
  <c r="BR82" i="27" s="1"/>
  <c r="FG10" i="24"/>
  <c r="FP10" i="24" s="1"/>
  <c r="FT10" i="24"/>
  <c r="FU10" i="24" s="1"/>
  <c r="BR219" i="27"/>
  <c r="BS219" i="27" s="1"/>
  <c r="EA40" i="24"/>
  <c r="EA44" i="24"/>
  <c r="ER44" i="24" s="1"/>
  <c r="EA42" i="24"/>
  <c r="EA38" i="24"/>
  <c r="ER26" i="24"/>
  <c r="EU26" i="24" s="1"/>
  <c r="EA48" i="24"/>
  <c r="ER28" i="24"/>
  <c r="EU28" i="24" s="1"/>
  <c r="EA50" i="24"/>
  <c r="ER32" i="24"/>
  <c r="EU32" i="24" s="1"/>
  <c r="EA54" i="24"/>
  <c r="FN19" i="24"/>
  <c r="FO19" i="24" s="1"/>
  <c r="EE28" i="24"/>
  <c r="EG28" i="24" s="1"/>
  <c r="EN28" i="24" s="1"/>
  <c r="EP28" i="24" s="1"/>
  <c r="EE24" i="24"/>
  <c r="EG24" i="24" s="1"/>
  <c r="EN24" i="24" s="1"/>
  <c r="EP24" i="24" s="1"/>
  <c r="EA34" i="24"/>
  <c r="EA30" i="24"/>
  <c r="EA52" i="24" s="1"/>
  <c r="EZ20" i="24"/>
  <c r="EA33" i="24"/>
  <c r="EA29" i="24"/>
  <c r="FJ28" i="24"/>
  <c r="FN28" i="24" s="1"/>
  <c r="FC28" i="24"/>
  <c r="FG28" i="24" s="1"/>
  <c r="EW28" i="24"/>
  <c r="EZ28" i="24" s="1"/>
  <c r="DV15" i="24"/>
  <c r="FC24" i="24"/>
  <c r="FG24" i="24" s="1"/>
  <c r="EE26" i="24"/>
  <c r="EG26" i="24" s="1"/>
  <c r="EN26" i="24" s="1"/>
  <c r="EP26" i="24" s="1"/>
  <c r="FJ32" i="24"/>
  <c r="FN32" i="24" s="1"/>
  <c r="FC32" i="24"/>
  <c r="FG32" i="24" s="1"/>
  <c r="EW32" i="24"/>
  <c r="EZ32" i="24" s="1"/>
  <c r="EE32" i="24"/>
  <c r="EG32" i="24" s="1"/>
  <c r="EN32" i="24" s="1"/>
  <c r="EP32" i="24" s="1"/>
  <c r="FJ21" i="24"/>
  <c r="FN21" i="24" s="1"/>
  <c r="FC21" i="24"/>
  <c r="FG21" i="24" s="1"/>
  <c r="FJ24" i="24"/>
  <c r="FN24" i="24" s="1"/>
  <c r="EW24" i="24"/>
  <c r="EZ24" i="24" s="1"/>
  <c r="FC26" i="24"/>
  <c r="FG26" i="24" s="1"/>
  <c r="FJ26" i="24"/>
  <c r="FN26" i="24" s="1"/>
  <c r="EW26" i="24"/>
  <c r="EZ26" i="24" s="1"/>
  <c r="EA27" i="24"/>
  <c r="EA49" i="24" s="1"/>
  <c r="EA25" i="24"/>
  <c r="EA47" i="24" s="1"/>
  <c r="AB264" i="27" s="1"/>
  <c r="FT19" i="24"/>
  <c r="FU19" i="24" s="1"/>
  <c r="FG19" i="24"/>
  <c r="EW21" i="24"/>
  <c r="EZ21" i="24" s="1"/>
  <c r="EE21" i="24"/>
  <c r="EG19" i="24"/>
  <c r="EN19" i="24" s="1"/>
  <c r="EP19" i="24" s="1"/>
  <c r="EM19" i="24"/>
  <c r="ER21" i="24"/>
  <c r="EU21" i="24" s="1"/>
  <c r="ES44" i="24"/>
  <c r="FK44" i="24"/>
  <c r="FD44" i="24"/>
  <c r="FI44" i="24"/>
  <c r="FB44" i="24"/>
  <c r="ES34" i="24"/>
  <c r="FD34" i="24"/>
  <c r="FK34" i="24"/>
  <c r="FI34" i="24"/>
  <c r="FB34" i="24"/>
  <c r="FG20" i="24"/>
  <c r="F226" i="27"/>
  <c r="E226" i="27"/>
  <c r="P226" i="27"/>
  <c r="Q226" i="27" s="1"/>
  <c r="Q219" i="27"/>
  <c r="FG68" i="24"/>
  <c r="FN68" i="24"/>
  <c r="FO68" i="24" s="1"/>
  <c r="BR46" i="27"/>
  <c r="BR7" i="27"/>
  <c r="EG68" i="24"/>
  <c r="EG18" i="24"/>
  <c r="EN18" i="24" s="1"/>
  <c r="EP18" i="24" s="1"/>
  <c r="EZ18" i="24"/>
  <c r="EU20" i="24"/>
  <c r="AB141" i="27"/>
  <c r="AP141" i="27" s="1"/>
  <c r="EU18" i="24"/>
  <c r="EU24" i="24"/>
  <c r="EM20" i="24"/>
  <c r="FG18" i="24"/>
  <c r="FP18" i="24" s="1"/>
  <c r="FN18" i="24"/>
  <c r="AQ15" i="27"/>
  <c r="AQ14" i="27"/>
  <c r="AQ13" i="27"/>
  <c r="AQ12" i="27"/>
  <c r="AQ11" i="27"/>
  <c r="AQ10" i="27"/>
  <c r="AQ7" i="27"/>
  <c r="AQ9" i="27"/>
  <c r="AP50" i="27"/>
  <c r="AP49" i="27"/>
  <c r="FD11" i="24"/>
  <c r="ES11" i="24"/>
  <c r="AP90" i="27"/>
  <c r="AP47" i="27"/>
  <c r="AB55" i="27"/>
  <c r="AC47" i="27" s="1"/>
  <c r="AB135" i="27"/>
  <c r="AP51" i="27"/>
  <c r="EE11" i="24"/>
  <c r="AP91" i="27"/>
  <c r="AB98" i="27"/>
  <c r="AC91" i="27" s="1"/>
  <c r="AP94" i="27"/>
  <c r="AB134" i="27"/>
  <c r="EE12" i="24"/>
  <c r="EF11" i="24" s="1"/>
  <c r="AP93" i="27"/>
  <c r="AB136" i="27"/>
  <c r="AB137" i="27"/>
  <c r="AB138" i="27"/>
  <c r="FD12" i="24"/>
  <c r="BF128" i="27" s="1"/>
  <c r="BR128" i="27" s="1"/>
  <c r="BS128" i="27" s="1"/>
  <c r="ES12" i="24"/>
  <c r="AP48" i="27"/>
  <c r="AP92" i="27"/>
  <c r="BI2" i="22"/>
  <c r="CX2" i="22" s="1"/>
  <c r="EG7" i="24"/>
  <c r="EN7" i="24" s="1"/>
  <c r="FN20" i="24"/>
  <c r="FN7" i="24"/>
  <c r="FO7" i="24" s="1"/>
  <c r="EE2" i="24"/>
  <c r="EF2" i="24"/>
  <c r="FG7" i="24"/>
  <c r="FH7" i="24" s="1"/>
  <c r="FT7" i="24"/>
  <c r="FU7" i="24" s="1"/>
  <c r="ER11" i="24"/>
  <c r="BF48" i="27"/>
  <c r="BR48" i="27" s="1"/>
  <c r="BS48" i="27" s="1"/>
  <c r="FT8" i="24"/>
  <c r="FU8" i="24" s="1"/>
  <c r="ER12" i="24"/>
  <c r="FC1" i="24"/>
  <c r="BF84" i="27"/>
  <c r="BR84" i="27" s="1"/>
  <c r="BS84" i="27" s="1"/>
  <c r="FJ11" i="24"/>
  <c r="FJ2" i="24" s="1"/>
  <c r="FC11" i="24"/>
  <c r="FN8" i="24"/>
  <c r="EW11" i="24"/>
  <c r="FI11" i="24"/>
  <c r="FB11" i="24"/>
  <c r="FN10" i="24"/>
  <c r="FG8" i="24"/>
  <c r="FK11" i="24"/>
  <c r="FK2" i="24" s="1"/>
  <c r="EX12" i="24"/>
  <c r="FK12" i="24"/>
  <c r="FJ12" i="24"/>
  <c r="FC12" i="24"/>
  <c r="FI12" i="24"/>
  <c r="FB12" i="24"/>
  <c r="EG8" i="24"/>
  <c r="EM8" i="24"/>
  <c r="EX11" i="24"/>
  <c r="EG10" i="24"/>
  <c r="EM10" i="24"/>
  <c r="EW12" i="24"/>
  <c r="EP20" i="24"/>
  <c r="DX13" i="24"/>
  <c r="DY13" i="24"/>
  <c r="DY9" i="24"/>
  <c r="DX9" i="24"/>
  <c r="EA13" i="24"/>
  <c r="EU8" i="24"/>
  <c r="EZ8" i="24"/>
  <c r="EU10" i="24"/>
  <c r="EX1" i="24"/>
  <c r="EZ1" i="24" s="1"/>
  <c r="EZ10" i="24"/>
  <c r="DV9" i="24"/>
  <c r="ES1" i="24"/>
  <c r="CN2" i="34" l="1"/>
  <c r="CQ2" i="34"/>
  <c r="CR2" i="34" s="1"/>
  <c r="BS262" i="27"/>
  <c r="EU1" i="24"/>
  <c r="AB271" i="27"/>
  <c r="AP264" i="27"/>
  <c r="EN68" i="24"/>
  <c r="EP68" i="24" s="1"/>
  <c r="BI8" i="34"/>
  <c r="BI3" i="22"/>
  <c r="CH3" i="22" s="1"/>
  <c r="CD3" i="22" s="1"/>
  <c r="BI3" i="34"/>
  <c r="BI4" i="34"/>
  <c r="BI4" i="22"/>
  <c r="FP68" i="24"/>
  <c r="BF226" i="27"/>
  <c r="FJ48" i="24"/>
  <c r="FN48" i="24" s="1"/>
  <c r="FC48" i="24"/>
  <c r="EW48" i="24"/>
  <c r="EZ48" i="24" s="1"/>
  <c r="ER48" i="24"/>
  <c r="EU48" i="24" s="1"/>
  <c r="EE48" i="24"/>
  <c r="FV69" i="24"/>
  <c r="FW69" i="24" s="1"/>
  <c r="FP69" i="24"/>
  <c r="FQ69" i="24"/>
  <c r="FH69" i="24"/>
  <c r="BR223" i="27"/>
  <c r="BS223" i="27" s="1"/>
  <c r="EE44" i="24"/>
  <c r="EM44" i="24" s="1"/>
  <c r="FJ50" i="24"/>
  <c r="FN50" i="24" s="1"/>
  <c r="EA72" i="24"/>
  <c r="FC50" i="24"/>
  <c r="ER50" i="24"/>
  <c r="EU50" i="24" s="1"/>
  <c r="EW50" i="24"/>
  <c r="EZ50" i="24" s="1"/>
  <c r="EE50" i="24"/>
  <c r="FJ33" i="24"/>
  <c r="FN33" i="24" s="1"/>
  <c r="FC33" i="24"/>
  <c r="EW33" i="24"/>
  <c r="EZ33" i="24" s="1"/>
  <c r="EE33" i="24"/>
  <c r="ER33" i="24"/>
  <c r="EU33" i="24" s="1"/>
  <c r="EA45" i="24"/>
  <c r="EA43" i="24"/>
  <c r="EA41" i="24"/>
  <c r="EA39" i="24"/>
  <c r="FJ38" i="24"/>
  <c r="FN38" i="24" s="1"/>
  <c r="FC38" i="24"/>
  <c r="FG38" i="24" s="1"/>
  <c r="FV38" i="24" s="1"/>
  <c r="FW38" i="24" s="1"/>
  <c r="EW38" i="24"/>
  <c r="EZ38" i="24" s="1"/>
  <c r="ER38" i="24"/>
  <c r="EU38" i="24" s="1"/>
  <c r="EE38" i="24"/>
  <c r="FC47" i="24"/>
  <c r="FJ47" i="24"/>
  <c r="FN47" i="24" s="1"/>
  <c r="ER42" i="24"/>
  <c r="EU42" i="24" s="1"/>
  <c r="EE42" i="24"/>
  <c r="FC42" i="24"/>
  <c r="FJ42" i="24"/>
  <c r="FN42" i="24" s="1"/>
  <c r="EW42" i="24"/>
  <c r="EZ42" i="24" s="1"/>
  <c r="FJ44" i="24"/>
  <c r="FN44" i="24" s="1"/>
  <c r="FC44" i="24"/>
  <c r="FG44" i="24" s="1"/>
  <c r="EW44" i="24"/>
  <c r="EZ44" i="24" s="1"/>
  <c r="ER40" i="24"/>
  <c r="EU40" i="24" s="1"/>
  <c r="FJ40" i="24"/>
  <c r="FN40" i="24" s="1"/>
  <c r="FC40" i="24"/>
  <c r="FG40" i="24" s="1"/>
  <c r="EW40" i="24"/>
  <c r="EZ40" i="24" s="1"/>
  <c r="EE40" i="24"/>
  <c r="EM28" i="24"/>
  <c r="FO20" i="24"/>
  <c r="EA55" i="24"/>
  <c r="FJ54" i="24"/>
  <c r="FN54" i="24" s="1"/>
  <c r="FC54" i="24"/>
  <c r="FG54" i="24" s="1"/>
  <c r="ER54" i="24"/>
  <c r="EU54" i="24" s="1"/>
  <c r="EE54" i="24"/>
  <c r="EW54" i="24"/>
  <c r="EZ54" i="24" s="1"/>
  <c r="FO54" i="24" s="1"/>
  <c r="EW47" i="24"/>
  <c r="EZ47" i="24" s="1"/>
  <c r="ER47" i="24"/>
  <c r="EU47" i="24" s="1"/>
  <c r="EA71" i="24"/>
  <c r="FJ49" i="24"/>
  <c r="FN49" i="24" s="1"/>
  <c r="FC49" i="24"/>
  <c r="FG49" i="24" s="1"/>
  <c r="EW49" i="24"/>
  <c r="EZ49" i="24" s="1"/>
  <c r="ER49" i="24"/>
  <c r="EU49" i="24" s="1"/>
  <c r="EE49" i="24"/>
  <c r="FC52" i="24"/>
  <c r="FG52" i="24" s="1"/>
  <c r="FJ52" i="24"/>
  <c r="FN52" i="24" s="1"/>
  <c r="EW52" i="24"/>
  <c r="EZ52" i="24" s="1"/>
  <c r="ER52" i="24"/>
  <c r="EU52" i="24" s="1"/>
  <c r="EE52" i="24"/>
  <c r="ER34" i="24"/>
  <c r="EU34" i="24" s="1"/>
  <c r="EA56" i="24"/>
  <c r="EM26" i="24"/>
  <c r="EM24" i="24"/>
  <c r="EE34" i="24"/>
  <c r="EM34" i="24" s="1"/>
  <c r="FO32" i="24"/>
  <c r="FO28" i="24"/>
  <c r="EA31" i="24"/>
  <c r="EA35" i="24"/>
  <c r="FJ29" i="24"/>
  <c r="FN29" i="24" s="1"/>
  <c r="FC29" i="24"/>
  <c r="EE29" i="24"/>
  <c r="ER29" i="24"/>
  <c r="EU29" i="24" s="1"/>
  <c r="EW29" i="24"/>
  <c r="EZ29" i="24" s="1"/>
  <c r="FJ30" i="24"/>
  <c r="FN30" i="24" s="1"/>
  <c r="FC30" i="24"/>
  <c r="FG30" i="24" s="1"/>
  <c r="EW30" i="24"/>
  <c r="EZ30" i="24" s="1"/>
  <c r="ER30" i="24"/>
  <c r="EU30" i="24" s="1"/>
  <c r="EE30" i="24"/>
  <c r="EU44" i="24"/>
  <c r="FJ34" i="24"/>
  <c r="FN34" i="24" s="1"/>
  <c r="FC34" i="24"/>
  <c r="FG34" i="24" s="1"/>
  <c r="EW34" i="24"/>
  <c r="EZ34" i="24" s="1"/>
  <c r="EM32" i="24"/>
  <c r="FQ21" i="24"/>
  <c r="FH21" i="24"/>
  <c r="FP21" i="24"/>
  <c r="FV21" i="24"/>
  <c r="FW21" i="24" s="1"/>
  <c r="FO21" i="24"/>
  <c r="FQ19" i="24"/>
  <c r="FH19" i="24"/>
  <c r="FV19" i="24"/>
  <c r="FW19" i="24" s="1"/>
  <c r="FP19" i="24"/>
  <c r="EG21" i="24"/>
  <c r="EN21" i="24" s="1"/>
  <c r="EP21" i="24" s="1"/>
  <c r="EM21" i="24"/>
  <c r="FO24" i="24"/>
  <c r="FT21" i="24"/>
  <c r="FU21" i="24" s="1"/>
  <c r="FJ25" i="24"/>
  <c r="FN25" i="24" s="1"/>
  <c r="FC25" i="24"/>
  <c r="EW25" i="24"/>
  <c r="EZ25" i="24" s="1"/>
  <c r="ER25" i="24"/>
  <c r="EU25" i="24" s="1"/>
  <c r="EE25" i="24"/>
  <c r="FJ27" i="24"/>
  <c r="FN27" i="24" s="1"/>
  <c r="FC27" i="24"/>
  <c r="EE27" i="24"/>
  <c r="ER27" i="24"/>
  <c r="EU27" i="24" s="1"/>
  <c r="EW27" i="24"/>
  <c r="EZ27" i="24" s="1"/>
  <c r="FO26" i="24"/>
  <c r="BI8" i="22"/>
  <c r="CX8" i="22" s="1"/>
  <c r="FQ68" i="24"/>
  <c r="FH20" i="24"/>
  <c r="BS7" i="27"/>
  <c r="BR11" i="27"/>
  <c r="BS46" i="27"/>
  <c r="BR50" i="27"/>
  <c r="BS82" i="27"/>
  <c r="BR86" i="27"/>
  <c r="AC93" i="27"/>
  <c r="AC90" i="27"/>
  <c r="AC94" i="27"/>
  <c r="AC51" i="27"/>
  <c r="AC92" i="27"/>
  <c r="FV18" i="24"/>
  <c r="FW18" i="24" s="1"/>
  <c r="FH18" i="24"/>
  <c r="FQ18" i="24"/>
  <c r="FO18" i="24"/>
  <c r="CH2" i="22"/>
  <c r="CE2" i="22" s="1"/>
  <c r="BK2" i="22"/>
  <c r="BL2" i="22" s="1"/>
  <c r="CY2" i="22"/>
  <c r="FJ17" i="24"/>
  <c r="FC17" i="24"/>
  <c r="AB142" i="27"/>
  <c r="AP137" i="27"/>
  <c r="AP136" i="27"/>
  <c r="AC49" i="27"/>
  <c r="AP55" i="27"/>
  <c r="AQ92" i="27" s="1"/>
  <c r="AP138" i="27"/>
  <c r="FB16" i="24"/>
  <c r="FI16" i="24"/>
  <c r="EE16" i="24"/>
  <c r="EM16" i="24" s="1"/>
  <c r="AP134" i="27"/>
  <c r="AP98" i="27"/>
  <c r="AC55" i="27"/>
  <c r="AC53" i="27"/>
  <c r="AC52" i="27"/>
  <c r="AC54" i="27"/>
  <c r="ES17" i="24"/>
  <c r="FD17" i="24"/>
  <c r="EX17" i="24"/>
  <c r="FK17" i="24"/>
  <c r="AP135" i="27"/>
  <c r="FK16" i="24"/>
  <c r="FD16" i="24"/>
  <c r="ES16" i="24"/>
  <c r="AC48" i="27"/>
  <c r="AC50" i="27"/>
  <c r="FD9" i="24"/>
  <c r="ES9" i="24"/>
  <c r="EE9" i="24"/>
  <c r="FJ16" i="24"/>
  <c r="FC16" i="24"/>
  <c r="AC98" i="27"/>
  <c r="AC96" i="27"/>
  <c r="AC95" i="27"/>
  <c r="AC97" i="27"/>
  <c r="FP7" i="24"/>
  <c r="FV7" i="24"/>
  <c r="FW7" i="24" s="1"/>
  <c r="FQ7" i="24"/>
  <c r="FV28" i="24"/>
  <c r="FW28" i="24" s="1"/>
  <c r="FT28" i="24"/>
  <c r="FU28" i="24" s="1"/>
  <c r="FC2" i="24"/>
  <c r="FT11" i="24"/>
  <c r="FU11" i="24" s="1"/>
  <c r="BF129" i="27"/>
  <c r="BR129" i="27" s="1"/>
  <c r="BS129" i="27" s="1"/>
  <c r="FT12" i="24"/>
  <c r="FU12" i="24" s="1"/>
  <c r="FO8" i="24"/>
  <c r="FG12" i="24"/>
  <c r="BF127" i="27"/>
  <c r="ER9" i="24"/>
  <c r="FV8" i="24"/>
  <c r="FW8" i="24" s="1"/>
  <c r="BF53" i="27"/>
  <c r="FH8" i="24"/>
  <c r="FQ8" i="24"/>
  <c r="FP8" i="24"/>
  <c r="EX16" i="24"/>
  <c r="FO10" i="24"/>
  <c r="FV10" i="24"/>
  <c r="FW10" i="24" s="1"/>
  <c r="FH10" i="24"/>
  <c r="BF89" i="27"/>
  <c r="FQ10" i="24"/>
  <c r="EW16" i="24"/>
  <c r="ER16" i="24"/>
  <c r="FN12" i="24"/>
  <c r="FJ13" i="24"/>
  <c r="FC13" i="24"/>
  <c r="FJ9" i="24"/>
  <c r="FC9" i="24"/>
  <c r="FN11" i="24"/>
  <c r="FI9" i="24"/>
  <c r="FB9" i="24"/>
  <c r="FG11" i="24"/>
  <c r="FK9" i="24"/>
  <c r="EN8" i="24"/>
  <c r="EP8" i="24" s="1"/>
  <c r="CX3" i="22"/>
  <c r="EW9" i="24"/>
  <c r="CY3" i="22"/>
  <c r="EN10" i="24"/>
  <c r="FT26" i="24"/>
  <c r="FU26" i="24" s="1"/>
  <c r="EX9" i="24"/>
  <c r="FN6" i="24"/>
  <c r="FO6" i="24" s="1"/>
  <c r="EG12" i="24"/>
  <c r="BI5" i="34" s="1"/>
  <c r="EM12" i="24"/>
  <c r="EY4" i="24"/>
  <c r="EP7" i="24"/>
  <c r="BK3" i="22"/>
  <c r="BL3" i="22" s="1"/>
  <c r="EZ12" i="24"/>
  <c r="EU12" i="24"/>
  <c r="EZ4" i="24"/>
  <c r="EW4" i="24"/>
  <c r="EX4" i="24"/>
  <c r="CE3" i="22"/>
  <c r="CM3" i="22"/>
  <c r="CN3" i="22" s="1"/>
  <c r="AC265" i="27" l="1"/>
  <c r="AC266" i="27"/>
  <c r="AC267" i="27"/>
  <c r="AC268" i="27"/>
  <c r="AC271" i="27"/>
  <c r="AC269" i="27"/>
  <c r="AC270" i="27"/>
  <c r="AC263" i="27"/>
  <c r="AP271" i="27"/>
  <c r="AQ264" i="27"/>
  <c r="CH8" i="34"/>
  <c r="BK8" i="34"/>
  <c r="BL8" i="34" s="1"/>
  <c r="CX8" i="34"/>
  <c r="CY8" i="34"/>
  <c r="CY3" i="34"/>
  <c r="BK3" i="34"/>
  <c r="CX3" i="34"/>
  <c r="BJ3" i="34"/>
  <c r="CH3" i="34"/>
  <c r="CH4" i="34"/>
  <c r="CY4" i="34"/>
  <c r="CX4" i="34"/>
  <c r="BK4" i="34"/>
  <c r="BL4" i="34" s="1"/>
  <c r="BJ4" i="34"/>
  <c r="ET4" i="24"/>
  <c r="ES4" i="24"/>
  <c r="AC264" i="27"/>
  <c r="CH4" i="22"/>
  <c r="BG222" i="27"/>
  <c r="BG225" i="27"/>
  <c r="BG226" i="27"/>
  <c r="BG224" i="27"/>
  <c r="BG223" i="27"/>
  <c r="BG221" i="27"/>
  <c r="BG219" i="27"/>
  <c r="BG220" i="27"/>
  <c r="FG47" i="24"/>
  <c r="BF269" i="27" s="1"/>
  <c r="BF264" i="27"/>
  <c r="CX5" i="34"/>
  <c r="BI6" i="34"/>
  <c r="BK5" i="34"/>
  <c r="BL5" i="34" s="1"/>
  <c r="CH5" i="34"/>
  <c r="CY5" i="34"/>
  <c r="FO50" i="24"/>
  <c r="EG44" i="24"/>
  <c r="EN44" i="24" s="1"/>
  <c r="EP44" i="24" s="1"/>
  <c r="FJ39" i="24"/>
  <c r="FN39" i="24" s="1"/>
  <c r="FC39" i="24"/>
  <c r="EE39" i="24"/>
  <c r="ER39" i="24"/>
  <c r="EU39" i="24" s="1"/>
  <c r="EW39" i="24"/>
  <c r="EZ39" i="24" s="1"/>
  <c r="EG48" i="24"/>
  <c r="EN48" i="24" s="1"/>
  <c r="EP48" i="24" s="1"/>
  <c r="EM48" i="24"/>
  <c r="FC43" i="24"/>
  <c r="FJ43" i="24"/>
  <c r="FN43" i="24" s="1"/>
  <c r="EE43" i="24"/>
  <c r="EW43" i="24"/>
  <c r="EZ43" i="24" s="1"/>
  <c r="ER43" i="24"/>
  <c r="EU43" i="24" s="1"/>
  <c r="FG48" i="24"/>
  <c r="FT48" i="24"/>
  <c r="FU48" i="24" s="1"/>
  <c r="FO48" i="24"/>
  <c r="FT44" i="24"/>
  <c r="FU44" i="24" s="1"/>
  <c r="FJ31" i="24"/>
  <c r="FN31" i="24" s="1"/>
  <c r="FC31" i="24"/>
  <c r="ER31" i="24"/>
  <c r="EU31" i="24" s="1"/>
  <c r="EW31" i="24"/>
  <c r="EZ31" i="24" s="1"/>
  <c r="EE31" i="24"/>
  <c r="FT50" i="24"/>
  <c r="FU50" i="24" s="1"/>
  <c r="FG50" i="24"/>
  <c r="FJ41" i="24"/>
  <c r="FN41" i="24" s="1"/>
  <c r="FC41" i="24"/>
  <c r="EW41" i="24"/>
  <c r="EZ41" i="24" s="1"/>
  <c r="EE41" i="24"/>
  <c r="ER41" i="24"/>
  <c r="EU41" i="24" s="1"/>
  <c r="FC72" i="24"/>
  <c r="FJ72" i="24"/>
  <c r="FN72" i="24" s="1"/>
  <c r="EE72" i="24"/>
  <c r="EW72" i="24"/>
  <c r="EZ72" i="24" s="1"/>
  <c r="ER72" i="24"/>
  <c r="EU72" i="24" s="1"/>
  <c r="EG33" i="24"/>
  <c r="EN33" i="24" s="1"/>
  <c r="EP33" i="24" s="1"/>
  <c r="EM33" i="24"/>
  <c r="FG33" i="24"/>
  <c r="FT33" i="24"/>
  <c r="FU33" i="24" s="1"/>
  <c r="FJ35" i="24"/>
  <c r="FN35" i="24" s="1"/>
  <c r="FC35" i="24"/>
  <c r="ER35" i="24"/>
  <c r="EU35" i="24" s="1"/>
  <c r="EW35" i="24"/>
  <c r="EZ35" i="24" s="1"/>
  <c r="EE35" i="24"/>
  <c r="FO33" i="24"/>
  <c r="FJ71" i="24"/>
  <c r="FN71" i="24" s="1"/>
  <c r="FC71" i="24"/>
  <c r="ER71" i="24"/>
  <c r="EU71" i="24" s="1"/>
  <c r="EE71" i="24"/>
  <c r="EW71" i="24"/>
  <c r="EZ71" i="24" s="1"/>
  <c r="BR224" i="27"/>
  <c r="BS224" i="27" s="1"/>
  <c r="FJ55" i="24"/>
  <c r="FN55" i="24" s="1"/>
  <c r="FC55" i="24"/>
  <c r="ER55" i="24"/>
  <c r="EU55" i="24" s="1"/>
  <c r="EE55" i="24"/>
  <c r="EW55" i="24"/>
  <c r="EZ55" i="24" s="1"/>
  <c r="EG50" i="24"/>
  <c r="EN50" i="24" s="1"/>
  <c r="EP50" i="24" s="1"/>
  <c r="EM50" i="24"/>
  <c r="FC45" i="24"/>
  <c r="FJ45" i="24"/>
  <c r="FN45" i="24" s="1"/>
  <c r="ER45" i="24"/>
  <c r="EU45" i="24" s="1"/>
  <c r="EW45" i="24"/>
  <c r="EZ45" i="24" s="1"/>
  <c r="EE45" i="24"/>
  <c r="FJ56" i="24"/>
  <c r="FN56" i="24" s="1"/>
  <c r="FC56" i="24"/>
  <c r="EE56" i="24"/>
  <c r="EW56" i="24"/>
  <c r="EZ56" i="24" s="1"/>
  <c r="ER56" i="24"/>
  <c r="EU56" i="24" s="1"/>
  <c r="CY8" i="22"/>
  <c r="FO44" i="24"/>
  <c r="FO42" i="24"/>
  <c r="FO40" i="24"/>
  <c r="EG38" i="24"/>
  <c r="EN38" i="24" s="1"/>
  <c r="EP38" i="24" s="1"/>
  <c r="EM38" i="24"/>
  <c r="FO47" i="24"/>
  <c r="FO38" i="24"/>
  <c r="FT38" i="24"/>
  <c r="FU38" i="24" s="1"/>
  <c r="FT42" i="24"/>
  <c r="FU42" i="24" s="1"/>
  <c r="FG42" i="24"/>
  <c r="EM47" i="24"/>
  <c r="EG47" i="24"/>
  <c r="EN47" i="24" s="1"/>
  <c r="EP47" i="24" s="1"/>
  <c r="EG40" i="24"/>
  <c r="EN40" i="24" s="1"/>
  <c r="EP40" i="24" s="1"/>
  <c r="EM40" i="24"/>
  <c r="EG42" i="24"/>
  <c r="EN42" i="24" s="1"/>
  <c r="EP42" i="24" s="1"/>
  <c r="EM42" i="24"/>
  <c r="FO49" i="24"/>
  <c r="EM52" i="24"/>
  <c r="EG52" i="24"/>
  <c r="EN52" i="24" s="1"/>
  <c r="EP52" i="24" s="1"/>
  <c r="EG54" i="24"/>
  <c r="BI7" i="34" s="1"/>
  <c r="EM54" i="24"/>
  <c r="BK8" i="22"/>
  <c r="BL8" i="22" s="1"/>
  <c r="FO52" i="24"/>
  <c r="EA57" i="24"/>
  <c r="EA53" i="24"/>
  <c r="EM49" i="24"/>
  <c r="EG49" i="24"/>
  <c r="EN49" i="24" s="1"/>
  <c r="EP49" i="24" s="1"/>
  <c r="EG34" i="24"/>
  <c r="EN34" i="24" s="1"/>
  <c r="EP34" i="24" s="1"/>
  <c r="FO25" i="24"/>
  <c r="FT34" i="24"/>
  <c r="FU34" i="24" s="1"/>
  <c r="FO34" i="24"/>
  <c r="FT29" i="24"/>
  <c r="FU29" i="24" s="1"/>
  <c r="FG29" i="24"/>
  <c r="FO29" i="24"/>
  <c r="FO30" i="24"/>
  <c r="FO27" i="24"/>
  <c r="EG29" i="24"/>
  <c r="EN29" i="24" s="1"/>
  <c r="EP29" i="24" s="1"/>
  <c r="EM29" i="24"/>
  <c r="EM30" i="24"/>
  <c r="EG30" i="24"/>
  <c r="EN30" i="24" s="1"/>
  <c r="EP30" i="24" s="1"/>
  <c r="EM27" i="24"/>
  <c r="EG27" i="24"/>
  <c r="EN27" i="24" s="1"/>
  <c r="EP27" i="24" s="1"/>
  <c r="FT27" i="24"/>
  <c r="FU27" i="24" s="1"/>
  <c r="FG27" i="24"/>
  <c r="FP27" i="24" s="1"/>
  <c r="EG25" i="24"/>
  <c r="EN25" i="24" s="1"/>
  <c r="EP25" i="24" s="1"/>
  <c r="EM25" i="24"/>
  <c r="FG25" i="24"/>
  <c r="FT25" i="24"/>
  <c r="FU25" i="24" s="1"/>
  <c r="CH8" i="22"/>
  <c r="CM8" i="22" s="1"/>
  <c r="CQ8" i="22" s="1"/>
  <c r="CR8" i="22" s="1"/>
  <c r="FH44" i="24"/>
  <c r="FQ44" i="24"/>
  <c r="FV44" i="24"/>
  <c r="FW44" i="24" s="1"/>
  <c r="FP44" i="24"/>
  <c r="FH34" i="24"/>
  <c r="FV34" i="24"/>
  <c r="FW34" i="24" s="1"/>
  <c r="FQ34" i="24"/>
  <c r="FP34" i="24"/>
  <c r="CD2" i="22"/>
  <c r="BR127" i="27"/>
  <c r="BS50" i="27"/>
  <c r="BR51" i="27"/>
  <c r="BS51" i="27" s="1"/>
  <c r="AC135" i="27"/>
  <c r="BS11" i="27"/>
  <c r="BR12" i="27"/>
  <c r="BS12" i="27" s="1"/>
  <c r="BS86" i="27"/>
  <c r="BR87" i="27"/>
  <c r="BS87" i="27" s="1"/>
  <c r="AC137" i="27"/>
  <c r="AC134" i="27"/>
  <c r="CM2" i="22"/>
  <c r="CQ2" i="22" s="1"/>
  <c r="CR2" i="22" s="1"/>
  <c r="AC136" i="27"/>
  <c r="AC138" i="27"/>
  <c r="AQ96" i="27"/>
  <c r="AQ98" i="27"/>
  <c r="AQ97" i="27"/>
  <c r="AQ93" i="27"/>
  <c r="AQ51" i="27"/>
  <c r="FT16" i="24"/>
  <c r="FU16" i="24" s="1"/>
  <c r="FG16" i="24"/>
  <c r="FV16" i="24" s="1"/>
  <c r="FW16" i="24" s="1"/>
  <c r="AQ91" i="27"/>
  <c r="AQ50" i="27"/>
  <c r="EW17" i="24"/>
  <c r="EZ17" i="24" s="1"/>
  <c r="ER17" i="24"/>
  <c r="EU17" i="24" s="1"/>
  <c r="FI17" i="24"/>
  <c r="FN17" i="24" s="1"/>
  <c r="FB17" i="24"/>
  <c r="EE17" i="24"/>
  <c r="AQ94" i="27"/>
  <c r="AQ49" i="27"/>
  <c r="GA10" i="24"/>
  <c r="GB10" i="24" s="1"/>
  <c r="GI10" i="24"/>
  <c r="GJ10" i="24" s="1"/>
  <c r="GE10" i="24"/>
  <c r="GF10" i="24" s="1"/>
  <c r="FN16" i="24"/>
  <c r="AQ48" i="27"/>
  <c r="AC142" i="27"/>
  <c r="AC140" i="27"/>
  <c r="AC139" i="27"/>
  <c r="AC141" i="27"/>
  <c r="AQ90" i="27"/>
  <c r="AQ47" i="27"/>
  <c r="AP142" i="27"/>
  <c r="AQ137" i="27" s="1"/>
  <c r="AQ52" i="27"/>
  <c r="AQ55" i="27"/>
  <c r="AQ53" i="27"/>
  <c r="AQ95" i="27"/>
  <c r="AQ54" i="27"/>
  <c r="FP28" i="24"/>
  <c r="CY4" i="22"/>
  <c r="EZ16" i="24"/>
  <c r="FP38" i="24"/>
  <c r="FQ38" i="24"/>
  <c r="FH38" i="24"/>
  <c r="BK4" i="22"/>
  <c r="BL4" i="22" s="1"/>
  <c r="CX4" i="22"/>
  <c r="FV24" i="24"/>
  <c r="FW24" i="24" s="1"/>
  <c r="FT24" i="24"/>
  <c r="FU24" i="24" s="1"/>
  <c r="FV26" i="24"/>
  <c r="FW26" i="24" s="1"/>
  <c r="FV30" i="24"/>
  <c r="FW30" i="24" s="1"/>
  <c r="FT30" i="24"/>
  <c r="FU30" i="24" s="1"/>
  <c r="FV49" i="24"/>
  <c r="FW49" i="24" s="1"/>
  <c r="FT49" i="24"/>
  <c r="FU49" i="24" s="1"/>
  <c r="FV40" i="24"/>
  <c r="FW40" i="24" s="1"/>
  <c r="FT40" i="24"/>
  <c r="FU40" i="24" s="1"/>
  <c r="FV47" i="24"/>
  <c r="FW47" i="24" s="1"/>
  <c r="FT47" i="24"/>
  <c r="FU47" i="24" s="1"/>
  <c r="FV54" i="24"/>
  <c r="FW54" i="24" s="1"/>
  <c r="FT54" i="24"/>
  <c r="FU54" i="24" s="1"/>
  <c r="FV68" i="24"/>
  <c r="FW68" i="24" s="1"/>
  <c r="FT68" i="24"/>
  <c r="FU68" i="24" s="1"/>
  <c r="FV32" i="24"/>
  <c r="FW32" i="24" s="1"/>
  <c r="FT32" i="24"/>
  <c r="FU32" i="24" s="1"/>
  <c r="FV20" i="24"/>
  <c r="FW20" i="24" s="1"/>
  <c r="FT20" i="24"/>
  <c r="FU20" i="24" s="1"/>
  <c r="FT18" i="24"/>
  <c r="FU18" i="24" s="1"/>
  <c r="FT9" i="24"/>
  <c r="FU9" i="24" s="1"/>
  <c r="FV52" i="24"/>
  <c r="FW52" i="24" s="1"/>
  <c r="FT52" i="24"/>
  <c r="FU52" i="24" s="1"/>
  <c r="FQ28" i="24"/>
  <c r="FH28" i="24"/>
  <c r="BG89" i="27"/>
  <c r="BG86" i="27"/>
  <c r="BG88" i="27"/>
  <c r="BG87" i="27"/>
  <c r="BG85" i="27"/>
  <c r="BG83" i="27"/>
  <c r="BG82" i="27"/>
  <c r="BG84" i="27"/>
  <c r="BG53" i="27"/>
  <c r="BG50" i="27"/>
  <c r="BG51" i="27"/>
  <c r="BG52" i="27"/>
  <c r="BG49" i="27"/>
  <c r="BG48" i="27"/>
  <c r="BG46" i="27"/>
  <c r="BG47" i="27"/>
  <c r="FO12" i="24"/>
  <c r="FH6" i="24"/>
  <c r="FW6" i="24"/>
  <c r="BF14" i="27"/>
  <c r="FQ6" i="24"/>
  <c r="FV12" i="24"/>
  <c r="FW12" i="24" s="1"/>
  <c r="BF134" i="27"/>
  <c r="FH12" i="24"/>
  <c r="FQ12" i="24"/>
  <c r="FP12" i="24"/>
  <c r="FV11" i="24"/>
  <c r="FW11" i="24" s="1"/>
  <c r="FQ11" i="24"/>
  <c r="FP11" i="24"/>
  <c r="EU16" i="24"/>
  <c r="FG9" i="24"/>
  <c r="EG16" i="24"/>
  <c r="EN16" i="24" s="1"/>
  <c r="FN9" i="24"/>
  <c r="BI5" i="22"/>
  <c r="CX5" i="22" s="1"/>
  <c r="EP10" i="24"/>
  <c r="EN12" i="24"/>
  <c r="EG9" i="24"/>
  <c r="EN9" i="24" s="1"/>
  <c r="EM9" i="24"/>
  <c r="FB1" i="24"/>
  <c r="FK1" i="24"/>
  <c r="FN1" i="24" s="1"/>
  <c r="FD1" i="24"/>
  <c r="EZ9" i="24"/>
  <c r="EU9" i="24"/>
  <c r="EU4" i="24"/>
  <c r="ER4" i="24"/>
  <c r="DV13" i="24"/>
  <c r="ER2" i="24"/>
  <c r="DW13" i="24"/>
  <c r="CD4" i="22"/>
  <c r="CM4" i="22"/>
  <c r="CE4" i="22"/>
  <c r="CQ3" i="22"/>
  <c r="CR3" i="22" s="1"/>
  <c r="AQ265" i="27" l="1"/>
  <c r="AQ266" i="27"/>
  <c r="AQ267" i="27"/>
  <c r="AQ269" i="27"/>
  <c r="AQ270" i="27"/>
  <c r="AQ268" i="27"/>
  <c r="AQ271" i="27"/>
  <c r="AQ263" i="27"/>
  <c r="CM8" i="34"/>
  <c r="CD8" i="34"/>
  <c r="CE8" i="34"/>
  <c r="BL3" i="34"/>
  <c r="CH11" i="34"/>
  <c r="CF11" i="34" s="1"/>
  <c r="CM3" i="34"/>
  <c r="CD3" i="34"/>
  <c r="CE3" i="34"/>
  <c r="CD4" i="34"/>
  <c r="CM4" i="34"/>
  <c r="CE4" i="34"/>
  <c r="BG262" i="27"/>
  <c r="BG263" i="27"/>
  <c r="BG269" i="27"/>
  <c r="BG266" i="27"/>
  <c r="BG267" i="27"/>
  <c r="BG268" i="27"/>
  <c r="BG265" i="27"/>
  <c r="BR264" i="27"/>
  <c r="BG264" i="27"/>
  <c r="BJ2" i="34"/>
  <c r="BJ9" i="34"/>
  <c r="BK6" i="34"/>
  <c r="BL6" i="34" s="1"/>
  <c r="BL10" i="34" s="1"/>
  <c r="CX6" i="34"/>
  <c r="CX10" i="34" s="1"/>
  <c r="BJ6" i="34"/>
  <c r="CY6" i="34"/>
  <c r="CY10" i="34" s="1"/>
  <c r="CH6" i="34"/>
  <c r="CM5" i="34"/>
  <c r="CD5" i="34"/>
  <c r="CE5" i="34"/>
  <c r="BJ5" i="34"/>
  <c r="FO35" i="24"/>
  <c r="BJ8" i="34"/>
  <c r="BI11" i="34"/>
  <c r="CH7" i="34"/>
  <c r="BJ7" i="34"/>
  <c r="BK7" i="34"/>
  <c r="BL7" i="34" s="1"/>
  <c r="CY7" i="34"/>
  <c r="CX7" i="34"/>
  <c r="FO55" i="24"/>
  <c r="FT55" i="24"/>
  <c r="FU55" i="24" s="1"/>
  <c r="FG55" i="24"/>
  <c r="FO45" i="24"/>
  <c r="FT45" i="24"/>
  <c r="FU45" i="24" s="1"/>
  <c r="FG45" i="24"/>
  <c r="FH33" i="24"/>
  <c r="FV33" i="24"/>
  <c r="FW33" i="24" s="1"/>
  <c r="FQ33" i="24"/>
  <c r="FP33" i="24"/>
  <c r="EG31" i="24"/>
  <c r="EN31" i="24" s="1"/>
  <c r="EP31" i="24" s="1"/>
  <c r="EM31" i="24"/>
  <c r="EG71" i="24"/>
  <c r="EN71" i="24" s="1"/>
  <c r="EP71" i="24" s="1"/>
  <c r="EM71" i="24"/>
  <c r="EG72" i="24"/>
  <c r="EN72" i="24" s="1"/>
  <c r="EP72" i="24" s="1"/>
  <c r="EM72" i="24"/>
  <c r="FT56" i="24"/>
  <c r="FU56" i="24" s="1"/>
  <c r="FG56" i="24"/>
  <c r="FO71" i="24"/>
  <c r="FO72" i="24"/>
  <c r="FO31" i="24"/>
  <c r="FG41" i="24"/>
  <c r="FT41" i="24"/>
  <c r="FU41" i="24" s="1"/>
  <c r="EG43" i="24"/>
  <c r="EN43" i="24" s="1"/>
  <c r="EP43" i="24" s="1"/>
  <c r="EM43" i="24"/>
  <c r="FO43" i="24"/>
  <c r="FG43" i="24"/>
  <c r="FT43" i="24"/>
  <c r="FU43" i="24" s="1"/>
  <c r="EG56" i="24"/>
  <c r="EN56" i="24" s="1"/>
  <c r="EP56" i="24" s="1"/>
  <c r="EM56" i="24"/>
  <c r="FG71" i="24"/>
  <c r="FT71" i="24"/>
  <c r="FU71" i="24" s="1"/>
  <c r="FO56" i="24"/>
  <c r="FG72" i="24"/>
  <c r="FT72" i="24"/>
  <c r="FU72" i="24" s="1"/>
  <c r="EG39" i="24"/>
  <c r="EN39" i="24" s="1"/>
  <c r="EP39" i="24" s="1"/>
  <c r="EM39" i="24"/>
  <c r="FT35" i="24"/>
  <c r="FU35" i="24" s="1"/>
  <c r="FG35" i="24"/>
  <c r="FV50" i="24"/>
  <c r="FW50" i="24" s="1"/>
  <c r="FH50" i="24"/>
  <c r="FP50" i="24"/>
  <c r="FQ50" i="24"/>
  <c r="BR225" i="27"/>
  <c r="BS225" i="27" s="1"/>
  <c r="FJ53" i="24"/>
  <c r="FN53" i="24" s="1"/>
  <c r="FC53" i="24"/>
  <c r="EW53" i="24"/>
  <c r="EZ53" i="24" s="1"/>
  <c r="EE53" i="24"/>
  <c r="ER53" i="24"/>
  <c r="EU53" i="24" s="1"/>
  <c r="FT31" i="24"/>
  <c r="FU31" i="24" s="1"/>
  <c r="FG31" i="24"/>
  <c r="EG55" i="24"/>
  <c r="EN55" i="24" s="1"/>
  <c r="EP55" i="24" s="1"/>
  <c r="EM55" i="24"/>
  <c r="EG35" i="24"/>
  <c r="EN35" i="24" s="1"/>
  <c r="EP35" i="24" s="1"/>
  <c r="EM35" i="24"/>
  <c r="FT39" i="24"/>
  <c r="FU39" i="24" s="1"/>
  <c r="FG39" i="24"/>
  <c r="EG45" i="24"/>
  <c r="EN45" i="24" s="1"/>
  <c r="EP45" i="24" s="1"/>
  <c r="EM45" i="24"/>
  <c r="FQ48" i="24"/>
  <c r="FV48" i="24"/>
  <c r="FW48" i="24" s="1"/>
  <c r="FP48" i="24"/>
  <c r="FH48" i="24"/>
  <c r="FO41" i="24"/>
  <c r="FC57" i="24"/>
  <c r="FJ57" i="24"/>
  <c r="FN57" i="24" s="1"/>
  <c r="EW57" i="24"/>
  <c r="EZ57" i="24" s="1"/>
  <c r="ER57" i="24"/>
  <c r="EU57" i="24" s="1"/>
  <c r="EE57" i="24"/>
  <c r="EG41" i="24"/>
  <c r="EN41" i="24" s="1"/>
  <c r="EP41" i="24" s="1"/>
  <c r="EM41" i="24"/>
  <c r="FO39" i="24"/>
  <c r="FV42" i="24"/>
  <c r="FW42" i="24" s="1"/>
  <c r="FQ42" i="24"/>
  <c r="FH42" i="24"/>
  <c r="FP42" i="24"/>
  <c r="EN54" i="24"/>
  <c r="EP54" i="24" s="1"/>
  <c r="BI7" i="22"/>
  <c r="CN8" i="22"/>
  <c r="CD8" i="22"/>
  <c r="CE8" i="22"/>
  <c r="FH29" i="24"/>
  <c r="FV29" i="24"/>
  <c r="FW29" i="24" s="1"/>
  <c r="FP29" i="24"/>
  <c r="FQ29" i="24"/>
  <c r="FQ25" i="24"/>
  <c r="FH25" i="24"/>
  <c r="FV25" i="24"/>
  <c r="FW25" i="24" s="1"/>
  <c r="FP25" i="24"/>
  <c r="FH27" i="24"/>
  <c r="FQ27" i="24"/>
  <c r="FV27" i="24"/>
  <c r="FW27" i="24" s="1"/>
  <c r="BR13" i="27"/>
  <c r="BS13" i="27" s="1"/>
  <c r="BR88" i="27"/>
  <c r="BS88" i="27" s="1"/>
  <c r="AQ138" i="27"/>
  <c r="CN2" i="22"/>
  <c r="BR52" i="27"/>
  <c r="BS52" i="27" s="1"/>
  <c r="BS127" i="27"/>
  <c r="BR131" i="27"/>
  <c r="BG127" i="27"/>
  <c r="AQ136" i="27"/>
  <c r="AQ134" i="27"/>
  <c r="FO16" i="24"/>
  <c r="EM17" i="24"/>
  <c r="EG17" i="24"/>
  <c r="EN17" i="24" s="1"/>
  <c r="EP17" i="24" s="1"/>
  <c r="FG17" i="24"/>
  <c r="FT17" i="24"/>
  <c r="FU17" i="24" s="1"/>
  <c r="FO17" i="24"/>
  <c r="AQ139" i="27"/>
  <c r="AQ140" i="27"/>
  <c r="AQ142" i="27"/>
  <c r="AQ141" i="27"/>
  <c r="FD13" i="24"/>
  <c r="ES13" i="24"/>
  <c r="ER13" i="24"/>
  <c r="EE13" i="24"/>
  <c r="FO9" i="24"/>
  <c r="AQ135" i="27"/>
  <c r="FH40" i="24"/>
  <c r="FP40" i="24"/>
  <c r="BK5" i="22"/>
  <c r="BL5" i="22" s="1"/>
  <c r="FQ49" i="24"/>
  <c r="FQ30" i="24"/>
  <c r="CY5" i="22"/>
  <c r="FH30" i="24"/>
  <c r="FH49" i="24"/>
  <c r="FP54" i="24"/>
  <c r="FH26" i="24"/>
  <c r="FQ16" i="24"/>
  <c r="FQ24" i="24"/>
  <c r="FQ40" i="24"/>
  <c r="FP30" i="24"/>
  <c r="FQ20" i="24"/>
  <c r="FP20" i="24"/>
  <c r="FP26" i="24"/>
  <c r="FQ26" i="24"/>
  <c r="FP24" i="24"/>
  <c r="FP16" i="24"/>
  <c r="FH24" i="24"/>
  <c r="FQ54" i="24"/>
  <c r="FH54" i="24"/>
  <c r="FP47" i="24"/>
  <c r="FQ47" i="24"/>
  <c r="FP52" i="24"/>
  <c r="FH47" i="24"/>
  <c r="FQ52" i="24"/>
  <c r="FH52" i="24"/>
  <c r="FP32" i="24"/>
  <c r="FQ32" i="24"/>
  <c r="FH32" i="24"/>
  <c r="FH68" i="24"/>
  <c r="BI6" i="22"/>
  <c r="FP49" i="24"/>
  <c r="FH16" i="24"/>
  <c r="BG14" i="27"/>
  <c r="BG10" i="27"/>
  <c r="BG11" i="27"/>
  <c r="BG12" i="27"/>
  <c r="BG13" i="27"/>
  <c r="BG8" i="27"/>
  <c r="BG9" i="27"/>
  <c r="BG7" i="27"/>
  <c r="BG134" i="27"/>
  <c r="BG131" i="27"/>
  <c r="BG132" i="27"/>
  <c r="BG133" i="27"/>
  <c r="BG130" i="27"/>
  <c r="BG129" i="27"/>
  <c r="BG128" i="27"/>
  <c r="FV9" i="24"/>
  <c r="FW9" i="24" s="1"/>
  <c r="FH9" i="24"/>
  <c r="FQ9" i="24"/>
  <c r="FP9" i="24"/>
  <c r="EW13" i="24"/>
  <c r="FI13" i="24"/>
  <c r="FB13" i="24"/>
  <c r="FK13" i="24"/>
  <c r="CH5" i="22"/>
  <c r="CE5" i="22" s="1"/>
  <c r="EP12" i="24"/>
  <c r="EP9" i="24"/>
  <c r="EP16" i="24"/>
  <c r="FG1" i="24"/>
  <c r="EX13" i="24"/>
  <c r="EG11" i="24"/>
  <c r="EN11" i="24" s="1"/>
  <c r="EP11" i="24" s="1"/>
  <c r="EM11" i="24"/>
  <c r="CN4" i="22"/>
  <c r="DG4" i="22"/>
  <c r="ES2" i="24"/>
  <c r="EU11" i="24"/>
  <c r="FH11" i="24" s="1"/>
  <c r="EX2" i="24"/>
  <c r="EZ11" i="24"/>
  <c r="FO11" i="24" s="1"/>
  <c r="EW2" i="24"/>
  <c r="CQ4" i="22"/>
  <c r="CR4" i="22" s="1"/>
  <c r="CQ8" i="34" l="1"/>
  <c r="CR8" i="34" s="1"/>
  <c r="CN8" i="34"/>
  <c r="CN3" i="34"/>
  <c r="CQ3" i="34"/>
  <c r="CR3" i="34" s="1"/>
  <c r="CN4" i="34"/>
  <c r="CQ4" i="34"/>
  <c r="CR4" i="34" s="1"/>
  <c r="DG4" i="34"/>
  <c r="BR266" i="27"/>
  <c r="BS264" i="27"/>
  <c r="CD6" i="34"/>
  <c r="CM6" i="34"/>
  <c r="CE6" i="34"/>
  <c r="CN5" i="34"/>
  <c r="CQ5" i="34"/>
  <c r="CR5" i="34" s="1"/>
  <c r="CD7" i="34"/>
  <c r="CM7" i="34"/>
  <c r="CE7" i="34"/>
  <c r="CY11" i="34"/>
  <c r="FH55" i="24"/>
  <c r="BK10" i="34"/>
  <c r="CH10" i="34"/>
  <c r="CF10" i="34" s="1"/>
  <c r="CE11" i="34"/>
  <c r="CE10" i="34"/>
  <c r="FQ31" i="24"/>
  <c r="FH31" i="24"/>
  <c r="FV31" i="24"/>
  <c r="FW31" i="24" s="1"/>
  <c r="FP31" i="24"/>
  <c r="FH41" i="24"/>
  <c r="FP41" i="24"/>
  <c r="FV41" i="24"/>
  <c r="FW41" i="24" s="1"/>
  <c r="FQ41" i="24"/>
  <c r="FT53" i="24"/>
  <c r="FU53" i="24" s="1"/>
  <c r="FG53" i="24"/>
  <c r="FT57" i="24"/>
  <c r="FU57" i="24" s="1"/>
  <c r="FG57" i="24"/>
  <c r="EG53" i="24"/>
  <c r="EN53" i="24" s="1"/>
  <c r="EP53" i="24" s="1"/>
  <c r="EM53" i="24"/>
  <c r="FH45" i="24"/>
  <c r="FP45" i="24"/>
  <c r="FQ45" i="24"/>
  <c r="FV45" i="24"/>
  <c r="FW45" i="24" s="1"/>
  <c r="FO53" i="24"/>
  <c r="FH56" i="24"/>
  <c r="FV56" i="24"/>
  <c r="FW56" i="24" s="1"/>
  <c r="FQ56" i="24"/>
  <c r="FP56" i="24"/>
  <c r="FP43" i="24"/>
  <c r="FH43" i="24"/>
  <c r="FV43" i="24"/>
  <c r="FW43" i="24" s="1"/>
  <c r="FQ43" i="24"/>
  <c r="FV35" i="24"/>
  <c r="FW35" i="24" s="1"/>
  <c r="FH35" i="24"/>
  <c r="FP35" i="24"/>
  <c r="FQ35" i="24"/>
  <c r="FH72" i="24"/>
  <c r="FQ72" i="24"/>
  <c r="FP72" i="24"/>
  <c r="FV72" i="24"/>
  <c r="FW72" i="24" s="1"/>
  <c r="FQ71" i="24"/>
  <c r="FP71" i="24"/>
  <c r="FV71" i="24"/>
  <c r="FW71" i="24" s="1"/>
  <c r="FH71" i="24"/>
  <c r="FV55" i="24"/>
  <c r="FW55" i="24" s="1"/>
  <c r="FQ55" i="24"/>
  <c r="FP55" i="24"/>
  <c r="EG57" i="24"/>
  <c r="EN57" i="24" s="1"/>
  <c r="EP57" i="24" s="1"/>
  <c r="EM57" i="24"/>
  <c r="FO57" i="24"/>
  <c r="FH39" i="24"/>
  <c r="FP39" i="24"/>
  <c r="FV39" i="24"/>
  <c r="FW39" i="24" s="1"/>
  <c r="FQ39" i="24"/>
  <c r="BI11" i="22"/>
  <c r="CY7" i="22"/>
  <c r="BK7" i="22"/>
  <c r="BL7" i="22" s="1"/>
  <c r="CX7" i="22"/>
  <c r="CH7" i="22"/>
  <c r="BS131" i="27"/>
  <c r="BR132" i="27"/>
  <c r="BS132" i="27" s="1"/>
  <c r="FQ17" i="24"/>
  <c r="FP17" i="24"/>
  <c r="FV17" i="24"/>
  <c r="FW17" i="24" s="1"/>
  <c r="FH17" i="24"/>
  <c r="CH6" i="22"/>
  <c r="CD6" i="22" s="1"/>
  <c r="FT13" i="24"/>
  <c r="FU13" i="24" s="1"/>
  <c r="BJ4" i="22"/>
  <c r="BJ3" i="22"/>
  <c r="BK6" i="22"/>
  <c r="BL6" i="22" s="1"/>
  <c r="BJ9" i="22"/>
  <c r="CY6" i="22"/>
  <c r="BJ2" i="22"/>
  <c r="BJ7" i="22"/>
  <c r="BJ8" i="22"/>
  <c r="CX6" i="22"/>
  <c r="BJ5" i="22"/>
  <c r="BJ6" i="22"/>
  <c r="FQ1" i="24"/>
  <c r="FP1" i="24"/>
  <c r="CD5" i="22"/>
  <c r="FG13" i="24"/>
  <c r="FN13" i="24"/>
  <c r="CM5" i="22"/>
  <c r="CN5" i="22" s="1"/>
  <c r="FD4" i="24"/>
  <c r="FB4" i="24"/>
  <c r="FG4" i="24"/>
  <c r="FF4" i="24"/>
  <c r="FC4" i="24"/>
  <c r="FE4" i="24"/>
  <c r="FM4" i="24"/>
  <c r="FK4" i="24"/>
  <c r="FJ4" i="24"/>
  <c r="FI4" i="24"/>
  <c r="FN4" i="24"/>
  <c r="FL4" i="24"/>
  <c r="FD2" i="24"/>
  <c r="FB2" i="24"/>
  <c r="EG13" i="24"/>
  <c r="EN13" i="24" s="1"/>
  <c r="EM13" i="24"/>
  <c r="EU13" i="24"/>
  <c r="EZ2" i="24"/>
  <c r="EZ13" i="24"/>
  <c r="EU2" i="24"/>
  <c r="BS266" i="27" l="1"/>
  <c r="BR267" i="27"/>
  <c r="BS267" i="27" s="1"/>
  <c r="BR268" i="27"/>
  <c r="BS268" i="27" s="1"/>
  <c r="CN6" i="34"/>
  <c r="CQ6" i="34"/>
  <c r="CR6" i="34" s="1"/>
  <c r="CN7" i="34"/>
  <c r="CQ7" i="34"/>
  <c r="CR7" i="34" s="1"/>
  <c r="FP57" i="24"/>
  <c r="FV57" i="24"/>
  <c r="FW57" i="24" s="1"/>
  <c r="FH57" i="24"/>
  <c r="FQ57" i="24"/>
  <c r="FP53" i="24"/>
  <c r="FH53" i="24"/>
  <c r="FQ53" i="24"/>
  <c r="FV53" i="24"/>
  <c r="FW53" i="24" s="1"/>
  <c r="CY10" i="22"/>
  <c r="CX10" i="22"/>
  <c r="BL10" i="22"/>
  <c r="CD7" i="22"/>
  <c r="CM7" i="22"/>
  <c r="CE7" i="22"/>
  <c r="BR133" i="27"/>
  <c r="BS133" i="27" s="1"/>
  <c r="CH10" i="22"/>
  <c r="CF10" i="22" s="1"/>
  <c r="CM6" i="22"/>
  <c r="CN6" i="22" s="1"/>
  <c r="CH11" i="22"/>
  <c r="CF11" i="22" s="1"/>
  <c r="CE6" i="22"/>
  <c r="CY11" i="22"/>
  <c r="CQ5" i="22"/>
  <c r="CR5" i="22" s="1"/>
  <c r="BK10" i="22"/>
  <c r="FO13" i="24"/>
  <c r="FV13" i="24"/>
  <c r="FW13" i="24" s="1"/>
  <c r="FH13" i="24"/>
  <c r="FQ13" i="24"/>
  <c r="FP13" i="24"/>
  <c r="EP13" i="24"/>
  <c r="FI2" i="24"/>
  <c r="FN2" i="24" s="1"/>
  <c r="FG2" i="24"/>
  <c r="ET5" i="24"/>
  <c r="EY5" i="24"/>
  <c r="EX5" i="24"/>
  <c r="ER5" i="24"/>
  <c r="EW5" i="24"/>
  <c r="EU5" i="24"/>
  <c r="ES5" i="24"/>
  <c r="EZ5" i="24"/>
  <c r="CE10" i="22" l="1"/>
  <c r="CQ6" i="22"/>
  <c r="CR6" i="22" s="1"/>
  <c r="CN7" i="22"/>
  <c r="CQ7" i="22"/>
  <c r="CR7" i="22" s="1"/>
  <c r="CE11" i="22"/>
  <c r="FQ2" i="24"/>
  <c r="FP2" i="24"/>
  <c r="FC5" i="24"/>
  <c r="FB5" i="24"/>
  <c r="FG5" i="24"/>
  <c r="FD5" i="24"/>
  <c r="FF5" i="24"/>
  <c r="FE5" i="24"/>
  <c r="FI5" i="24"/>
  <c r="FM5" i="24" l="1"/>
  <c r="FK5" i="24"/>
  <c r="FJ5" i="24"/>
  <c r="FN5" i="24"/>
  <c r="FL5" i="24"/>
  <c r="BZ10" i="22" l="1"/>
  <c r="BY4" i="22" s="1"/>
  <c r="CA2" i="22"/>
  <c r="CB2" i="22" s="1"/>
  <c r="CB10" i="22" l="1"/>
  <c r="CC2" i="22"/>
  <c r="CC10" i="22" s="1"/>
  <c r="CA10" i="22"/>
  <c r="BY2" i="22"/>
  <c r="BY8" i="22"/>
  <c r="BY7" i="22"/>
  <c r="BY10" i="22"/>
  <c r="BY5" i="22"/>
  <c r="BY3" i="22"/>
  <c r="BY6" i="22"/>
  <c r="BY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tc={4D2BEC0C-6EF1-43DE-9358-5C72DFA0952B}</author>
  </authors>
  <commentList>
    <comment ref="J7" authorId="0" shapeId="0" xr:uid="{A9CA6103-E029-4A23-9FEA-ADC3B498335C}">
      <text>
        <r>
          <rPr>
            <b/>
            <sz val="9"/>
            <color indexed="81"/>
            <rFont val="Tahoma"/>
            <family val="2"/>
          </rPr>
          <t xml:space="preserve">
</t>
        </r>
      </text>
    </comment>
    <comment ref="AC7" authorId="1" shapeId="0" xr:uid="{4D2BEC0C-6EF1-43DE-9358-5C72DFA0952B}">
      <text>
        <t>[Threaded comment]
Your version of Excel allows you to read this threaded comment; however, any edits to it will get removed if the file is opened in a newer version of Excel. Learn more: https://go.microsoft.com/fwlink/?linkid=870924
Comment:
    B1.2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tc={3B1A59DE-4E19-45F6-A79D-7B2371D059DB}</author>
  </authors>
  <commentList>
    <comment ref="J7" authorId="0" shapeId="0" xr:uid="{3594EF74-EAE7-4C56-84CC-7B155ADE98C8}">
      <text>
        <r>
          <rPr>
            <b/>
            <sz val="9"/>
            <color indexed="81"/>
            <rFont val="Tahoma"/>
            <family val="2"/>
          </rPr>
          <t xml:space="preserve">
</t>
        </r>
      </text>
    </comment>
    <comment ref="AC7" authorId="1" shapeId="0" xr:uid="{3B1A59DE-4E19-45F6-A79D-7B2371D059DB}">
      <text>
        <t>[Threaded comment]
Your version of Excel allows you to read this threaded comment; however, any edits to it will get removed if the file is opened in a newer version of Excel. Learn more: https://go.microsoft.com/fwlink/?linkid=870924
Comment:
    B1.2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tc={F7062EF5-4859-4543-9D10-D625134162B5}</author>
  </authors>
  <commentList>
    <comment ref="J7" authorId="0" shapeId="0" xr:uid="{E1F92EC3-B4EA-4930-85C6-A4708D606E93}">
      <text>
        <r>
          <rPr>
            <b/>
            <sz val="9"/>
            <color indexed="81"/>
            <rFont val="Tahoma"/>
            <family val="2"/>
          </rPr>
          <t xml:space="preserve">
</t>
        </r>
      </text>
    </comment>
    <comment ref="AC7" authorId="1" shapeId="0" xr:uid="{F7062EF5-4859-4543-9D10-D625134162B5}">
      <text>
        <t>[Threaded comment]
Your version of Excel allows you to read this threaded comment; however, any edits to it will get removed if the file is opened in a newer version of Excel. Learn more: https://go.microsoft.com/fwlink/?linkid=870924
Comment:
    B1.2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7" authorId="0" shapeId="0" xr:uid="{C8DAF722-9168-4350-9592-5CD4F858F503}">
      <text>
        <r>
          <rPr>
            <b/>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tc={E5B21380-B344-465F-9A22-6D283F722CC0}</author>
    <author>tc={430DC1FF-2453-4B1B-8AE8-44BDF87209F2}</author>
    <author>tc={79A89EE3-AF88-46AC-B889-AA8B4ECC1797}</author>
    <author>tc={5F0FD47F-2154-4DA6-BDD9-2877E7411820}</author>
    <author>tc={E35E6E2C-7F5D-4315-8162-631466E0D1A9}</author>
  </authors>
  <commentList>
    <comment ref="BB15" authorId="0" shapeId="0" xr:uid="{E5B21380-B344-465F-9A22-6D283F722CC0}">
      <text>
        <t>[Threaded comment]
Your version of Excel allows you to read this threaded comment; however, any edits to it will get removed if the file is opened in a newer version of Excel. Learn more: https://go.microsoft.com/fwlink/?linkid=870924
Comment:
    Xem xét gán NBV như thế nào khi phát sinh hàng PL?</t>
      </text>
    </comment>
    <comment ref="BS41" authorId="1" shapeId="0" xr:uid="{430DC1FF-2453-4B1B-8AE8-44BDF87209F2}">
      <text>
        <t>[Threaded comment]
Your version of Excel allows you to read this threaded comment; however, any edits to it will get removed if the file is opened in a newer version of Excel. Learn more: https://go.microsoft.com/fwlink/?linkid=870924
Comment:
    Chạy máy YPET</t>
      </text>
    </comment>
    <comment ref="BB194" authorId="2" shapeId="0" xr:uid="{79A89EE3-AF88-46AC-B889-AA8B4ECC1797}">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16" authorId="3" shapeId="0" xr:uid="{5F0FD47F-2154-4DA6-BDD9-2877E7411820}">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37" authorId="4" shapeId="0" xr:uid="{E35E6E2C-7F5D-4315-8162-631466E0D1A9}">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tc={C77DB523-6F65-4A20-A7DB-DD4BBCD1FFE6}</author>
    <author>tc={29864EA2-964D-4363-AF28-96016D8974CE}</author>
    <author>tc={3237BE16-5289-479B-B08D-272D9E9E05CC}</author>
    <author>tc={0DAFFAED-BD02-49D6-B993-AFDB0D57D1CF}</author>
    <author>tc={3EB92E0F-B739-4DBD-95F6-0BC7719FBB75}</author>
    <author>tc={F6785D6C-B37F-45D5-8E7A-9DE24362549D}</author>
    <author>tc={206B1CCA-0348-4478-B46D-9EDAC8CE93D4}</author>
    <author>tc={8E0C2894-89FE-4DCA-B78F-554FBCC2E685}</author>
    <author>tc={80984C3F-DE23-4AC3-BD50-A280DAB4A358}</author>
    <author>tc={F1AB0345-3FCE-4BCD-8B94-CFD66B2D1D05}</author>
    <author>tc={06274102-4C9F-44BC-A03E-1725A919625F}</author>
    <author>tc={84CA91DE-484D-4CD7-94D3-CF1A0D50BAB3}</author>
    <author>tc={9D775091-5872-410D-93B1-C0D492ED8A0F}</author>
    <author>tc={3C977F00-FD30-4E6F-8462-C8C9AD265A75}</author>
    <author>tc={E599F224-C854-4D57-A02D-3DEFED07C03A}</author>
    <author>tc={7A22EE61-D2C1-4682-912B-F6CD7F242581}</author>
    <author>tc={707D2225-F01B-43F8-BD7A-2F662AE30DF4}</author>
  </authors>
  <commentList>
    <comment ref="DW4" authorId="0" shapeId="0" xr:uid="{C77DB523-6F65-4A20-A7DB-DD4BBCD1FFE6}">
      <text>
        <t>[Threaded comment]
Your version of Excel allows you to read this threaded comment; however, any edits to it will get removed if the file is opened in a newer version of Excel. Learn more: https://go.microsoft.com/fwlink/?linkid=870924
Comment:
    CF Băm +CF Rữa</t>
      </text>
    </comment>
    <comment ref="EL4" authorId="1" shapeId="0" xr:uid="{29864EA2-964D-4363-AF28-96016D8974CE}">
      <text>
        <t>[Threaded comment]
Your version of Excel allows you to read this threaded comment; however, any edits to it will get removed if the file is opened in a newer version of Excel. Learn more: https://go.microsoft.com/fwlink/?linkid=870924
Comment:
    Theo dữ liệu tính GT KH _Ngành PET</t>
      </text>
    </comment>
    <comment ref="EL6" authorId="2" shapeId="0" xr:uid="{3237BE16-5289-479B-B08D-272D9E9E05CC}">
      <text>
        <t>[Threaded comment]
Your version of Excel allows you to read this threaded comment; however, any edits to it will get removed if the file is opened in a newer version of Excel. Learn more: https://go.microsoft.com/fwlink/?linkid=870924
Comment:
    Theo thống kê và báo cáo chi phí tấn thực tế-Cả 3 ngành</t>
      </text>
    </comment>
    <comment ref="BB15" authorId="3" shapeId="0" xr:uid="{0DAFFAED-BD02-49D6-B993-AFDB0D57D1CF}">
      <text>
        <t>[Threaded comment]
Your version of Excel allows you to read this threaded comment; however, any edits to it will get removed if the file is opened in a newer version of Excel. Learn more: https://go.microsoft.com/fwlink/?linkid=870924
Comment:
    Xem xét gán NBV như thế nào khi phát sinh hàng PL?</t>
      </text>
    </comment>
    <comment ref="DP43" authorId="4" shapeId="0" xr:uid="{3EB92E0F-B739-4DBD-95F6-0BC7719FBB75}">
      <text>
        <t>[Threaded comment]
Your version of Excel allows you to read this threaded comment; however, any edits to it will get removed if the file is opened in a newer version of Excel. Learn more: https://go.microsoft.com/fwlink/?linkid=870924
Comment:
    Chạy máy YPET</t>
      </text>
    </comment>
    <comment ref="DP54" authorId="5" shapeId="0" xr:uid="{F6785D6C-B37F-45D5-8E7A-9DE24362549D}">
      <text>
        <t>[Threaded comment]
Your version of Excel allows you to read this threaded comment; however, any edits to it will get removed if the file is opened in a newer version of Excel. Learn more: https://go.microsoft.com/fwlink/?linkid=870924
Comment:
    Chạy máy YPET</t>
      </text>
    </comment>
    <comment ref="BB211" authorId="6" shapeId="0" xr:uid="{206B1CCA-0348-4478-B46D-9EDAC8CE93D4}">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26" authorId="7" shapeId="0" xr:uid="{8E0C2894-89FE-4DCA-B78F-554FBCC2E685}">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42" authorId="8" shapeId="0" xr:uid="{80984C3F-DE23-4AC3-BD50-A280DAB4A358}">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58" authorId="9" shapeId="0" xr:uid="{F1AB0345-3FCE-4BCD-8B94-CFD66B2D1D05}">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75" authorId="10" shapeId="0" xr:uid="{06274102-4C9F-44BC-A03E-1725A919625F}">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06" authorId="11" shapeId="0" xr:uid="{84CA91DE-484D-4CD7-94D3-CF1A0D50BAB3}">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21" authorId="12" shapeId="0" xr:uid="{9D775091-5872-410D-93B1-C0D492ED8A0F}">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38" authorId="13" shapeId="0" xr:uid="{3C977F00-FD30-4E6F-8462-C8C9AD265A75}">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55" authorId="14" shapeId="0" xr:uid="{E599F224-C854-4D57-A02D-3DEFED07C03A}">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72" authorId="15" shapeId="0" xr:uid="{7A22EE61-D2C1-4682-912B-F6CD7F242581}">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88" authorId="16" shapeId="0" xr:uid="{707D2225-F01B-43F8-BD7A-2F662AE30DF4}">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tc={2351B217-16D6-458A-A3F1-D5A5C3699F68}</author>
    <author>tc={0F0D71B3-E502-4A1F-A7AA-9BE82400AE3D}</author>
    <author>tc={22A75346-901B-47DE-B494-684903A66BF5}</author>
    <author>tc={8B267FAD-B48F-41D1-9A82-729677361E5C}</author>
    <author>tc={827C0572-0322-4994-80FF-FF017C88DA5D}</author>
  </authors>
  <commentList>
    <comment ref="AN1" authorId="0" shapeId="0" xr:uid="{2351B217-16D6-458A-A3F1-D5A5C3699F68}">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S1" authorId="1" shapeId="0" xr:uid="{0F0D71B3-E502-4A1F-A7AA-9BE82400AE3D}">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AM2" authorId="2" shapeId="0" xr:uid="{22A75346-901B-47DE-B494-684903A66BF5}">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AN2" authorId="3" shapeId="0" xr:uid="{8B267FAD-B48F-41D1-9A82-729677361E5C}">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AN3" authorId="4" shapeId="0" xr:uid="{827C0572-0322-4994-80FF-FF017C88DA5D}">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tc={1493C8D0-A250-46C4-9457-4EA7145ABFE2}</author>
    <author>tc={458C66BD-50EC-47DE-8066-12A96B654326}</author>
    <author>tc={2800527E-DC1B-468C-A936-17AB9194AE63}</author>
    <author>tc={0B4A1F93-539A-41A0-A224-6ED109BF0B6B}</author>
    <author>tc={D17812C2-A378-4EE2-AF61-AB21C7203EFE}</author>
    <author>tc={91F8E64B-2205-4701-9785-22CA779F957E}</author>
    <author>tc={5453A160-B375-4183-BFEE-AB9DFBB4377C}</author>
    <author>tc={9C7C3CD2-BACD-472D-9D1F-837518BDE8E3}</author>
    <author>tc={ED591AF0-7D03-4A65-9157-9570A500D0BB}</author>
    <author>tc={86AC77DA-84D7-4B9A-9937-DF6B8D663730}</author>
    <author>tc={C3AAA03B-EA29-49AF-93B4-828D34704635}</author>
    <author>tc={48C32081-3A72-474D-B6BF-CF6EF74346FF}</author>
    <author>tc={297E2849-6910-492E-B6C4-88E62DFAAD8D}</author>
  </authors>
  <commentList>
    <comment ref="X1" authorId="0" shapeId="0" xr:uid="{1493C8D0-A250-46C4-9457-4EA7145ABFE2}">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458C66BD-50EC-47DE-8066-12A96B654326}">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2800527E-DC1B-468C-A936-17AB9194AE63}">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0B4A1F93-539A-41A0-A224-6ED109BF0B6B}">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BI2" authorId="4" shapeId="0" xr:uid="{D17812C2-A378-4EE2-AF61-AB21C7203EFE}">
      <text>
        <t>[Threaded comment]
Your version of Excel allows you to read this threaded comment; however, any edits to it will get removed if the file is opened in a newer version of Excel. Learn more: https://go.microsoft.com/fwlink/?linkid=870924
Comment:
    Giá tháng 5 :silde 1033</t>
      </text>
    </comment>
    <comment ref="CJ2" authorId="5" shapeId="0" xr:uid="{91F8E64B-2205-4701-9785-22CA779F957E}">
      <text>
        <t>[Threaded comment]
Your version of Excel allows you to read this threaded comment; however, any edits to it will get removed if the file is opened in a newer version of Excel. Learn more: https://go.microsoft.com/fwlink/?linkid=870924
Comment:
    Giá file KTQT</t>
      </text>
    </comment>
    <comment ref="X3" authorId="6" shapeId="0" xr:uid="{5453A160-B375-4183-BFEE-AB9DFBB4377C}">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BI4" authorId="7" shapeId="0" xr:uid="{9C7C3CD2-BACD-472D-9D1F-837518BDE8E3}">
      <text>
        <t>[Threaded comment]
Your version of Excel allows you to read this threaded comment; however, any edits to it will get removed if the file is opened in a newer version of Excel. Learn more: https://go.microsoft.com/fwlink/?linkid=870924
Comment:
    Giá tháng 5 : Slide 5: W01g 1012 diff 60</t>
      </text>
    </comment>
    <comment ref="BN5" authorId="8" shapeId="0" xr:uid="{ED591AF0-7D03-4A65-9157-9570A500D0BB}">
      <text>
        <t>[Threaded comment]
Your version of Excel allows you to read this threaded comment; however, any edits to it will get removed if the file is opened in a newer version of Excel. Learn more: https://go.microsoft.com/fwlink/?linkid=870924
Comment:
    IV 0.76</t>
      </text>
    </comment>
    <comment ref="AM10" authorId="9" shapeId="0" xr:uid="{86AC77DA-84D7-4B9A-9937-DF6B8D663730}">
      <text>
        <t>[Threaded comment]
Your version of Excel allows you to read this threaded comment; however, any edits to it will get removed if the file is opened in a newer version of Excel. Learn more: https://go.microsoft.com/fwlink/?linkid=870924
Comment:
    Hảo cần Check lại -BOM hiện đang dùng vảy Mix B6.2~89%, B5~11%
=&gt; Dư B6.2</t>
      </text>
    </comment>
    <comment ref="BZ10" authorId="10" shapeId="0" xr:uid="{C3AAA03B-EA29-49AF-93B4-828D34704635}">
      <text>
        <t>[Threaded comment]
Your version of Excel allows you to read this threaded comment; however, any edits to it will get removed if the file is opened in a newer version of Excel. Learn more: https://go.microsoft.com/fwlink/?linkid=870924
Comment:
    Check %LNST</t>
      </text>
    </comment>
    <comment ref="BI12" authorId="11" shapeId="0" xr:uid="{48C32081-3A72-474D-B6BF-CF6EF74346FF}">
      <text>
        <t>[Threaded comment]
Your version of Excel allows you to read this threaded comment; however, any edits to it will get removed if the file is opened in a newer version of Excel. Learn more: https://go.microsoft.com/fwlink/?linkid=870924
Comment:
    Báo cáo giá thành tháng 3, Tâm bq3 tháng ~998USD/tấn; CPQLBHTC~144USD/T</t>
      </text>
    </comment>
    <comment ref="BC37" authorId="12" shapeId="0" xr:uid="{297E2849-6910-492E-B6C4-88E62DFAAD8D}">
      <text>
        <t>[Threaded comment]
Your version of Excel allows you to read this threaded comment; however, any edits to it will get removed if the file is opened in a newer version of Excel. Learn more: https://go.microsoft.com/fwlink/?linkid=870924
Comment:
    Vảy nắp HD ép</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tc={8064FE97-EACF-4A1A-A887-8277724DDE80}</author>
    <author>tc={208E280E-34F7-4484-B208-96087272936A}</author>
    <author>tc={5E4BB06F-AD84-4B69-837E-2CCA1979EFBC}</author>
    <author>tc={B75802E9-32F9-46BC-9F43-2FE126EA830D}</author>
    <author>tc={B1143B78-52A1-4669-910E-53464A311404}</author>
    <author>tc={C42B29F1-E519-48BA-B032-CA74611B25CD}</author>
    <author>tc={08D87B1E-89B9-41EF-8622-A7AA2BCF630E}</author>
    <author>tc={3FC1D0C0-6DAD-467E-913A-CC340CDA1F46}</author>
    <author>tc={4417D15B-3C57-4530-B02F-907BE69A1C02}</author>
    <author>tc={92186AF8-2746-4175-A1A7-325336B5025E}</author>
    <author>tc={E95CB83B-3CCE-48CD-A68E-924378EC76D0}</author>
    <author>tc={D119A275-4B0D-48AD-93B3-B07A95724303}</author>
    <author>tc={F44EB845-9841-48D8-AD82-9EC37B8393C8}</author>
    <author>tc={072C248E-E00D-4648-9B53-C7DBA7D950B8}</author>
    <author>tc={E3F4553C-3D88-487A-9062-4FACD74E7DAE}</author>
    <author>tc={1D5958A4-8879-40CB-B7AC-5CBB2BBEACA0}</author>
  </authors>
  <commentList>
    <comment ref="X1" authorId="0" shapeId="0" xr:uid="{8064FE97-EACF-4A1A-A887-8277724DDE80}">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208E280E-34F7-4484-B208-96087272936A}">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AK1" authorId="2" shapeId="0" xr:uid="{5E4BB06F-AD84-4B69-837E-2CCA1979EFBC}">
      <text>
        <t>[Threaded comment]
Your version of Excel allows you to read this threaded comment; however, any edits to it will get removed if the file is opened in a newer version of Excel. Learn more: https://go.microsoft.com/fwlink/?linkid=870924
Comment:
    Nếu mua ngoài vậy cân bằng SL dư cảu B1 ? Hay dùng nhiều B1 làm giá thành tăng</t>
      </text>
    </comment>
    <comment ref="W2" authorId="3" shapeId="0" xr:uid="{B75802E9-32F9-46BC-9F43-2FE126EA830D}">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B1143B78-52A1-4669-910E-53464A311404}">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BI2" authorId="5" shapeId="0" xr:uid="{C42B29F1-E519-48BA-B032-CA74611B25CD}">
      <text>
        <t>[Threaded comment]
Your version of Excel allows you to read this threaded comment; however, any edits to it will get removed if the file is opened in a newer version of Excel. Learn more: https://go.microsoft.com/fwlink/?linkid=870924
Comment:
    Giá tháng 5 :silde 1033</t>
      </text>
    </comment>
    <comment ref="CP2" authorId="6" shapeId="0" xr:uid="{08D87B1E-89B9-41EF-8622-A7AA2BCF630E}">
      <text>
        <t>[Threaded comment]
Your version of Excel allows you to read this threaded comment; however, any edits to it will get removed if the file is opened in a newer version of Excel. Learn more: https://go.microsoft.com/fwlink/?linkid=870924
Comment:
    Giá file KTQT</t>
      </text>
    </comment>
    <comment ref="DN2" authorId="7" shapeId="0" xr:uid="{3FC1D0C0-6DAD-467E-913A-CC340CDA1F46}">
      <text>
        <t>[Threaded comment]
Your version of Excel allows you to read this threaded comment; however, any edits to it will get removed if the file is opened in a newer version of Excel. Learn more: https://go.microsoft.com/fwlink/?linkid=870924
Comment:
    Giá file KTQT</t>
      </text>
    </comment>
    <comment ref="X3" authorId="8" shapeId="0" xr:uid="{4417D15B-3C57-4530-B02F-907BE69A1C02}">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BI4" authorId="9" shapeId="0" xr:uid="{92186AF8-2746-4175-A1A7-325336B5025E}">
      <text>
        <t>[Threaded comment]
Your version of Excel allows you to read this threaded comment; however, any edits to it will get removed if the file is opened in a newer version of Excel. Learn more: https://go.microsoft.com/fwlink/?linkid=870924
Comment:
    Trình giá giá tháng 5 : Slide 7: W01g 1012 diff 45</t>
      </text>
    </comment>
    <comment ref="BN5" authorId="10" shapeId="0" xr:uid="{E95CB83B-3CCE-48CD-A68E-924378EC76D0}">
      <text>
        <t>[Threaded comment]
Your version of Excel allows you to read this threaded comment; however, any edits to it will get removed if the file is opened in a newer version of Excel. Learn more: https://go.microsoft.com/fwlink/?linkid=870924
Comment:
    IV 0.76</t>
      </text>
    </comment>
    <comment ref="CZ5" authorId="11" shapeId="0" xr:uid="{D119A275-4B0D-48AD-93B3-B07A95724303}">
      <text>
        <t>[Threaded comment]
Your version of Excel allows you to read this threaded comment; however, any edits to it will get removed if the file is opened in a newer version of Excel. Learn more: https://go.microsoft.com/fwlink/?linkid=870924
Comment:
    IV 0.76</t>
      </text>
    </comment>
    <comment ref="AM10" authorId="12" shapeId="0" xr:uid="{F44EB845-9841-48D8-AD82-9EC37B8393C8}">
      <text>
        <t>[Threaded comment]
Your version of Excel allows you to read this threaded comment; however, any edits to it will get removed if the file is opened in a newer version of Excel. Learn more: https://go.microsoft.com/fwlink/?linkid=870924
Comment:
    Hảo cần Check lại -BOM hiện đang dùng vảy Mix B6.2~89%, B5~11%
=&gt; Dư B6.2</t>
      </text>
    </comment>
    <comment ref="CF10" authorId="13" shapeId="0" xr:uid="{072C248E-E00D-4648-9B53-C7DBA7D950B8}">
      <text>
        <t>[Threaded comment]
Your version of Excel allows you to read this threaded comment; however, any edits to it will get removed if the file is opened in a newer version of Excel. Learn more: https://go.microsoft.com/fwlink/?linkid=870924
Comment:
    Check %LNST</t>
      </text>
    </comment>
    <comment ref="BI12" authorId="14" shapeId="0" xr:uid="{E3F4553C-3D88-487A-9062-4FACD74E7DAE}">
      <text>
        <t>[Threaded comment]
Your version of Excel allows you to read this threaded comment; however, any edits to it will get removed if the file is opened in a newer version of Excel. Learn more: https://go.microsoft.com/fwlink/?linkid=870924
Comment:
    Báo cáo giá thành tháng 3, Tâm bq3 tháng ~998USD/tấn; CPQLBHTC~144USD/T</t>
      </text>
    </comment>
    <comment ref="BC37" authorId="15" shapeId="0" xr:uid="{1D5958A4-8879-40CB-B7AC-5CBB2BBEACA0}">
      <text>
        <t>[Threaded comment]
Your version of Excel allows you to read this threaded comment; however, any edits to it will get removed if the file is opened in a newer version of Excel. Learn more: https://go.microsoft.com/fwlink/?linkid=870924
Comment:
    Vảy nắp HD ép</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tc={AB160744-1F4F-40F1-9F66-CDADD27C3DBB}</author>
    <author>tc={FD0D1EF3-BFDE-418E-8E88-9A77E479AE3A}</author>
    <author>tc={DEE29882-683F-444F-91F6-42828693BC91}</author>
    <author>tc={72206207-941F-4262-A131-D44FB30683F1}</author>
    <author>tc={174E023E-D6C6-4A9C-86B5-8506E2226FC6}</author>
    <author>tc={A66E5D5F-086E-4141-9FD8-0190C9EFE534}</author>
    <author>tc={9F464CC1-DCC2-45D1-9961-D99DA7494792}</author>
    <author>tc={B25F48F0-2DF7-4CE5-9D9A-96C8B30AEB98}</author>
    <author>tc={C31B63E2-CFEC-4E4B-83B7-DC4DD85F3B2A}</author>
    <author>tc={1FB698FF-71DD-47CF-8CED-9985B30DE34F}</author>
    <author>tc={272DA99A-56A8-461B-9095-2E60A2FFB1BE}</author>
    <author>tc={A3BEB023-2747-45A4-84CF-CAE82C8CAF2B}</author>
    <author>tc={15F78BF3-D5E6-4561-A4D0-D94B26885A32}</author>
    <author>tc={911A08A8-9FE6-439C-B233-E7D551F03296}</author>
    <author>tc={F342B117-4FBD-43E2-B7E5-FECC5A967A54}</author>
    <author>tc={8A9A0ED3-73EB-4D7B-99DF-3BE3CB2851EF}</author>
  </authors>
  <commentList>
    <comment ref="X1" authorId="0" shapeId="0" xr:uid="{AB160744-1F4F-40F1-9F66-CDADD27C3DBB}">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FD0D1EF3-BFDE-418E-8E88-9A77E479AE3A}">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AK1" authorId="2" shapeId="0" xr:uid="{DEE29882-683F-444F-91F6-42828693BC91}">
      <text>
        <t>[Threaded comment]
Your version of Excel allows you to read this threaded comment; however, any edits to it will get removed if the file is opened in a newer version of Excel. Learn more: https://go.microsoft.com/fwlink/?linkid=870924
Comment:
    Nếu mua ngoài vậy cân bằng SL dư cảu B1 ? Hay dùng nhiều B1 làm giá thành tăng</t>
      </text>
    </comment>
    <comment ref="W2" authorId="3" shapeId="0" xr:uid="{72206207-941F-4262-A131-D44FB30683F1}">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174E023E-D6C6-4A9C-86B5-8506E2226FC6}">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BI2" authorId="5" shapeId="0" xr:uid="{A66E5D5F-086E-4141-9FD8-0190C9EFE534}">
      <text>
        <t>[Threaded comment]
Your version of Excel allows you to read this threaded comment; however, any edits to it will get removed if the file is opened in a newer version of Excel. Learn more: https://go.microsoft.com/fwlink/?linkid=870924
Comment:
    Giá tháng 5 :silde 1033</t>
      </text>
    </comment>
    <comment ref="CP2" authorId="6" shapeId="0" xr:uid="{9F464CC1-DCC2-45D1-9961-D99DA7494792}">
      <text>
        <t>[Threaded comment]
Your version of Excel allows you to read this threaded comment; however, any edits to it will get removed if the file is opened in a newer version of Excel. Learn more: https://go.microsoft.com/fwlink/?linkid=870924
Comment:
    Giá file KTQT</t>
      </text>
    </comment>
    <comment ref="DN2" authorId="7" shapeId="0" xr:uid="{B25F48F0-2DF7-4CE5-9D9A-96C8B30AEB98}">
      <text>
        <t>[Threaded comment]
Your version of Excel allows you to read this threaded comment; however, any edits to it will get removed if the file is opened in a newer version of Excel. Learn more: https://go.microsoft.com/fwlink/?linkid=870924
Comment:
    Giá file KTQT</t>
      </text>
    </comment>
    <comment ref="X3" authorId="8" shapeId="0" xr:uid="{C31B63E2-CFEC-4E4B-83B7-DC4DD85F3B2A}">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BI4" authorId="9" shapeId="0" xr:uid="{1FB698FF-71DD-47CF-8CED-9985B30DE34F}">
      <text>
        <t>[Threaded comment]
Your version of Excel allows you to read this threaded comment; however, any edits to it will get removed if the file is opened in a newer version of Excel. Learn more: https://go.microsoft.com/fwlink/?linkid=870924
Comment:
    Trình giá giá tháng 5 : Slide 7: W01g 1012 diff 17</t>
      </text>
    </comment>
    <comment ref="BN5" authorId="10" shapeId="0" xr:uid="{272DA99A-56A8-461B-9095-2E60A2FFB1BE}">
      <text>
        <t>[Threaded comment]
Your version of Excel allows you to read this threaded comment; however, any edits to it will get removed if the file is opened in a newer version of Excel. Learn more: https://go.microsoft.com/fwlink/?linkid=870924
Comment:
    IV 0.76</t>
      </text>
    </comment>
    <comment ref="CZ5" authorId="11" shapeId="0" xr:uid="{A3BEB023-2747-45A4-84CF-CAE82C8CAF2B}">
      <text>
        <t>[Threaded comment]
Your version of Excel allows you to read this threaded comment; however, any edits to it will get removed if the file is opened in a newer version of Excel. Learn more: https://go.microsoft.com/fwlink/?linkid=870924
Comment:
    IV 0.76</t>
      </text>
    </comment>
    <comment ref="AM10" authorId="12" shapeId="0" xr:uid="{15F78BF3-D5E6-4561-A4D0-D94B26885A32}">
      <text>
        <t>[Threaded comment]
Your version of Excel allows you to read this threaded comment; however, any edits to it will get removed if the file is opened in a newer version of Excel. Learn more: https://go.microsoft.com/fwlink/?linkid=870924
Comment:
    Hảo cần Check lại -BOM hiện đang dùng vảy Mix B6.2~89%, B5~11%
=&gt; Dư B6.2</t>
      </text>
    </comment>
    <comment ref="CF10" authorId="13" shapeId="0" xr:uid="{911A08A8-9FE6-439C-B233-E7D551F03296}">
      <text>
        <t>[Threaded comment]
Your version of Excel allows you to read this threaded comment; however, any edits to it will get removed if the file is opened in a newer version of Excel. Learn more: https://go.microsoft.com/fwlink/?linkid=870924
Comment:
    Check %LNST</t>
      </text>
    </comment>
    <comment ref="BI12" authorId="14" shapeId="0" xr:uid="{F342B117-4FBD-43E2-B7E5-FECC5A967A54}">
      <text>
        <t>[Threaded comment]
Your version of Excel allows you to read this threaded comment; however, any edits to it will get removed if the file is opened in a newer version of Excel. Learn more: https://go.microsoft.com/fwlink/?linkid=870924
Comment:
    Báo cáo giá thành tháng 3, Tâm bq3 tháng ~998USD/tấn; CPQLBHTC~144USD/T</t>
      </text>
    </comment>
    <comment ref="BC37" authorId="15" shapeId="0" xr:uid="{8A9A0ED3-73EB-4D7B-99DF-3BE3CB2851EF}">
      <text>
        <t>[Threaded comment]
Your version of Excel allows you to read this threaded comment; however, any edits to it will get removed if the file is opened in a newer version of Excel. Learn more: https://go.microsoft.com/fwlink/?linkid=870924
Comment:
    Vảy nắp HD ép</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tc={AE6A4A60-B1AC-4B1D-A5F1-0BEFC4C578E1}</author>
    <author>tc={9624C44C-782C-4708-8BB1-6633AFA41D27}</author>
    <author>tc={CAA31876-D9DE-48C7-B2B0-A1A6DBD5584F}</author>
    <author>tc={F98FD181-F889-4732-8507-820D48CE45C8}</author>
    <author>tc={AFDE2B07-F916-4CAE-A7A0-70AC46F2DC9E}</author>
    <author>tc={1A75ECED-028A-41F7-B5F2-F79BFAFDA375}</author>
  </authors>
  <commentList>
    <comment ref="X1" authorId="0" shapeId="0" xr:uid="{AE6A4A60-B1AC-4B1D-A5F1-0BEFC4C578E1}">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9624C44C-782C-4708-8BB1-6633AFA41D27}">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CAA31876-D9DE-48C7-B2B0-A1A6DBD5584F}">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F98FD181-F889-4732-8507-820D48CE45C8}">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FDE2B07-F916-4CAE-A7A0-70AC46F2DC9E}">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1A75ECED-028A-41F7-B5F2-F79BFAFDA375}">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tc={6D747270-A6D3-4D44-9D2A-0FEBCC1710EE}</author>
    <author>tc={1F72E1B9-880C-4BB6-9ACE-2A994A2A9502}</author>
    <author>tc={F38D2B84-1C08-467B-BB92-79696299D323}</author>
    <author>tc={A700A905-3CC6-4AA1-9D88-0BA452F916EB}</author>
    <author>tc={A4BC62AC-BCE4-484C-8046-6E25FF8EDA7A}</author>
    <author>tc={650D5BED-EF72-424C-B52C-2F2F835BE356}</author>
    <author>tc={9DBD5DE7-9D97-4A34-9944-3242BFF54357}</author>
  </authors>
  <commentList>
    <comment ref="X1" authorId="0" shapeId="0" xr:uid="{6D747270-A6D3-4D44-9D2A-0FEBCC1710EE}">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1F72E1B9-880C-4BB6-9ACE-2A994A2A9502}">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F38D2B84-1C08-467B-BB92-79696299D323}">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A700A905-3CC6-4AA1-9D88-0BA452F916EB}">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4BC62AC-BCE4-484C-8046-6E25FF8EDA7A}">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650D5BED-EF72-424C-B52C-2F2F835BE356}">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N29" authorId="6" shapeId="0" xr:uid="{9DBD5DE7-9D97-4A34-9944-3242BFF54357}">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tc={BCE78AA8-2B36-47A7-88DF-304DC1231B1F}</author>
    <author>tc={FB6A854D-B904-40D5-ACD8-B441CA54058C}</author>
    <author>tc={2B11E8AF-31D8-4A4A-A68D-024CB50310F4}</author>
    <author>tc={B975E80B-7A29-4A50-93F4-DC685EA20A4D}</author>
    <author>tc={B3EBEE92-3645-4D55-93A1-A2C02699AA45}</author>
    <author>tc={E2D28AE4-F2C1-46E5-B9E1-D21CCF46DB11}</author>
    <author>tc={D0403DE0-E30D-49F6-90A0-D14CECFBBD01}</author>
    <author>tc={5AD5B935-BB63-4AF9-A579-89926C4F14A9}</author>
    <author>tc={B69830D4-8C16-4633-BD64-D0CBC85F9DEA}</author>
    <author>tc={CAB671AE-7334-48B0-B0A5-A46CD5D2E034}</author>
    <author>tc={3CF45EED-0570-464A-AEE3-156BA07C7996}</author>
  </authors>
  <commentList>
    <comment ref="X1" authorId="0" shapeId="0" xr:uid="{BCE78AA8-2B36-47A7-88DF-304DC1231B1F}">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FB6A854D-B904-40D5-ACD8-B441CA54058C}">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2B11E8AF-31D8-4A4A-A68D-024CB50310F4}">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W2" authorId="3" shapeId="0" xr:uid="{B975E80B-7A29-4A50-93F4-DC685EA20A4D}">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B3EBEE92-3645-4D55-93A1-A2C02699AA45}">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E2D28AE4-F2C1-46E5-B9E1-D21CCF46DB11}">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D0403DE0-E30D-49F6-90A0-D14CECFBBD01}">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11" authorId="7" shapeId="0" xr:uid="{5AD5B935-BB63-4AF9-A579-89926C4F14A9}">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 ref="AQ29" authorId="8" shapeId="0" xr:uid="{B69830D4-8C16-4633-BD64-D0CBC85F9DEA}">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 ref="AL37" authorId="9" shapeId="0" xr:uid="{CAB671AE-7334-48B0-B0A5-A46CD5D2E034}">
      <text>
        <t>[Threaded comment]
Your version of Excel allows you to read this threaded comment; however, any edits to it will get removed if the file is opened in a newer version of Excel. Learn more: https://go.microsoft.com/fwlink/?linkid=870924
Comment:
    Lưu ý chi phí SX HDPE, PP khác</t>
      </text>
    </comment>
    <comment ref="AQ41" authorId="10" shapeId="0" xr:uid="{3CF45EED-0570-464A-AEE3-156BA07C7996}">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tc={91A61D56-8F9C-4CCE-9C5C-A233A17EFE85}</author>
    <author>tc={A632C9DD-4635-490E-BDAD-59B63016F44E}</author>
    <author>tc={15CB52BA-5143-4D2B-823F-69D91F18761B}</author>
    <author>tc={80EFA925-67C7-4549-B76F-FAA043D9BB02}</author>
    <author>tc={26005B0B-902E-4422-80ED-601364B8BECF}</author>
    <author>tc={6520395E-3BEB-43B5-BCA3-1E229F8DE29F}</author>
    <author>tc={BC979D25-39AC-4A2D-9B3D-3B7DC2581C04}</author>
    <author>tc={D5E5B7D7-1B24-44AB-94A1-ACBC62FD8FFA}</author>
  </authors>
  <commentList>
    <comment ref="X1" authorId="0" shapeId="0" xr:uid="{91A61D56-8F9C-4CCE-9C5C-A233A17EFE85}">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A632C9DD-4635-490E-BDAD-59B63016F44E}">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15CB52BA-5143-4D2B-823F-69D91F18761B}">
      <text>
        <t>[Threaded comment]
Your version of Excel allows you to read this threaded comment; however, any edits to it will get removed if the file is opened in a newer version of Excel. Learn more: https://go.microsoft.com/fwlink/?linkid=870924
Comment:
    Vảy mua ngoài 18.300</t>
      </text>
    </comment>
    <comment ref="W2" authorId="3" shapeId="0" xr:uid="{80EFA925-67C7-4549-B76F-FAA043D9BB02}">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26005B0B-902E-4422-80ED-601364B8BECF}">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6520395E-3BEB-43B5-BCA3-1E229F8DE29F}">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BC979D25-39AC-4A2D-9B3D-3B7DC2581C04}">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7" shapeId="0" xr:uid="{D5E5B7D7-1B24-44AB-94A1-ACBC62FD8FFA}">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tc={2FAE976D-6DB0-45A5-8DA1-8DCB6FE9A821}</author>
    <author>tc={810296C4-2C9F-4C0B-955B-60E9E75CBCD9}</author>
    <author>tc={444D1E5E-A95F-4FA4-85E4-F4E3C82209F6}</author>
    <author>tc={33B2AD2C-DCFA-4C67-A9D7-76F836E6BD7A}</author>
    <author>tc={C68B0352-0531-44B5-AAAF-1723D00E5A53}</author>
    <author>tc={F488DC82-5A85-4177-A33D-85428B06154F}</author>
    <author>tc={3A01E4B6-D293-4BA9-BF75-39BD9A0DA5A9}</author>
    <author>tc={EC68B563-C70C-4DD9-AA88-CA8453F00717}</author>
  </authors>
  <commentList>
    <comment ref="X1" authorId="0" shapeId="0" xr:uid="{2FAE976D-6DB0-45A5-8DA1-8DCB6FE9A821}">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810296C4-2C9F-4C0B-955B-60E9E75CBCD9}">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444D1E5E-A95F-4FA4-85E4-F4E3C82209F6}">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W2" authorId="3" shapeId="0" xr:uid="{33B2AD2C-DCFA-4C67-A9D7-76F836E6BD7A}">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C68B0352-0531-44B5-AAAF-1723D00E5A53}">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F488DC82-5A85-4177-A33D-85428B06154F}">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3A01E4B6-D293-4BA9-BF75-39BD9A0DA5A9}">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7" shapeId="0" xr:uid="{EC68B563-C70C-4DD9-AA88-CA8453F00717}">
      <text>
        <t>[Threaded comment]
Your version of Excel allows you to read this threaded comment; however, any edits to it will get removed if the file is opened in a newer version of Excel. Learn more: https://go.microsoft.com/fwlink/?linkid=870924
Comment:
    Outerrinho 1000 ton/thang, 720 trước t4</t>
      </text>
    </comment>
  </commentList>
</comments>
</file>

<file path=xl/sharedStrings.xml><?xml version="1.0" encoding="utf-8"?>
<sst xmlns="http://schemas.openxmlformats.org/spreadsheetml/2006/main" count="4244" uniqueCount="977">
  <si>
    <t>STT</t>
  </si>
  <si>
    <t>THỐNG KÊ NGUYÊN LIỆU ĐẦU VÀO</t>
  </si>
  <si>
    <t>Tên gọi</t>
  </si>
  <si>
    <t>Định nghĩa</t>
  </si>
  <si>
    <t>I</t>
  </si>
  <si>
    <t>II</t>
  </si>
  <si>
    <t>A</t>
  </si>
  <si>
    <t>PET</t>
  </si>
  <si>
    <t>Chai PET</t>
  </si>
  <si>
    <t>Vảy PET</t>
  </si>
  <si>
    <t>B</t>
  </si>
  <si>
    <t xml:space="preserve">HDPE </t>
  </si>
  <si>
    <t>HDPE ép</t>
  </si>
  <si>
    <t>C</t>
  </si>
  <si>
    <t>Chai B1</t>
  </si>
  <si>
    <t>Chai B1 không phân loại</t>
  </si>
  <si>
    <t>Ghi chú</t>
  </si>
  <si>
    <t>Chai xá tròn</t>
  </si>
  <si>
    <t>Chai xá kiện</t>
  </si>
  <si>
    <t>Chai PET B6.2</t>
  </si>
  <si>
    <t>150000003</t>
  </si>
  <si>
    <t>150000113</t>
  </si>
  <si>
    <t>Chai PET B2.2</t>
  </si>
  <si>
    <t>Chai PET B2.1</t>
  </si>
  <si>
    <t>150000050</t>
  </si>
  <si>
    <t>Chai PET B3</t>
  </si>
  <si>
    <t>150000014</t>
  </si>
  <si>
    <t>Chai PET B4</t>
  </si>
  <si>
    <t>150000015</t>
  </si>
  <si>
    <t>Chai PET B5</t>
  </si>
  <si>
    <t>Chai PET màu lơ</t>
  </si>
  <si>
    <t>150000016</t>
  </si>
  <si>
    <t>Chai PET B6.1</t>
  </si>
  <si>
    <t>150000114</t>
  </si>
  <si>
    <t>150000010</t>
  </si>
  <si>
    <t>Chai PET B7.1</t>
  </si>
  <si>
    <t>Lavie</t>
  </si>
  <si>
    <t>150000051</t>
  </si>
  <si>
    <t>Vảy PET B1_A5.1</t>
  </si>
  <si>
    <t>150000052</t>
  </si>
  <si>
    <t>150000053</t>
  </si>
  <si>
    <t>Vảy PET B1_A6</t>
  </si>
  <si>
    <t>150000018</t>
  </si>
  <si>
    <t>Vảy PET B3_A6</t>
  </si>
  <si>
    <t>150000061</t>
  </si>
  <si>
    <t>Vảy PET B6.2_A6</t>
  </si>
  <si>
    <t>PP</t>
  </si>
  <si>
    <t>B0</t>
  </si>
  <si>
    <t>B1.1</t>
  </si>
  <si>
    <t>150000187</t>
  </si>
  <si>
    <t>Chai PET B1.3</t>
  </si>
  <si>
    <t>B2.1</t>
  </si>
  <si>
    <t>B2.2</t>
  </si>
  <si>
    <t>B3</t>
  </si>
  <si>
    <t>B4</t>
  </si>
  <si>
    <t>B5</t>
  </si>
  <si>
    <t>B6.1</t>
  </si>
  <si>
    <t>B6.2</t>
  </si>
  <si>
    <t>B7.1</t>
  </si>
  <si>
    <t xml:space="preserve">Chai PET nước suối mỏng </t>
  </si>
  <si>
    <t>Chai PET nước tương, nước mắm, dầu ăn nhãn giấy có thương hiệu</t>
  </si>
  <si>
    <t>Nam Ngư, Chinsu, Tam Thái Tử</t>
  </si>
  <si>
    <t xml:space="preserve">Chai PET nước ngọt màu lá </t>
  </si>
  <si>
    <t>7 up, mirinda, fanta, sprite</t>
  </si>
  <si>
    <t>NCC ngoài</t>
  </si>
  <si>
    <t>Trạm + NCC ngoài</t>
  </si>
  <si>
    <t>Bình 5G-Lavie</t>
  </si>
  <si>
    <t>Vảy PET B1_A5.2_R2</t>
  </si>
  <si>
    <t>Vảy PET B1_A5.2_R1</t>
  </si>
  <si>
    <t>150000115</t>
  </si>
  <si>
    <t>Bình HD Thổi Trong HD-01.1</t>
  </si>
  <si>
    <t>Mã SAP</t>
  </si>
  <si>
    <t>Mã hàng hóa</t>
  </si>
  <si>
    <t>150000117</t>
  </si>
  <si>
    <t>Bình HD Thổi Trắng sữa HD-02.1</t>
  </si>
  <si>
    <t>150000119</t>
  </si>
  <si>
    <t>Bình HD Thổi Vàng Nhạt HD-03.1</t>
  </si>
  <si>
    <t>150000035</t>
  </si>
  <si>
    <t>Bình HD Thổi Xám HD-16.1</t>
  </si>
  <si>
    <t>150000072</t>
  </si>
  <si>
    <t>Nắp HD Ép Các Màu HDE-06</t>
  </si>
  <si>
    <t>150000185</t>
  </si>
  <si>
    <t>Nắp HD Ép Các Màu HDE-06 E</t>
  </si>
  <si>
    <t>150000066</t>
  </si>
  <si>
    <t>HD ép thô thử nghiệm dương</t>
  </si>
  <si>
    <t>150000097</t>
  </si>
  <si>
    <t>Thô HD ép dương đậm 2-3 RHT3DL2</t>
  </si>
  <si>
    <t>150000172</t>
  </si>
  <si>
    <t>Hỗn hợp B6.2 Vảy-Nắp</t>
  </si>
  <si>
    <t>150000008</t>
  </si>
  <si>
    <t>Vảy HD Thổi Trong HV-01.1</t>
  </si>
  <si>
    <t>150000106</t>
  </si>
  <si>
    <t>Vảy HD thổi trong L1 HV01.1_TM</t>
  </si>
  <si>
    <t>150000036</t>
  </si>
  <si>
    <t>Vảy HD Thổi Trong HV-01.2</t>
  </si>
  <si>
    <t>150000047</t>
  </si>
  <si>
    <t>Vảy HD Thổi Trong HV-01.3</t>
  </si>
  <si>
    <t>150000037</t>
  </si>
  <si>
    <t>Vảy HD Thổi Trắng Sữa  HV-02.1</t>
  </si>
  <si>
    <t>150000048</t>
  </si>
  <si>
    <t>Vảy HD Thổi Trắng Sữa  HV-02.2</t>
  </si>
  <si>
    <t>150000012</t>
  </si>
  <si>
    <t>Vảy HD Thổi Vàng HV-03.1</t>
  </si>
  <si>
    <t>150000179</t>
  </si>
  <si>
    <t>Vảy HD Thổi Vàng HV-03.1_TM</t>
  </si>
  <si>
    <t>150000038</t>
  </si>
  <si>
    <t>Vảy HD Thổi Vàng Nhạt HV-03.2</t>
  </si>
  <si>
    <t>150000105</t>
  </si>
  <si>
    <t>Vảy HD thổi trong L1 HV01.1_RL</t>
  </si>
  <si>
    <t>150000086</t>
  </si>
  <si>
    <t>Vảy HD Ép Dương Nhạt Pallet</t>
  </si>
  <si>
    <t>150000181</t>
  </si>
  <si>
    <t>Vảy HD Ép Dương Két Kiên Giang</t>
  </si>
  <si>
    <t>150000082</t>
  </si>
  <si>
    <t>Vảy HD ép dương đậm 1-3 RHV3DL1</t>
  </si>
  <si>
    <t>150000074</t>
  </si>
  <si>
    <t>Vảy HD Ép Dương Nắp</t>
  </si>
  <si>
    <t>150000188</t>
  </si>
  <si>
    <t>Vảy HD Ép Dương HVE-06_TM</t>
  </si>
  <si>
    <t>Bình màu trong</t>
  </si>
  <si>
    <t>Bình trắng sữa</t>
  </si>
  <si>
    <t>Bình vàng nhạt</t>
  </si>
  <si>
    <t>150000121</t>
  </si>
  <si>
    <t>Bình HD Thổi Vàng Đậm HD-04.1</t>
  </si>
  <si>
    <t>Bình vàng đậm</t>
  </si>
  <si>
    <t>150000123</t>
  </si>
  <si>
    <t>Bình HD Thổi Lá Nhạt HD-05.1</t>
  </si>
  <si>
    <t>Bình lá nhạt</t>
  </si>
  <si>
    <t>150000026</t>
  </si>
  <si>
    <t>Bình HD Thổi Lá Đậm HD-06.1</t>
  </si>
  <si>
    <t>Bình lá đậm</t>
  </si>
  <si>
    <t>150000126</t>
  </si>
  <si>
    <t>Bình HD Thổi Đỏ Nhạt HD-07.1</t>
  </si>
  <si>
    <t>150000128</t>
  </si>
  <si>
    <t>Bình HD Thổi Đỏ Đậm HD-08.1</t>
  </si>
  <si>
    <t>150000028</t>
  </si>
  <si>
    <t>Bình HD Thổi Đen HD-09.1</t>
  </si>
  <si>
    <t>150000131</t>
  </si>
  <si>
    <t>Bình HD Thổi Dương Đậm HD-10.1</t>
  </si>
  <si>
    <t>150000030</t>
  </si>
  <si>
    <t>Bình HD Thổi Dương Nhạt HD-11.1</t>
  </si>
  <si>
    <t>150000134</t>
  </si>
  <si>
    <t>Bình HD Thổi Xanh Ngọc HD-12.1</t>
  </si>
  <si>
    <t>150000136</t>
  </si>
  <si>
    <t>Bình HD Thổi Cam HD-13.1</t>
  </si>
  <si>
    <t>150000138</t>
  </si>
  <si>
    <t>Bình HD Thổi Tím HD-14.1</t>
  </si>
  <si>
    <t>HV-01.1</t>
  </si>
  <si>
    <t>HV01.1_TM</t>
  </si>
  <si>
    <t>HV-01.2</t>
  </si>
  <si>
    <t>HV-01.3</t>
  </si>
  <si>
    <t>HV-02.1</t>
  </si>
  <si>
    <t>HV-02.2</t>
  </si>
  <si>
    <t>HV-03.1</t>
  </si>
  <si>
    <t>HV-03.1_TM</t>
  </si>
  <si>
    <t>Vảy HD màu trong, rửa lạnh</t>
  </si>
  <si>
    <t>Chính sách giá</t>
  </si>
  <si>
    <t>150000076</t>
  </si>
  <si>
    <t>Vảy PP Trắng sữa PV-02</t>
  </si>
  <si>
    <t>150000063</t>
  </si>
  <si>
    <t>Vảy PP Trong PV-01</t>
  </si>
  <si>
    <t>150000110</t>
  </si>
  <si>
    <t>Vảy PP Môn PV-09</t>
  </si>
  <si>
    <t>150000054</t>
  </si>
  <si>
    <t>Vảy PP Đỏ Nhạt PV-10</t>
  </si>
  <si>
    <t>150000056</t>
  </si>
  <si>
    <t>Vảy PP Dương Nhạt PV-07</t>
  </si>
  <si>
    <t>150000111</t>
  </si>
  <si>
    <t>Vảy PP Dương Đậm PV-08</t>
  </si>
  <si>
    <t>150000107</t>
  </si>
  <si>
    <t>Vảy PP Lá Nhạt PV-05</t>
  </si>
  <si>
    <t>150000059</t>
  </si>
  <si>
    <t>Thô PP Dương PP-05</t>
  </si>
  <si>
    <t>150000057</t>
  </si>
  <si>
    <t>Thô PP Đỏ PP-06</t>
  </si>
  <si>
    <t>150000186</t>
  </si>
  <si>
    <t>Vảy PP Trắng Sữa PV-02_TM</t>
  </si>
  <si>
    <t>PV-02</t>
  </si>
  <si>
    <t>PV-01</t>
  </si>
  <si>
    <t>PV-09</t>
  </si>
  <si>
    <t>PV-10</t>
  </si>
  <si>
    <t>PV-07</t>
  </si>
  <si>
    <t>PV-08</t>
  </si>
  <si>
    <t>PV-05</t>
  </si>
  <si>
    <t>PP-05</t>
  </si>
  <si>
    <t>PP-06</t>
  </si>
  <si>
    <t>PV-02_TM</t>
  </si>
  <si>
    <t>Vảy PP trong</t>
  </si>
  <si>
    <t>Vảy PP màu trắng</t>
  </si>
  <si>
    <t>Vảy PP màu lá nhạt</t>
  </si>
  <si>
    <t>Vảy PP màu dương nhạt</t>
  </si>
  <si>
    <t>Vảy PP màu dương đậm</t>
  </si>
  <si>
    <t>Vảy PP màu đỏ nhạt</t>
  </si>
  <si>
    <t>Vảy PP màu môn</t>
  </si>
  <si>
    <t>Vảy PET tuyển mua ngoài đã được NCC xử lý rửa lạnh</t>
  </si>
  <si>
    <t>Vảy PET (sting/247) mua ngoài đã được NCC xử lý rửa lạnh</t>
  </si>
  <si>
    <t>Vảy PET thử nghiệm</t>
  </si>
  <si>
    <t>Vảy PP màu trắng, tách màu</t>
  </si>
  <si>
    <t>Kệ, rổ, sọt, thau, khay, ca màu xanh dương
Tủ, bàn, ghế màu xanh dương</t>
  </si>
  <si>
    <t>Kệ, rổ, sọt, thau, khay, ca màu đỏ
Tủ, bàn, ghế màu đỏ</t>
  </si>
  <si>
    <t>Bình rửa chén Sunlight, Lix, Mỹ Hảo màu vàng nhạt</t>
  </si>
  <si>
    <t>Bình đỏ nhạt</t>
  </si>
  <si>
    <t>Bình đỏ đậm</t>
  </si>
  <si>
    <t>Bình dương đậm</t>
  </si>
  <si>
    <t>Bình dương nhạt</t>
  </si>
  <si>
    <t>Bình đen</t>
  </si>
  <si>
    <t>Bình xanh ngọc</t>
  </si>
  <si>
    <t>Bình cam</t>
  </si>
  <si>
    <t>Bình tím</t>
  </si>
  <si>
    <t>Bình xám</t>
  </si>
  <si>
    <t>Bình nhớt</t>
  </si>
  <si>
    <t>Vảy BTP màu trong loại 1, sau rửa và tách màu</t>
  </si>
  <si>
    <t>Vảy BTP màu trong loại 1, sau rửa và tách màu (phó sản trả NCC)</t>
  </si>
  <si>
    <t>Vảy BTP màu trong loại 2, sau rửa và tách màu</t>
  </si>
  <si>
    <t>Vảy BTP màu trong, sau rửa và tách màu từ nguyên liệu vảy chai sửa (QMT)</t>
  </si>
  <si>
    <t>Vảy BTP trắng sữa, loại 1, sau rửa và tách màu</t>
  </si>
  <si>
    <t>Vảy BTP trắng sữa, loại 2, sau rửa và tách màu</t>
  </si>
  <si>
    <t>Vảy BTP màu vàng nhạt loại 1, sau rửa và tách màu</t>
  </si>
  <si>
    <t>Vảy BTP màu vàng nhạt, tách màu (phó sản trả NCC)</t>
  </si>
  <si>
    <t>Vảy BTP màu vàng nhạt loại 2, sau rửa và tách màu</t>
  </si>
  <si>
    <t>HV-03.2</t>
  </si>
  <si>
    <t>HV01.1_RL</t>
  </si>
  <si>
    <t>HD-16.1</t>
  </si>
  <si>
    <t>HD-01.1</t>
  </si>
  <si>
    <t>HD-02.1</t>
  </si>
  <si>
    <t>HD-03.1</t>
  </si>
  <si>
    <t>HD-04.1</t>
  </si>
  <si>
    <t>HD-05.1</t>
  </si>
  <si>
    <t>HD-06.1</t>
  </si>
  <si>
    <t>HD-07.1</t>
  </si>
  <si>
    <t>HD-08.1</t>
  </si>
  <si>
    <t>HD-09.1</t>
  </si>
  <si>
    <t>HD-10.1</t>
  </si>
  <si>
    <t>HD-11.1</t>
  </si>
  <si>
    <t>HD-12.1</t>
  </si>
  <si>
    <t>HD-13.1</t>
  </si>
  <si>
    <t>HD-14.1</t>
  </si>
  <si>
    <t>A5.1</t>
  </si>
  <si>
    <t>A5.2_R1</t>
  </si>
  <si>
    <t>A5.2_R2</t>
  </si>
  <si>
    <t>B1_A6</t>
  </si>
  <si>
    <t>PET B3_A6</t>
  </si>
  <si>
    <t>B6.2_A6</t>
  </si>
  <si>
    <t>Vảy HDPE Ép Hỗn Hợp Nắp</t>
  </si>
  <si>
    <t>Vảy HD Ép Dương Nắp Hỗn Hợp</t>
  </si>
  <si>
    <t>Nhập gia công từ Đại Lộc, giải quyết tồn kho trạm</t>
  </si>
  <si>
    <t>Giá A5.1 trừ đi 500đ</t>
  </si>
  <si>
    <t xml:space="preserve">DTR không cần rửa nóng lại vì vảy đã sạch -&gt; tiết kiệm hóa chất </t>
  </si>
  <si>
    <t>Vảy PET tuyển mua ngoài loại 1 đã được NCC xử lý rửa nóng</t>
  </si>
  <si>
    <t>Giá A5.2 trừ đi 500đ</t>
  </si>
  <si>
    <t>Từ T1.2024 tới nay chưa mua lại mã này</t>
  </si>
  <si>
    <t>Giá duyệt theo tháng</t>
  </si>
  <si>
    <t>Khi có đơn hàng mới mua</t>
  </si>
  <si>
    <t>BÌNH HDPE Thổi</t>
  </si>
  <si>
    <t>VẢY HDPE Thổi</t>
  </si>
  <si>
    <t>III</t>
  </si>
  <si>
    <t>Nhà cung cấp cho DTR</t>
  </si>
  <si>
    <t>247, sting, coca (Chai CSD)</t>
  </si>
  <si>
    <t xml:space="preserve">Cập nhật ngày:  </t>
  </si>
  <si>
    <t>Lavie, Vĩnh Hảo (Viva)</t>
  </si>
  <si>
    <t>B7.2</t>
  </si>
  <si>
    <t>Chai PET B7.2</t>
  </si>
  <si>
    <t>Bình nước suối 21L</t>
  </si>
  <si>
    <t>Tuyển rặc</t>
  </si>
  <si>
    <t>Ký hiệu</t>
  </si>
  <si>
    <t>CHAI PET</t>
  </si>
  <si>
    <t>B0-Chai xá chưa tách nhãn</t>
  </si>
  <si>
    <t>B1</t>
  </si>
  <si>
    <t>Chai màu xanh lá</t>
  </si>
  <si>
    <t>Chai màu xanh lơ</t>
  </si>
  <si>
    <t>B6</t>
  </si>
  <si>
    <t>Nước tương, mắm, dầu ăn</t>
  </si>
  <si>
    <t>Bình 5G - Lavie</t>
  </si>
  <si>
    <t>Bình 5G - khác</t>
  </si>
  <si>
    <t>B7.3</t>
  </si>
  <si>
    <t>Bình 5G - Lá</t>
  </si>
  <si>
    <t>B8</t>
  </si>
  <si>
    <t>Chai dơ các loại (phó sản)</t>
  </si>
  <si>
    <t>Chai PET B1.4</t>
  </si>
  <si>
    <t>Đầu vào 3 trạm</t>
  </si>
  <si>
    <t>Tỷ lệ chai B1+B3 chiếm 90%</t>
  </si>
  <si>
    <t>Chai B1, B3: Chai PET tuyển
Chai B2.2, B6.1: Chai PET có thương hiệu/nhãn giấy
Chai B2.2, B4., B5, B6.2: Chai PET hàng cơ sở (không thương hiệu)</t>
  </si>
  <si>
    <r>
      <t xml:space="preserve">B1.2
</t>
    </r>
    <r>
      <rPr>
        <b/>
        <sz val="12"/>
        <color rgb="FF0000FF"/>
        <rFont val="Aptos Narrow"/>
        <family val="2"/>
        <scheme val="minor"/>
      </rPr>
      <t>(Tuyển xô)</t>
    </r>
  </si>
  <si>
    <r>
      <t xml:space="preserve">B1.4
</t>
    </r>
    <r>
      <rPr>
        <b/>
        <sz val="12"/>
        <color rgb="FF0000FF"/>
        <rFont val="Aptos Narrow"/>
        <family val="2"/>
        <scheme val="minor"/>
      </rPr>
      <t>(Tuyển xô)</t>
    </r>
  </si>
  <si>
    <r>
      <t xml:space="preserve">Vảy PET tuyển mua ngoài loại 2 đã được NCC xử lý rửa nóng vảy đã sạch -&gt; </t>
    </r>
    <r>
      <rPr>
        <b/>
        <sz val="12"/>
        <color rgb="FF0000FF"/>
        <rFont val="Aptos Narrow"/>
        <family val="2"/>
        <scheme val="minor"/>
      </rPr>
      <t>DTR rửa lạnh lại</t>
    </r>
  </si>
  <si>
    <r>
      <t xml:space="preserve">Vảy PET tuyển mua ngoài loại 2 đã được NCC xử lý rửa nóng, vảy chưa sạch -&gt; </t>
    </r>
    <r>
      <rPr>
        <b/>
        <sz val="12"/>
        <color rgb="FF0000FF"/>
        <rFont val="Aptos Narrow"/>
        <family val="2"/>
        <scheme val="minor"/>
      </rPr>
      <t>DTR rửa nóng lại</t>
    </r>
  </si>
  <si>
    <r>
      <t xml:space="preserve">B1.3
</t>
    </r>
    <r>
      <rPr>
        <b/>
        <sz val="12"/>
        <color rgb="FF0000FF"/>
        <rFont val="Aptos Narrow"/>
        <family val="2"/>
        <scheme val="minor"/>
      </rPr>
      <t>(Tuyển xô)</t>
    </r>
  </si>
  <si>
    <t>Hỗn hợp chai PET trừ B4, B5
Trong đó, tỷ lệ chai không đạt: &lt;= 5%</t>
  </si>
  <si>
    <t>Trong đó, tỷ lệ chai không đạt: 
+ B1.1 (Loại A): &lt;= 5%
+ B1.1 (Loại B): &gt; 5% và &lt;= 10%
+ B1.1 (Loại C): &gt; 10% và &lt;= 15%</t>
  </si>
  <si>
    <t>Trong đó, tỷ lệ chai không đạt: 
+ B1.4 (Loại A): &lt;= 5%
+ B1.4 (Loại B): &gt; 5% và &lt;= 10%
+ B1.4 (Loại C): &gt; 10% và &lt;= 15%</t>
  </si>
  <si>
    <r>
      <t xml:space="preserve">Gồm hỗn hợp chai PET chưa phân loại
</t>
    </r>
    <r>
      <rPr>
        <b/>
        <sz val="12"/>
        <color rgb="FFFF0000"/>
        <rFont val="Aptos Narrow"/>
        <family val="2"/>
        <scheme val="minor"/>
      </rPr>
      <t>+ B0 (loại A): B1+B3 &gt;= 45%
+ B0 (loại B): 30% &lt;= B1+B3 &lt; 45%
+ B0 (loại C): 20% &lt;= B1+B3 &lt; 30%
Trong đó, tỷ lệ B2.2+B4+B5+B6.2 &lt;=30%</t>
    </r>
  </si>
  <si>
    <r>
      <t xml:space="preserve">Gồm hỗn hợp chai PET chưa phân loại đã ép kiện
</t>
    </r>
    <r>
      <rPr>
        <b/>
        <sz val="12"/>
        <color rgb="FFFF0000"/>
        <rFont val="Aptos Narrow"/>
        <family val="2"/>
        <scheme val="minor"/>
      </rPr>
      <t>+ B0 (loại A): B1+B3 &gt;= 45%
+ B0 (loại B): 30% &lt;= B1+B3 &lt; 45%
+ B0 (loại C): 20% &lt;= B1+B3 &lt; 30%
Trong đó, tỷ lệ B2.2+B4+B5+B6.2 &lt;=30%</t>
    </r>
  </si>
  <si>
    <t>Chai PET nước suối có thương hiệu đã tách nhãn và ép kiện</t>
  </si>
  <si>
    <t>Trạm</t>
  </si>
  <si>
    <t>Chủ yếu từ trạm</t>
  </si>
  <si>
    <t>Trạm Đại Lộc</t>
  </si>
  <si>
    <t>Giải quyết hàng tồn cho trạm
Bình nước suối 21L màu xanh đậm, đã ép kiện, không cắt đôi</t>
  </si>
  <si>
    <r>
      <t xml:space="preserve">Chai PET-B1.4 tuyển xô
Bao gồm các loại B1, B2.1, B2.2, B3, B6.1, B6.2
</t>
    </r>
    <r>
      <rPr>
        <b/>
        <sz val="12"/>
        <color rgb="FFFF0000"/>
        <rFont val="Aptos Narrow"/>
        <family val="2"/>
        <scheme val="minor"/>
      </rPr>
      <t xml:space="preserve">+ B1.4 (Loại A): B1+B3 = 50% </t>
    </r>
    <r>
      <rPr>
        <b/>
        <sz val="12"/>
        <color rgb="FFFF0000"/>
        <rFont val="Aptos Narrow"/>
        <family val="2"/>
      </rPr>
      <t>± 5%, B2.2+B6.2 &lt;= 20%
+ B1.4 (Loại B): 40% &lt;= B1+B3 &lt; 45%, 25% &lt;= B2.2+B6.2 &lt;= 30%
+ B1.4 (Loại C): 35 % &lt;= B1+B3 &lt; 40%, B2.2+B6.2 &gt;= 30%
Trong đó, tỷ lệ B2.1+B6.1 &lt;= 30%</t>
    </r>
  </si>
  <si>
    <r>
      <t xml:space="preserve">Chai PET tuyển dày đã tách nhãn và ép kiện
Bao gồm chai B1, B2.1, B3 lựa theo brand đáp ứng dòng sản phẩm hotfill (loại chai number one, 247)
Tỷ lệ: </t>
    </r>
    <r>
      <rPr>
        <b/>
        <sz val="12"/>
        <color rgb="FFFF0000"/>
        <rFont val="Aptos Narrow"/>
        <family val="2"/>
        <scheme val="minor"/>
      </rPr>
      <t>B1+B3 &gt;= 70%, B2.1 &lt;= 30%</t>
    </r>
  </si>
  <si>
    <t>Dr Thanh, Trà xanh 0 độ, nước ép đóng chai, C2, Nutri boost</t>
  </si>
  <si>
    <r>
      <t>Chai PET tuyển dày đã tách nhãn, xá tròn hoặc ép kiện
Bao gồm các loại chai B1, B2.1, B2.2, B3, B6.1, B6.2</t>
    </r>
    <r>
      <rPr>
        <b/>
        <sz val="12"/>
        <color rgb="FFFF0000"/>
        <rFont val="Aptos Narrow"/>
        <family val="2"/>
        <scheme val="minor"/>
      </rPr>
      <t xml:space="preserve">
</t>
    </r>
    <r>
      <rPr>
        <b/>
        <sz val="12"/>
        <color rgb="FF0000FF"/>
        <rFont val="Aptos Narrow"/>
        <family val="2"/>
        <scheme val="minor"/>
      </rPr>
      <t xml:space="preserve">B1.2 (Loại A): </t>
    </r>
    <r>
      <rPr>
        <b/>
        <sz val="12"/>
        <color rgb="FFFF0000"/>
        <rFont val="Aptos Narrow"/>
        <family val="2"/>
        <scheme val="minor"/>
      </rPr>
      <t xml:space="preserve">
B1+B3 ≥ 50%, B2.1 + B6.1 ≤ 30%, B2.2+B6.2 ≤ 15, Thành phần không đạt ≤ 5%
</t>
    </r>
    <r>
      <rPr>
        <b/>
        <sz val="12"/>
        <color rgb="FF0000FF"/>
        <rFont val="Aptos Narrow"/>
        <family val="2"/>
        <scheme val="minor"/>
      </rPr>
      <t xml:space="preserve">B1.2 (Loại B): </t>
    </r>
    <r>
      <rPr>
        <b/>
        <sz val="12"/>
        <color rgb="FFFF0000"/>
        <rFont val="Aptos Narrow"/>
        <family val="2"/>
        <scheme val="minor"/>
      </rPr>
      <t xml:space="preserve">
B1+B3 ≥ 45%, B2.2+B6.2 ≤  25%
</t>
    </r>
    <r>
      <rPr>
        <b/>
        <sz val="12"/>
        <color rgb="FF0000FF"/>
        <rFont val="Aptos Narrow"/>
        <family val="2"/>
        <scheme val="minor"/>
      </rPr>
      <t>B1.2 (Loại C):</t>
    </r>
    <r>
      <rPr>
        <b/>
        <sz val="12"/>
        <color rgb="FFFF0000"/>
        <rFont val="Aptos Narrow"/>
        <family val="2"/>
        <scheme val="minor"/>
      </rPr>
      <t xml:space="preserve"> 
B1+B3 ≥ 40%, B2.2+B6.2 ≤  30%</t>
    </r>
  </si>
  <si>
    <t>Nguyên liệu HDPE ép màu dương (sóng, thùng, khay, các sản phẩm ép, nắp)</t>
  </si>
  <si>
    <t xml:space="preserve">Thành phẩm sau khi trạm Đại Lộc băm chai B6.2 </t>
  </si>
  <si>
    <t>Nắp rời từ các chai B1.1, B1.2, B2.2, B4, B5 chủ yếu từ trạm Đồng Lâm, Khánh Nga</t>
  </si>
  <si>
    <t>Nước suối có thương hiệu (lavie, aqua)</t>
  </si>
  <si>
    <t>Nước suối mỏng</t>
  </si>
  <si>
    <r>
      <t>Chai PET tuyển dày đã tách nhãn và ép kiện (chai sữa, nước ngọt</t>
    </r>
    <r>
      <rPr>
        <b/>
        <sz val="12"/>
        <color rgb="FF0000FF"/>
        <rFont val="Aptos Narrow"/>
        <family val="2"/>
        <scheme val="minor"/>
      </rPr>
      <t xml:space="preserve"> không có ga</t>
    </r>
    <r>
      <rPr>
        <sz val="12"/>
        <color rgb="FF0000FF"/>
        <rFont val="Aptos Narrow"/>
        <family val="2"/>
        <scheme val="minor"/>
      </rPr>
      <t xml:space="preserve">)
Bao gồm chai B1, B2.1, B3
Tỷ lệ: 
</t>
    </r>
    <r>
      <rPr>
        <b/>
        <sz val="12"/>
        <color rgb="FFFF0000"/>
        <rFont val="Aptos Narrow"/>
        <family val="2"/>
        <scheme val="minor"/>
      </rPr>
      <t xml:space="preserve">B1+B3 </t>
    </r>
    <r>
      <rPr>
        <b/>
        <sz val="12"/>
        <color rgb="FFFF0000"/>
        <rFont val="Aptos Narrow"/>
        <family val="2"/>
      </rPr>
      <t>≥</t>
    </r>
    <r>
      <rPr>
        <b/>
        <sz val="12"/>
        <color rgb="FFFF0000"/>
        <rFont val="Aptos Narrow"/>
        <family val="2"/>
        <scheme val="minor"/>
      </rPr>
      <t xml:space="preserve"> 70%, B2.1 ≤ 30%, Thành phần không đạt ≤ 5%</t>
    </r>
  </si>
  <si>
    <t>Nước ngọt không có ga</t>
  </si>
  <si>
    <t>Nước ngọt có ga (Sting, 247)</t>
  </si>
  <si>
    <r>
      <t xml:space="preserve">Chai nước ngọt </t>
    </r>
    <r>
      <rPr>
        <b/>
        <sz val="12"/>
        <color rgb="FF0000FF"/>
        <rFont val="Aptos Narrow"/>
        <family val="2"/>
        <scheme val="minor"/>
      </rPr>
      <t>có ga</t>
    </r>
    <r>
      <rPr>
        <sz val="12"/>
        <color rgb="FF0000FF"/>
        <rFont val="Aptos Narrow"/>
        <family val="2"/>
        <scheme val="minor"/>
      </rPr>
      <t xml:space="preserve"> (247, sting, coca)</t>
    </r>
  </si>
  <si>
    <t>GĐTC duyệt giá
Giá duyệt T11.2025: 16.500đ/kg</t>
  </si>
  <si>
    <t>GĐTC duyệt giá
Giá duyệt T11.2025: 9.000đ/kg</t>
  </si>
  <si>
    <t>- Giá cố định theo PLHĐ đã ký: 5.500đ/cái ~ 7.971đ/kg 
(Quy cách: 0.69kg/cái)</t>
  </si>
  <si>
    <t>Hiện tại đã ngưng mua mã này</t>
  </si>
  <si>
    <t>- Đầu tháng: TGĐ duyệt giá đầu tháng
- Giá tuần: GĐ Cung Ứng có thẩm quyền điều chỉnh tăng tối đa 200đ/lần, tối đa 2 lần/tháng</t>
  </si>
  <si>
    <t>GĐĐH duyệt giá</t>
  </si>
  <si>
    <t xml:space="preserve"> Giá Trạm: GĐTC tính toán -&gt; GĐĐH ký duyệt</t>
  </si>
  <si>
    <t>- Đầu tháng: TGĐ duyệt đầu tháng
- Giá tuần: GĐĐH được điều chỉnh tăng tối đa 500đ/lần, tối đa 2 lần/tháng</t>
  </si>
  <si>
    <t>Đã ngưng mua mã này</t>
  </si>
  <si>
    <t>Giá Trạm: GĐTC tính toán -&gt; GĐĐH ký duyệt</t>
  </si>
  <si>
    <t>Chai PET nước tương, nước mắm, dầu ăn khác, hủ PET, chai rửa chén, chai viền nhôm, chai còn quai</t>
  </si>
  <si>
    <t>Đồng Lâm</t>
  </si>
  <si>
    <t>Khánh Nga</t>
  </si>
  <si>
    <t>Đại Lộc</t>
  </si>
  <si>
    <t>DTR</t>
  </si>
  <si>
    <t>B1.2</t>
  </si>
  <si>
    <t>&lt;=</t>
  </si>
  <si>
    <t>Nhóm hàng</t>
  </si>
  <si>
    <t xml:space="preserve">Loại </t>
  </si>
  <si>
    <t>Vảy mua ngoài</t>
  </si>
  <si>
    <t>B1.1 :</t>
  </si>
  <si>
    <t xml:space="preserve">B1 </t>
  </si>
  <si>
    <t>TPCĐ</t>
  </si>
  <si>
    <t>=</t>
  </si>
  <si>
    <t>+</t>
  </si>
  <si>
    <t>=&gt;</t>
  </si>
  <si>
    <t>Đối tượng khách hàng</t>
  </si>
  <si>
    <t>Cao cấp</t>
  </si>
  <si>
    <t>Coca</t>
  </si>
  <si>
    <t>SPVB</t>
  </si>
  <si>
    <t>Cấp trung</t>
  </si>
  <si>
    <t>XK</t>
  </si>
  <si>
    <t>Unilever</t>
  </si>
  <si>
    <t>B1.2 :</t>
  </si>
  <si>
    <t>B1 +B3</t>
  </si>
  <si>
    <t xml:space="preserve">B2.1 </t>
  </si>
  <si>
    <t>B2.2 +B6</t>
  </si>
  <si>
    <t>&lt;= 15%</t>
  </si>
  <si>
    <t>Còn lại</t>
  </si>
  <si>
    <t>&gt;= 45%</t>
  </si>
  <si>
    <t xml:space="preserve">Chai các loại không phải là B1;B3;B2.1 và phó sản </t>
  </si>
  <si>
    <r>
      <t xml:space="preserve">TPCĐ: </t>
    </r>
    <r>
      <rPr>
        <b/>
        <sz val="11"/>
        <color rgb="FFFFFF00"/>
        <rFont val="Aptos Narrow"/>
        <family val="2"/>
        <scheme val="minor"/>
      </rPr>
      <t xml:space="preserve">bao gồm </t>
    </r>
  </si>
  <si>
    <t>Nước tương, mắm, dầu ăn -Có thương hiệu</t>
  </si>
  <si>
    <t>Nước tương, mắm, dầu ăn -Ko.Có thương hiệu</t>
  </si>
  <si>
    <t>B1.3  tỷ lệ hao hụt cao hơn B1.1 vì phải loại thêm một số loại đặc biệt
Trong đó, tỷ lệ chai không đạt: 
+ B1.3 (Loại A): &lt;= 5%
+ B1.3 (Loại B): &gt; 5% và &lt;= 10%
+ B1.3 (Loại C): &gt; 10% và &lt;= 15%</t>
  </si>
  <si>
    <t>CSD</t>
  </si>
  <si>
    <t>Nước ngọt không có gas</t>
  </si>
  <si>
    <t>X_ Tỷ lệ % không đạt)</t>
  </si>
  <si>
    <r>
      <t xml:space="preserve">- Giá NCC ngoài: TGĐ duyệt đầu tháng và GĐĐH được điều chỉnh tăng tối đa 500đ/lần, tối đa 2 lần/tháng
</t>
    </r>
    <r>
      <rPr>
        <sz val="12"/>
        <color rgb="FFFF0000"/>
        <rFont val="Aptos Narrow"/>
        <family val="2"/>
        <scheme val="minor"/>
      </rPr>
      <t>- Giá Trạm: GĐTC tính toán -&gt; GĐĐH ký duyệt</t>
    </r>
  </si>
  <si>
    <r>
      <t xml:space="preserve">- Giá NCC ngoài: TGĐ duyệt đầu tháng và GĐĐH được điều chỉnh tăng tối đa 500đ/lần, tối đa 2 lần/tháng (Hiện tại đang ngưng mua B1.2 từ NCC ngoài)
</t>
    </r>
    <r>
      <rPr>
        <sz val="12"/>
        <color rgb="FFFF0000"/>
        <rFont val="Aptos Narrow"/>
        <family val="2"/>
        <scheme val="minor"/>
      </rPr>
      <t>- Giá Trạm: GĐTC tính toán -&gt; GĐĐH ký duyệt</t>
    </r>
  </si>
  <si>
    <t>s</t>
  </si>
  <si>
    <t>Gram</t>
  </si>
  <si>
    <t>BO</t>
  </si>
  <si>
    <t>VảY</t>
  </si>
  <si>
    <t>Sơ đồ khối dòng nguyên liệu-sản phẩm hiện tại của DTR.</t>
  </si>
  <si>
    <t>Với phân bố và định hướng sản phẩm như hiện nay, một số nguyên liệu đầu vào (B2.2/B4/B5) đang gặp khó khăn về giá, do gánh chung dòng chảy với chỉ khoảng 53% nguyên liệu chính B1.1.</t>
  </si>
  <si>
    <t>Tên TP</t>
  </si>
  <si>
    <t>Loại vảy 1</t>
  </si>
  <si>
    <t>Hạt WSS01G-Nia</t>
  </si>
  <si>
    <t>Hạt iSS01G-Out</t>
  </si>
  <si>
    <t>Hạt WSS03G-PW</t>
  </si>
  <si>
    <t>Hạt WSS05SB (sợi ngắn)</t>
  </si>
  <si>
    <t>VND</t>
  </si>
  <si>
    <t>Vảy FPET201-Out</t>
  </si>
  <si>
    <t>Loại vảy 2</t>
  </si>
  <si>
    <t>Loại vảy 3</t>
  </si>
  <si>
    <t>Cộng</t>
  </si>
  <si>
    <t>Hạt WSS01G</t>
  </si>
  <si>
    <t>Hạt iSS01G</t>
  </si>
  <si>
    <t>Hạt iSS01084G</t>
  </si>
  <si>
    <t>Hạt WSS03G</t>
  </si>
  <si>
    <t>Dây Đai</t>
  </si>
  <si>
    <t>Loại vảy 4</t>
  </si>
  <si>
    <t>B7</t>
  </si>
  <si>
    <t>Loại vảy 5</t>
  </si>
  <si>
    <t>Loại vảy 6</t>
  </si>
  <si>
    <t>Hạt WSS01S</t>
  </si>
  <si>
    <t>Chai B1.1</t>
  </si>
  <si>
    <t>Chai B2.2 +B5</t>
  </si>
  <si>
    <t>Chai B4</t>
  </si>
  <si>
    <t>Chai B6.2</t>
  </si>
  <si>
    <t>Giá bán Hạt</t>
  </si>
  <si>
    <t>USD</t>
  </si>
  <si>
    <t>Exw</t>
  </si>
  <si>
    <t>Giá thành vảy (SX) =&gt;</t>
  </si>
  <si>
    <t>Giá chai</t>
  </si>
  <si>
    <t>Giá chai B0</t>
  </si>
  <si>
    <t>Chi phí phân loại</t>
  </si>
  <si>
    <t>Tỷ lệ hao hụt thực tế</t>
  </si>
  <si>
    <t>Tổng chi phí</t>
  </si>
  <si>
    <t>Chi phí hao hụt</t>
  </si>
  <si>
    <t>Giá bán hòa vốn đơn vị</t>
  </si>
  <si>
    <t>So giá mua BO</t>
  </si>
  <si>
    <t>Chai</t>
  </si>
  <si>
    <t>Check với SAP</t>
  </si>
  <si>
    <t>TT</t>
  </si>
  <si>
    <t>BOM</t>
  </si>
  <si>
    <t>Tên vật tư</t>
  </si>
  <si>
    <t>Cơ cấu thành phẩm theo BOM</t>
  </si>
  <si>
    <t>Giá bán chai 3 trạm về DTR</t>
  </si>
  <si>
    <t>Cơ cấu nguyên vật liệu BOM (gram)</t>
  </si>
  <si>
    <t>Cơ cấu thành phẩm thực tế</t>
  </si>
  <si>
    <t>Tỷ trọng giá trị</t>
  </si>
  <si>
    <t>Phân bổ giá B0</t>
  </si>
  <si>
    <t>Phân bổ chi phí phân loại</t>
  </si>
  <si>
    <t>Chi phí sau phân loại</t>
  </si>
  <si>
    <t>Doanh thu đơn vị</t>
  </si>
  <si>
    <t>Lợi nhuận đơn vị</t>
  </si>
  <si>
    <t>Giá thành 1kg sau phân loại</t>
  </si>
  <si>
    <t>Diff</t>
  </si>
  <si>
    <t>Giá BO sau phân loại</t>
  </si>
  <si>
    <t>BOM SAP</t>
  </si>
  <si>
    <t>%Diff</t>
  </si>
  <si>
    <t>Tỷ 3 cấp chất lượng</t>
  </si>
  <si>
    <t>Cơ cấu giá trừ chất lượng</t>
  </si>
  <si>
    <t>GAP so BO</t>
  </si>
  <si>
    <t>Giá mua theo phân loại</t>
  </si>
  <si>
    <t>Chi phí Băm Vảy</t>
  </si>
  <si>
    <t>Vảy</t>
  </si>
  <si>
    <t>Chai PET B1</t>
  </si>
  <si>
    <t>Nắp HD ép, cổ chai</t>
  </si>
  <si>
    <t>Thành phẩm thu được sau lựa</t>
  </si>
  <si>
    <t>Hao hụt (%)</t>
  </si>
  <si>
    <t>Hao hụt (gram_BOM)</t>
  </si>
  <si>
    <t>Giá chai BX mix sau phân loại</t>
  </si>
  <si>
    <t>Giá bán thành chai trước băm</t>
  </si>
  <si>
    <t xml:space="preserve">Phân bổ giá chai băm </t>
  </si>
  <si>
    <t>Chi phí băm</t>
  </si>
  <si>
    <t>Giá thành sau băm</t>
  </si>
  <si>
    <t>Giá thành 1kg sau Băm</t>
  </si>
  <si>
    <t>Giá bán vảy 3 trạm về DTR</t>
  </si>
  <si>
    <t>Vảy_ Chai PET B1</t>
  </si>
  <si>
    <t>Vảy_Chai PET B2.2</t>
  </si>
  <si>
    <t>Vảy_Chai PET B4</t>
  </si>
  <si>
    <t>Vảy_Chai PET B5</t>
  </si>
  <si>
    <t>Vảy_Chai PET B6.2</t>
  </si>
  <si>
    <t>Vảy_Nắp HD ép, cổ chai</t>
  </si>
  <si>
    <t>Giá chai mua vào</t>
  </si>
  <si>
    <t>Giá thành vảy sạch  =&gt; từ chai</t>
  </si>
  <si>
    <t>Giá thành vảy sạch</t>
  </si>
  <si>
    <t>Chi phi tạo hạt</t>
  </si>
  <si>
    <t>Chi phí nâng IV (8 tiếng)</t>
  </si>
  <si>
    <t>Chi phí nâng IV (10 tiếng)</t>
  </si>
  <si>
    <t>Giá thành hạt (IV8)</t>
  </si>
  <si>
    <t>LG</t>
  </si>
  <si>
    <t>%</t>
  </si>
  <si>
    <t>0.7-0.74</t>
  </si>
  <si>
    <t>1000 tấn</t>
  </si>
  <si>
    <t>Quý 3,4</t>
  </si>
  <si>
    <t>Quan chí Bảo</t>
  </si>
  <si>
    <t xml:space="preserve">605 USD/tấn </t>
  </si>
  <si>
    <t>SX từ vày B6.2</t>
  </si>
  <si>
    <t>Giá bán vảy</t>
  </si>
  <si>
    <t>Làm màng</t>
  </si>
  <si>
    <t>Uy kiệt sx màng</t>
  </si>
  <si>
    <t>Chi phí quản lý</t>
  </si>
  <si>
    <t>Tổng hợp Các loại chai</t>
  </si>
  <si>
    <t>Chi phí Băm</t>
  </si>
  <si>
    <t>Chi phí rữa từ chai</t>
  </si>
  <si>
    <t>Chi phí rữa từ  vảy mua ngoài</t>
  </si>
  <si>
    <t>Tỷ Chai/Vảy</t>
  </si>
  <si>
    <t>Giá thành chai chưa băm</t>
  </si>
  <si>
    <t>Mix</t>
  </si>
  <si>
    <t>Vảy -MN</t>
  </si>
  <si>
    <t>Giá thành</t>
  </si>
  <si>
    <t>rHDPE ép</t>
  </si>
  <si>
    <t>SX dây đai</t>
  </si>
  <si>
    <t>BẢNG TÍNH GIÁ MUA CHAI, VẢY TỪ CÁC TRẠM</t>
  </si>
  <si>
    <t>Giá B0</t>
  </si>
  <si>
    <t>ĐVT: đồng/ký</t>
  </si>
  <si>
    <t>Nhóm chai PET</t>
  </si>
  <si>
    <t>Thành phần chai PET sau phân loại</t>
  </si>
  <si>
    <t>Hao hụt</t>
  </si>
  <si>
    <t>Gap (đảm bảo chi phí và lợi nhuận)</t>
  </si>
  <si>
    <t>Giá mua theo công thức</t>
  </si>
  <si>
    <t>Giá mua đề xuất</t>
  </si>
  <si>
    <t>Tỷ lệ</t>
  </si>
  <si>
    <t>Quy ra tiền</t>
  </si>
  <si>
    <t>A. Giá mua Chai</t>
  </si>
  <si>
    <t>Chai PET nhóm 1</t>
  </si>
  <si>
    <t>B1.1 + B1.2 + B1.3 + B2.1 + B3 + B6.1</t>
  </si>
  <si>
    <t>Chai PET nhóm 2</t>
  </si>
  <si>
    <t>B4 + B5</t>
  </si>
  <si>
    <t>Chai PET nhóm 3</t>
  </si>
  <si>
    <t>B2.2 + B6.2</t>
  </si>
  <si>
    <t>Chai PET nhóm 4</t>
  </si>
  <si>
    <t>Nắp HD Ép, cổ chai, PP (quai)</t>
  </si>
  <si>
    <t>B. Giá mua Vảy</t>
  </si>
  <si>
    <t>Nhóm 1</t>
  </si>
  <si>
    <t>Vảy B6.2</t>
  </si>
  <si>
    <t>BẢNG COPY QUA TỜ TRÌNH DUYỆT</t>
  </si>
  <si>
    <t>Tên Chai</t>
  </si>
  <si>
    <t>Giá đề xuất</t>
  </si>
  <si>
    <t>Chai PET B1.1</t>
  </si>
  <si>
    <t>Chai PET B1 KPL (B1.2)</t>
  </si>
  <si>
    <t>Nắp HD Ép, cổ chai</t>
  </si>
  <si>
    <t>PP (quai)</t>
  </si>
  <si>
    <t>CPC</t>
  </si>
  <si>
    <t>Cty</t>
  </si>
  <si>
    <t xml:space="preserve">Cty </t>
  </si>
  <si>
    <t>Far Eastern</t>
  </si>
  <si>
    <t>Nhóm Trung Quốc</t>
  </si>
  <si>
    <t>CL Chai &lt;=&gt; Vảy MN</t>
  </si>
  <si>
    <t>Mix 50%C-50%VMN</t>
  </si>
  <si>
    <t>Chi phí vảy rữa từ chai</t>
  </si>
  <si>
    <t>GT Chai vs Vảy MN</t>
  </si>
  <si>
    <t>SL NL</t>
  </si>
  <si>
    <t>Tỷ  thực tế</t>
  </si>
  <si>
    <t>SL Thực tế</t>
  </si>
  <si>
    <t>Giá bán chai 4 trạm về DTR</t>
  </si>
  <si>
    <t>Vảy sau rửa</t>
  </si>
  <si>
    <t>Vảy sạch</t>
  </si>
  <si>
    <t>Tomra</t>
  </si>
  <si>
    <t>Bụi sàn rung</t>
  </si>
  <si>
    <t>Bụi băm</t>
  </si>
  <si>
    <t>Loại vảy sau rửa</t>
  </si>
  <si>
    <t>B6.2_A0</t>
  </si>
  <si>
    <t>Loại vảy chưa rửa</t>
  </si>
  <si>
    <t>Vảy chưa rửa</t>
  </si>
  <si>
    <t>Olefin</t>
  </si>
  <si>
    <t>Bụi cám</t>
  </si>
  <si>
    <t>Phó sản khác</t>
  </si>
  <si>
    <t>Loại chai sau phân loại</t>
  </si>
  <si>
    <t>B1.1_A0</t>
  </si>
  <si>
    <t>B4_A0</t>
  </si>
  <si>
    <t>B2.2/B5_A0</t>
  </si>
  <si>
    <t>B2.2/B5</t>
  </si>
  <si>
    <t>BO quy đổi cần</t>
  </si>
  <si>
    <t>Hệ số BOM</t>
  </si>
  <si>
    <t>Bq /T 53</t>
  </si>
  <si>
    <t>Bq /T 100</t>
  </si>
  <si>
    <t>NBV</t>
  </si>
  <si>
    <t>B2.2 + B5</t>
  </si>
  <si>
    <t>Giá EXW T2</t>
  </si>
  <si>
    <t>Tỷ Chai/Vảy =&gt;</t>
  </si>
  <si>
    <t>Hạt WSS03NC</t>
  </si>
  <si>
    <t>Hạt WSS04NC</t>
  </si>
  <si>
    <t>C:\Data\GĐ Tài chính\Cost Controlling\Costing Flow Chart\Hảo\WF all.xlsx</t>
  </si>
  <si>
    <t>Chai B0</t>
  </si>
  <si>
    <t>Phân loại</t>
  </si>
  <si>
    <t>Chai B1.1 Sau phân loại</t>
  </si>
  <si>
    <t>Băm</t>
  </si>
  <si>
    <t xml:space="preserve"> Chai 1.1 chưa rửa 1</t>
  </si>
  <si>
    <t>Vảy B1_A1 DT</t>
  </si>
  <si>
    <t>Tạo mẫu</t>
  </si>
  <si>
    <t>Thành phẩm</t>
  </si>
  <si>
    <t>Hạt rPET iSS01084G</t>
  </si>
  <si>
    <t>Rửa</t>
  </si>
  <si>
    <t xml:space="preserve"> Chai 1.1 chưa rửa 2</t>
  </si>
  <si>
    <t>Vảy B1_A2.1 DT</t>
  </si>
  <si>
    <t>Hạt rPET iSS01G</t>
  </si>
  <si>
    <t>Vảy B1_A2.2 DT</t>
  </si>
  <si>
    <t>Tạo hạt iSS01084G</t>
  </si>
  <si>
    <t>100%B1.A1,A2</t>
  </si>
  <si>
    <t>Hạt rPET WSS01G</t>
  </si>
  <si>
    <t>PET B1/B8 Vảy-Nắp</t>
  </si>
  <si>
    <t>Vảy B1_A3 DT</t>
  </si>
  <si>
    <t>Hạt rPET WSS03G</t>
  </si>
  <si>
    <t>Phó Sản PET Tromel</t>
  </si>
  <si>
    <t>Vảy B1_A3 PL</t>
  </si>
  <si>
    <t xml:space="preserve"> Hạt rPET iSS01G 1 PL</t>
  </si>
  <si>
    <t>Phó Sản PET Bụi Tank A</t>
  </si>
  <si>
    <t>Phó Sản B1/B8 Nắp Chưa Băm</t>
  </si>
  <si>
    <t>Phó Sản PET Hạt Chưa Kết Tinh</t>
  </si>
  <si>
    <t>Nhãn, PVC, OPP…</t>
  </si>
  <si>
    <t>Phó Sản PET Tomra Cổng 3</t>
  </si>
  <si>
    <t>Phó Sản PET HAD</t>
  </si>
  <si>
    <t>Phế khác (dây, bao, kẽm..)</t>
  </si>
  <si>
    <t>Phó Sản PET Tuyển nổi 2</t>
  </si>
  <si>
    <t>Phó Sản PET Đầu Keo</t>
  </si>
  <si>
    <t>Hao hụt khác</t>
  </si>
  <si>
    <t>Phó Sản PET Bụi Tank B</t>
  </si>
  <si>
    <t>Hạt nhựa rPET iSS01G 2</t>
  </si>
  <si>
    <t>Phó Sản PET Bụi Tank D</t>
  </si>
  <si>
    <t xml:space="preserve">Tạo hạt iSS01G </t>
  </si>
  <si>
    <t>70% B1-A3 DT/MN + 25% B6.2-A3.1/Nạp Star + 5% Hạt WSS03G PL</t>
  </si>
  <si>
    <t>Hạt Nhựa rPET iSS01G 2 PL</t>
  </si>
  <si>
    <t>Phó Sản PET Zigzag</t>
  </si>
  <si>
    <t>Hạt nhựa rPET WSS01G 2</t>
  </si>
  <si>
    <t>Phó Sản PET Zigzag sau lựa</t>
  </si>
  <si>
    <t>Hạt nhựa rPET WSS03G</t>
  </si>
  <si>
    <t>Phó sản PET bụi cám sau sàn rung</t>
  </si>
  <si>
    <t>Vảy B2.2/B5_A1 DT</t>
  </si>
  <si>
    <t>Vảy B2.2/B5_A2 DT</t>
  </si>
  <si>
    <t>Vảy B2.2/B5_A3 DT</t>
  </si>
  <si>
    <t>Hạt nhựa rPET iSS01G 1</t>
  </si>
  <si>
    <t>85.5% B1-A1/A2 MN + 9.5% B2.2-A1/A2 + 5% Hạt WSS03G PL</t>
  </si>
  <si>
    <t>Hạt nhựa rPET WSS01G 1</t>
  </si>
  <si>
    <t>Chai PET B4/B5/B6 sau phân loại</t>
  </si>
  <si>
    <t>Phó Sản PET Bụi Cám Sau Sàn Rung</t>
  </si>
  <si>
    <t>Hạt Nhựa rPET iSS01G 1 PL</t>
  </si>
  <si>
    <t>Phó Sản PET Zigzag Sau Lựa</t>
  </si>
  <si>
    <t>Phó Sản PET Bụi LB</t>
  </si>
  <si>
    <t>Phó Sản Hạt PET Quét Nền</t>
  </si>
  <si>
    <t xml:space="preserve"> Chai 4 chưa rửa 1</t>
  </si>
  <si>
    <t>Gia công</t>
  </si>
  <si>
    <t xml:space="preserve">Tạo hạt WSS01G </t>
  </si>
  <si>
    <t>100% B1.2_A2 DT (STAR 1)</t>
  </si>
  <si>
    <t>Hạt Nhựa rPET WSS01G 1 PL</t>
  </si>
  <si>
    <t>Chai B6.2 sau phân loại</t>
  </si>
  <si>
    <t xml:space="preserve"> Chai 6.2 chưa rửa 1</t>
  </si>
  <si>
    <t>Vảy B6.2_A1</t>
  </si>
  <si>
    <t xml:space="preserve"> Chai 6.2 chưa rửa 2</t>
  </si>
  <si>
    <t>Vảy B6.2_A2</t>
  </si>
  <si>
    <t>Vảy B6.2_Nạp Star</t>
  </si>
  <si>
    <t>Vảy B6.2_A3</t>
  </si>
  <si>
    <t>100% B1.2_A2 DT (STAR 2)</t>
  </si>
  <si>
    <t>Chai PET B4/B5/B6 Sau phân loại</t>
  </si>
  <si>
    <t>Phó Sản PET B6.2 Vảy-Nắp</t>
  </si>
  <si>
    <t>PP Vàng Quai-Nắp</t>
  </si>
  <si>
    <t>Phó Sản B6.2 Nắp Chưa Băm</t>
  </si>
  <si>
    <t>Phó Sản Hạt rPET WSS01G Lẫn Kim Loại</t>
  </si>
  <si>
    <t>Phó Sản PET Bụi Tank C</t>
  </si>
  <si>
    <t>95% B1-A1/A2.1 MN + 5% Hạt WSS03G PL</t>
  </si>
  <si>
    <t>85.5% B1-A2.2 DT/MN + 9.5% B6.2-A1/A2 + 5% Hạt WSS03G PL</t>
  </si>
  <si>
    <t xml:space="preserve">Tạo hạt WSS03G </t>
  </si>
  <si>
    <t>Hạt nhựa rPET WSS03G PL</t>
  </si>
  <si>
    <t>30% Vảy PET Mix  B2-B3-B7 + 70% Vảy PET B6.2_A3.1</t>
  </si>
  <si>
    <t xml:space="preserve"> </t>
  </si>
  <si>
    <t>HS TH Vảy</t>
  </si>
  <si>
    <t>HS TH Hạt</t>
  </si>
  <si>
    <t xml:space="preserve">Giá thành nhựa_chai </t>
  </si>
  <si>
    <t xml:space="preserve">Giá thành nhựa_Vảy MN </t>
  </si>
  <si>
    <t>Giá thành nhựa_Chai &amp;Vảy</t>
  </si>
  <si>
    <t xml:space="preserve">HSTH </t>
  </si>
  <si>
    <t>GHV</t>
  </si>
  <si>
    <t>Giá thành nhựa_vảy sạch</t>
  </si>
  <si>
    <t>Chi phí SX Từ chai</t>
  </si>
  <si>
    <t>Chi phí SX từ vảy mua ngoài</t>
  </si>
  <si>
    <t xml:space="preserve">HSTH  Vảy_Tất cả </t>
  </si>
  <si>
    <t>TPMT</t>
  </si>
  <si>
    <t>TP1</t>
  </si>
  <si>
    <t>TP1PL</t>
  </si>
  <si>
    <t>TP2PL</t>
  </si>
  <si>
    <t>Cho c thức Vảy Mix</t>
  </si>
  <si>
    <t>Vảy B2/B3/B7_A1 DT</t>
  </si>
  <si>
    <t>Chai B2 +B3+ B7</t>
  </si>
  <si>
    <t xml:space="preserve"> Chai B2/B3/B7 chưa rửa</t>
  </si>
  <si>
    <t>Bq /Tháng</t>
  </si>
  <si>
    <t>Giá Mua</t>
  </si>
  <si>
    <t>CF PL</t>
  </si>
  <si>
    <t>Tỷ lệ HH</t>
  </si>
  <si>
    <t>Tỷ lệ BOM</t>
  </si>
  <si>
    <t>CF</t>
  </si>
  <si>
    <t>Giá B1</t>
  </si>
  <si>
    <t>CF sau PB</t>
  </si>
  <si>
    <t>Check từ B0</t>
  </si>
  <si>
    <r>
      <t>30%  B1-A3/A2.2 MN + 15% B2.2-A3/A2 + 55% B6.2 Nạp Star/A2 +</t>
    </r>
    <r>
      <rPr>
        <b/>
        <sz val="12"/>
        <color rgb="FFFF0000"/>
        <rFont val="Times New Roman"/>
        <family val="1"/>
      </rPr>
      <t xml:space="preserve"> 5%</t>
    </r>
    <r>
      <rPr>
        <b/>
        <sz val="12"/>
        <color rgb="FF000000"/>
        <rFont val="Times New Roman"/>
        <family val="1"/>
      </rPr>
      <t xml:space="preserve"> Hạt WSS03G PL</t>
    </r>
  </si>
  <si>
    <t>Chai Sau PL</t>
  </si>
  <si>
    <t>CF Băm</t>
  </si>
  <si>
    <t>CF Rữa</t>
  </si>
  <si>
    <t xml:space="preserve">GT Vảy </t>
  </si>
  <si>
    <t>CF nhựa_ Vảy</t>
  </si>
  <si>
    <t>CF nhựa_ Hạt</t>
  </si>
  <si>
    <t>Pro.Order</t>
  </si>
  <si>
    <t>CF Tạo Hạt</t>
  </si>
  <si>
    <t>CF Nâng IV</t>
  </si>
  <si>
    <t>GT Hạt</t>
  </si>
  <si>
    <t>8h</t>
  </si>
  <si>
    <t>CF BH</t>
  </si>
  <si>
    <t>CFQL</t>
  </si>
  <si>
    <t>CF TC</t>
  </si>
  <si>
    <t>TC</t>
  </si>
  <si>
    <t>GBHV</t>
  </si>
  <si>
    <t>Check NBV</t>
  </si>
  <si>
    <t>Gía bán theo giá trị</t>
  </si>
  <si>
    <t xml:space="preserve">CF </t>
  </si>
  <si>
    <t>LN MM</t>
  </si>
  <si>
    <t>Vảy FPET 201</t>
  </si>
  <si>
    <t>15% B1-A2.2 DT/MN + 65% B6.2-A1/A2 + 20% B5</t>
  </si>
  <si>
    <t>95% B6.2 + 5% B4</t>
  </si>
  <si>
    <t>Cao hơn(+) /Thấp hơn (-)</t>
  </si>
  <si>
    <t>Hạt WSS03SB</t>
  </si>
  <si>
    <t>Hạt WSS04SB</t>
  </si>
  <si>
    <t>Hyoshung</t>
  </si>
  <si>
    <t>Hạt nhựa rPET WSS04SB</t>
  </si>
  <si>
    <t>Chi phí rữa</t>
  </si>
  <si>
    <t>C:\Data\GĐ Tài chính\Cost Controlling\Costing Flow Chart\Báo CT _Model\PET_FULL_CFO_OPTIMIZATION.xlsx</t>
  </si>
  <si>
    <t>Từ B0</t>
  </si>
  <si>
    <t>Từ Vảy</t>
  </si>
  <si>
    <t>LG cũ</t>
  </si>
  <si>
    <t>% LG cũ</t>
  </si>
  <si>
    <t>LNST</t>
  </si>
  <si>
    <t>% LG  mới</t>
  </si>
  <si>
    <t>Giá trình (KTQT)</t>
  </si>
  <si>
    <t>RANK</t>
  </si>
  <si>
    <t>Product</t>
  </si>
  <si>
    <t>PET B4 Vảy-Nắp</t>
  </si>
  <si>
    <t>Phó Sản PET Zigzag_sau lựa</t>
  </si>
  <si>
    <t>Phế khác</t>
  </si>
  <si>
    <t>100%</t>
  </si>
  <si>
    <t>80%</t>
  </si>
  <si>
    <t>60%</t>
  </si>
  <si>
    <t>50%</t>
  </si>
  <si>
    <t>Rework</t>
  </si>
  <si>
    <t>Phó Sản PET Zigzag_Sau lựa</t>
  </si>
  <si>
    <t>Hạt WSS01_Lavie</t>
  </si>
  <si>
    <t>Hạt iSS01084G_SPVB</t>
  </si>
  <si>
    <t>Hạt iSS01084G_Coca Cola</t>
  </si>
  <si>
    <t>Hạt WSS01G_Niagara</t>
  </si>
  <si>
    <t>Hạt iSS01G_Outerinho</t>
  </si>
  <si>
    <t>Rank theo CF Vận hành</t>
  </si>
  <si>
    <t>NRV</t>
  </si>
  <si>
    <t>90%B1.A1,A2 +10% B6.2-A1/A2</t>
  </si>
  <si>
    <t>Niagara</t>
  </si>
  <si>
    <t>89% B6.2 + 11% B4</t>
  </si>
  <si>
    <t>Hyosung</t>
  </si>
  <si>
    <t>Hạt</t>
  </si>
  <si>
    <t>HSTH</t>
  </si>
  <si>
    <t>Chai PET B6 Sau Phân Loại</t>
  </si>
  <si>
    <t>Chai PET B5 Sau Phân Loại</t>
  </si>
  <si>
    <t>Chai PET B4 Sau Phân Loại</t>
  </si>
  <si>
    <t>Vảy B4_A3 DT</t>
  </si>
  <si>
    <t>Vảy B4_A1/A2 DT</t>
  </si>
  <si>
    <t>Giá B4</t>
  </si>
  <si>
    <t xml:space="preserve">Giá B2.2 </t>
  </si>
  <si>
    <t xml:space="preserve">Chai B2.2 </t>
  </si>
  <si>
    <t>Giá B6.2</t>
  </si>
  <si>
    <t>Chai B5</t>
  </si>
  <si>
    <t>Giá B5</t>
  </si>
  <si>
    <t xml:space="preserve"> Chai 2.2 chưa rửa</t>
  </si>
  <si>
    <t>Phó Sản PET B2 Vảy-Nắp</t>
  </si>
  <si>
    <t>Phó Sản PET B5 Vảy-Nắp</t>
  </si>
  <si>
    <t xml:space="preserve"> Chai B5 chưa rửa 1</t>
  </si>
  <si>
    <t xml:space="preserve"> Chai B5 chưa rửa 2</t>
  </si>
  <si>
    <t>Vảy B5_A1 DT</t>
  </si>
  <si>
    <t>Vảy B5_A2 DT</t>
  </si>
  <si>
    <t>Vảy B5_A3 DT</t>
  </si>
  <si>
    <t>Phó Sản PET tuyển nổi 2</t>
  </si>
  <si>
    <t xml:space="preserve">Hao hụt </t>
  </si>
  <si>
    <t>% LG  mới-PS-KTQT</t>
  </si>
  <si>
    <t>ĐG</t>
  </si>
  <si>
    <t>SL</t>
  </si>
  <si>
    <t>TH SL</t>
  </si>
  <si>
    <t xml:space="preserve">GT </t>
  </si>
  <si>
    <t xml:space="preserve">Cơ cấu thành phẩm thực tế </t>
  </si>
  <si>
    <t>Giá bán 3 trạm về DTR</t>
  </si>
  <si>
    <t>Phó sản</t>
  </si>
  <si>
    <t>Tháng 1</t>
  </si>
  <si>
    <t>Tháng 2</t>
  </si>
  <si>
    <t>Tháng 3</t>
  </si>
  <si>
    <t>CL</t>
  </si>
  <si>
    <t>Tháng 4</t>
  </si>
  <si>
    <t>NRV_IN</t>
  </si>
  <si>
    <t>BẢNG TÍNH SETTLEMENT RULE BOM - ROUTING (co-product)</t>
  </si>
  <si>
    <t>Hide</t>
  </si>
  <si>
    <t xml:space="preserve">I. </t>
  </si>
  <si>
    <t>CÔNG ĐOẠN PHÂN LOẠI CHAI</t>
  </si>
  <si>
    <t>BOM - KẾ HOẠCH</t>
  </si>
  <si>
    <t>Sản lượng thành phẩm thực tế</t>
  </si>
  <si>
    <t>Hệ số quy đổi</t>
  </si>
  <si>
    <t>Sản lượng thành phẩm quy đổi</t>
  </si>
  <si>
    <t>Giá trị nguyên liệu phân bổ cho thành phẩm quy đổi</t>
  </si>
  <si>
    <t>Settlement rule - BOM</t>
  </si>
  <si>
    <t>Settlement rule - ROUTING</t>
  </si>
  <si>
    <t>Giá bán hiện tại</t>
  </si>
  <si>
    <t>Hệ số quy đổi giá bán</t>
  </si>
  <si>
    <t>GT NVL</t>
  </si>
  <si>
    <t>CFSX</t>
  </si>
  <si>
    <t>GT SP Trạm</t>
  </si>
  <si>
    <t>Số lượng</t>
  </si>
  <si>
    <t>(1)</t>
  </si>
  <si>
    <t>(2)</t>
  </si>
  <si>
    <t>(3)= (1)*(2)</t>
  </si>
  <si>
    <t>(4)</t>
  </si>
  <si>
    <t>150000001</t>
  </si>
  <si>
    <t>Chai PET xá</t>
  </si>
  <si>
    <t>160000001</t>
  </si>
  <si>
    <t>(4) = Tổng giá trị NVL /(Tổng số lượng TP quy đổi) * Sl Tp quy đổi.
(5) = Giá trị nguyên liệu phân bổ cho thành phẩm quy đổi / Tổng giá trị nguyên liệu phân bổ cho thành phẩm quy đổi</t>
  </si>
  <si>
    <t>160000081</t>
  </si>
  <si>
    <t>160000002</t>
  </si>
  <si>
    <t>160000063</t>
  </si>
  <si>
    <t>160000004</t>
  </si>
  <si>
    <t>160000005</t>
  </si>
  <si>
    <t>160000007</t>
  </si>
  <si>
    <t>160000084</t>
  </si>
  <si>
    <t>160000062</t>
  </si>
  <si>
    <t>Cổ Chai PET</t>
  </si>
  <si>
    <t>160000006</t>
  </si>
  <si>
    <t>Hao Hụt - Tạp chất</t>
  </si>
  <si>
    <t>800000006</t>
  </si>
  <si>
    <t>Hao hụt - nhãn chai PET</t>
  </si>
  <si>
    <t>Hao hụt vô hình</t>
  </si>
  <si>
    <t>TỔNG</t>
  </si>
  <si>
    <t>II.</t>
  </si>
  <si>
    <t>CÔNG ĐOẠN BĂM CHAI B6.2</t>
  </si>
  <si>
    <t>160000027</t>
  </si>
  <si>
    <t>160000059</t>
  </si>
  <si>
    <t xml:space="preserve">Vảy nắp hỗn hợp B6.2 </t>
  </si>
  <si>
    <t>Phó sản bụi cám</t>
  </si>
  <si>
    <t xml:space="preserve">Giá BO sau Phân loại </t>
  </si>
  <si>
    <t>Đlộc</t>
  </si>
  <si>
    <t>KN</t>
  </si>
  <si>
    <t>ĐLâm</t>
  </si>
  <si>
    <t>Giá thị trường</t>
  </si>
  <si>
    <t xml:space="preserve">Vảy PET_A5.1 mua ngoài </t>
  </si>
  <si>
    <t>Chai B 1</t>
  </si>
  <si>
    <t>Giá mua chai B0</t>
  </si>
  <si>
    <t>Tỷ lệ HH Mua B0</t>
  </si>
  <si>
    <t>40%</t>
  </si>
  <si>
    <t xml:space="preserve">Vảy B2.2 </t>
  </si>
  <si>
    <t>Vảy B4</t>
  </si>
  <si>
    <t>Vảy B5</t>
  </si>
  <si>
    <t>Công thức sản xuất</t>
  </si>
  <si>
    <t>Vảy B 1_A1/A2</t>
  </si>
  <si>
    <t>Vảy chưa rữa  (HSTH và  GT)-Băm</t>
  </si>
  <si>
    <t>Vảy sau rữa (HSTH và  GT) -Rữa</t>
  </si>
  <si>
    <t>Vảy B2.2_A1 DT</t>
  </si>
  <si>
    <t>Vảy B2.2_A2 DT</t>
  </si>
  <si>
    <t>Vảy B2.2_A3 DT</t>
  </si>
  <si>
    <t>85.5% B1-A1/A2 DT/MN + 9.5% B7-A1 + 5% Hạt WSS03G PL</t>
  </si>
  <si>
    <t>85.5% B1.2-A1/A2 DT + 9.5% B2.2-A1/A2 + 5% Hạt WSS03G PL</t>
  </si>
  <si>
    <t>15% B3-A5.2_A3  + 60% B1-A1/A2 MN/DT+ 25% B6.2-A3.1/Nạp Star + 5% Hạt WSS03G PL</t>
  </si>
  <si>
    <t>Vảy B1 MN (50%)</t>
  </si>
  <si>
    <t xml:space="preserve"> 90% Vảy PET B6.2_A3.1/A2 +10% B5-A3/A2</t>
  </si>
  <si>
    <t>Phó Sản Hạt rPET WSS03G Lẫn Kim Loại</t>
  </si>
  <si>
    <t>Tạo hạt WSS04NC</t>
  </si>
  <si>
    <t>Tạo hạt WSS04SB</t>
  </si>
  <si>
    <t>Tạo hạt WSS05SB</t>
  </si>
  <si>
    <t>100% Vảy PET HAD_A3</t>
  </si>
  <si>
    <t>100% Vảy PET Tomra_A3</t>
  </si>
  <si>
    <t xml:space="preserve">100%  B1.1-A2.2 DT </t>
  </si>
  <si>
    <t>70%  B1-A3 DT/MN +30% B6.2-A2/A3.1</t>
  </si>
  <si>
    <t>100%  B1.1-A2.2 DT + 5% B5-A2</t>
  </si>
  <si>
    <t>70% Vảy PET HAD_A3+ 30% Vảy PET Zigzar_A3</t>
  </si>
  <si>
    <t>70% Vảy PET HAD_A3+ 30% Vảy PET Tuyển nổi_A3</t>
  </si>
  <si>
    <t>Hạt nhựa rPET WSS05SB</t>
  </si>
  <si>
    <t>Hạt nhựa rPET WSS005SB PL</t>
  </si>
  <si>
    <t>Hạt nhựa rPET WSS004SB PL</t>
  </si>
  <si>
    <t>Room</t>
  </si>
  <si>
    <t>Tạo hạt_CF Nhựa</t>
  </si>
  <si>
    <t xml:space="preserve">HSTH  Hạt_Tất cả </t>
  </si>
  <si>
    <t>LNST (VND)</t>
  </si>
  <si>
    <t>LNST (USD)</t>
  </si>
  <si>
    <t xml:space="preserve">Chi phí SX </t>
  </si>
  <si>
    <t>Gíá V HB</t>
  </si>
  <si>
    <t>Tỷ lệ hao hụt</t>
  </si>
  <si>
    <t>Chai sau PL</t>
  </si>
  <si>
    <t>CF nhựa_ chai B0 sau phân loại</t>
  </si>
  <si>
    <t>Tỷ lệ chai sau PL</t>
  </si>
  <si>
    <t>Hao hụt công đoạn phân loại B0</t>
  </si>
  <si>
    <t>Cphi phí sx</t>
  </si>
  <si>
    <t>Chi phi phí sau phân loại</t>
  </si>
  <si>
    <t>Nhựa /1kg</t>
  </si>
  <si>
    <t>CF nhựa_ Vảy A1_DT</t>
  </si>
  <si>
    <t>CF SX</t>
  </si>
  <si>
    <t>HH B0</t>
  </si>
  <si>
    <t>PB giá trị B0 =&gt; B1</t>
  </si>
  <si>
    <t>HH B0 =&gt; B1</t>
  </si>
  <si>
    <t xml:space="preserve">CFPL </t>
  </si>
  <si>
    <t>Check</t>
  </si>
  <si>
    <t>PB giá trị B1=&gt;A0_DT</t>
  </si>
  <si>
    <t>HH B1=&gt;A0_DT</t>
  </si>
  <si>
    <t>CFPL B1=&gt;A0_DT</t>
  </si>
  <si>
    <t xml:space="preserve">HSTH  Vảy A0_Tất cả </t>
  </si>
  <si>
    <t xml:space="preserve">HSTH  Vảy A1 DT_Tất cả </t>
  </si>
  <si>
    <t>Vảy A0</t>
  </si>
  <si>
    <t>HH  Vảy A1_DT =&gt;  Hạt</t>
  </si>
  <si>
    <t>Vảy A1</t>
  </si>
  <si>
    <t xml:space="preserve">Gía thành Vảy A0 </t>
  </si>
  <si>
    <t>% thu hồi</t>
  </si>
  <si>
    <t xml:space="preserve">Min </t>
  </si>
  <si>
    <t>Max</t>
  </si>
  <si>
    <t>Giá thành Vảy_A1 DT</t>
  </si>
  <si>
    <t xml:space="preserve">Hạt </t>
  </si>
  <si>
    <t>%LNST</t>
  </si>
  <si>
    <t>Phó sản -CĐ Băm</t>
  </si>
  <si>
    <t>CFPL B0 tớí Vảy A0</t>
  </si>
  <si>
    <t>CFPL B0</t>
  </si>
  <si>
    <t>CFPL B0 tớí Vảy A1_DT</t>
  </si>
  <si>
    <t>CFPL B0 tớí Hạt</t>
  </si>
  <si>
    <t>Phó sản CĐ Rữa</t>
  </si>
  <si>
    <t>Phó sản CĐ tạo hạt</t>
  </si>
  <si>
    <t>PB giá trị B1 =&gt; Vảy A0</t>
  </si>
  <si>
    <t>HH B1 =&gt; Vảy A0_Băm</t>
  </si>
  <si>
    <t>PB giá trị B1 =&gt; A1_DT</t>
  </si>
  <si>
    <t>HH A0 =&gt;A1_DT</t>
  </si>
  <si>
    <t>PB giá trị B1 =&gt;Hạt</t>
  </si>
  <si>
    <t>Giá trị</t>
  </si>
  <si>
    <t>Chi phí NVL</t>
  </si>
  <si>
    <t>Chi phí sản xuất</t>
  </si>
  <si>
    <t>Hao hụt về tiền</t>
  </si>
  <si>
    <t>CP QL + bán hàng + lãi vay</t>
  </si>
  <si>
    <t>Thuế TNDN</t>
  </si>
  <si>
    <t>Lợi nhuận sau thuế</t>
  </si>
  <si>
    <t>Lợi nhuận MM</t>
  </si>
  <si>
    <t>Giá bán</t>
  </si>
  <si>
    <t>CP quản lý, bán hàng, lãi vay</t>
  </si>
  <si>
    <t>Điểm hòa vốn (D+E) _USD</t>
  </si>
  <si>
    <t>Điểm hòa vốn (D+E) _VND</t>
  </si>
  <si>
    <t>Gíá bán theo giá trị</t>
  </si>
  <si>
    <t>% LNST</t>
  </si>
  <si>
    <t>KTQT</t>
  </si>
  <si>
    <t>LG  mới-PS-KTQT</t>
  </si>
  <si>
    <t>Chi phí sản xuất _Phân loại</t>
  </si>
  <si>
    <t>Chi phí sản xuất _Băm</t>
  </si>
  <si>
    <t>Chi phí sản xuất _Rữa</t>
  </si>
  <si>
    <t>Phó sản thu hồi</t>
  </si>
  <si>
    <t>BO:</t>
  </si>
  <si>
    <t>Giá thành Vảy</t>
  </si>
  <si>
    <t>CF Nâng  IV (10h)</t>
  </si>
  <si>
    <t>CF Nâng  IV (8h)</t>
  </si>
  <si>
    <t>Gía bán  theo giá trị</t>
  </si>
  <si>
    <t>LN    MM</t>
  </si>
  <si>
    <t>U</t>
  </si>
  <si>
    <t>%LG</t>
  </si>
  <si>
    <t>Pepsi</t>
  </si>
  <si>
    <t>Coke</t>
  </si>
  <si>
    <t>Giá thành hạt</t>
  </si>
  <si>
    <t>Chi phí sản xuất _Tạo hạt</t>
  </si>
  <si>
    <t>Chi phí sản xuất _Nâng IV</t>
  </si>
  <si>
    <t>HSTH Hạt</t>
  </si>
  <si>
    <t>Ex</t>
  </si>
  <si>
    <t>Cần cung cấp  Vảy MN</t>
  </si>
  <si>
    <t>Hạt từ B2P thiếu</t>
  </si>
  <si>
    <t>Bq /T 55</t>
  </si>
  <si>
    <t xml:space="preserve">GIÁ BÁN </t>
  </si>
  <si>
    <t>Lấy chi phí KN</t>
  </si>
  <si>
    <t>LN Mục tiêu 2%</t>
  </si>
  <si>
    <t>Giá duyệt</t>
  </si>
  <si>
    <t>GAP</t>
  </si>
  <si>
    <t>ĐỒNG LÂM</t>
  </si>
  <si>
    <t>Cộng chi phí thuê xưởng</t>
  </si>
  <si>
    <t>ĐAI LỘC</t>
  </si>
  <si>
    <t>Hỗ trợ giá bán bù chi phí thuê xưởng cao</t>
  </si>
  <si>
    <t>LN Mục tiêu 0%</t>
  </si>
  <si>
    <t xml:space="preserve">Chuyền Băm và rữa HD _Pulian </t>
  </si>
  <si>
    <t>KH 1 tháng 200 triệu</t>
  </si>
  <si>
    <t>Thị trướng</t>
  </si>
  <si>
    <t>Vảy A1_MN</t>
  </si>
  <si>
    <t>Vảy B1_ A1_MN</t>
  </si>
  <si>
    <t>HH A0 =&gt;A1_MN</t>
  </si>
  <si>
    <t>CF nhựa_ Vảy A1_MN</t>
  </si>
  <si>
    <t>1 Mục tiêu LN của các trạm  2% (hoặc không lỗ)</t>
  </si>
  <si>
    <t>2 Bám sát giá thị trường</t>
  </si>
  <si>
    <t>3 Tăng và đảm bảo sản lượng để trạm tối ưu chi phí</t>
  </si>
  <si>
    <t xml:space="preserve">4 Xem xét các chi phí không </t>
  </si>
  <si>
    <t>KHÁNH NGA</t>
  </si>
  <si>
    <t>CL sau áp giá mới</t>
  </si>
  <si>
    <t>Trình GAP (đảm bảo chi phí và lợi nhuận)</t>
  </si>
  <si>
    <t>Vảy PET Zigzag_A3</t>
  </si>
  <si>
    <t>Vảy PET Tomra_A3</t>
  </si>
  <si>
    <t>Vảy PET Tuyển Nổi 2_A3</t>
  </si>
  <si>
    <t>Vảy PET HAD_A3</t>
  </si>
  <si>
    <t>Giá gán</t>
  </si>
  <si>
    <t>Thực tế bán</t>
  </si>
  <si>
    <t>Tên Chai  =&gt;</t>
  </si>
  <si>
    <t>Sản lượng Thành Phẩm  =&gt;</t>
  </si>
  <si>
    <t>Sản lượng chai /vảy  =&gt;</t>
  </si>
  <si>
    <t>Giá thành Hạt (USD)</t>
  </si>
  <si>
    <t>Giá thành Hạt (VND)</t>
  </si>
  <si>
    <t>Cơ chai mua vào sau lựa =&gt;</t>
  </si>
  <si>
    <t>Hạt WSS04SB (sợi ngắn)</t>
  </si>
  <si>
    <t>4 Xem xét các chi phí không hợp lý</t>
  </si>
  <si>
    <t>5. Chi phí sản xuất của từng trạm</t>
  </si>
  <si>
    <t>6. Khoản GAP hiện hành</t>
  </si>
  <si>
    <t>Giá duyệt (sau điều chỉnh)</t>
  </si>
  <si>
    <t>GAP (sau điều chỉnh)</t>
  </si>
  <si>
    <t>Hỗ trợ giá bán bù chi phí thuê xưởng cao =&gt; Giữ nguyên GAP</t>
  </si>
  <si>
    <t>Căn cứ:</t>
  </si>
  <si>
    <t xml:space="preserve">lại </t>
  </si>
  <si>
    <t>T4</t>
  </si>
  <si>
    <t>DT</t>
  </si>
  <si>
    <t>GV</t>
  </si>
  <si>
    <t>LNTT</t>
  </si>
  <si>
    <t>LN Mục tiêu 0% (không lỗ)</t>
  </si>
  <si>
    <t>Đề xuất  hướng điều chỉnh GAP theo từng trạm như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</si>
</sst>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_(* #,##0_);_(* \(#,##0\);_(* &quot;-&quot;??_);_(@_)"/>
    <numFmt numFmtId="166" formatCode="0%;[Red]\-0%;_(* &quot;&quot;??_)"/>
    <numFmt numFmtId="167" formatCode="_(* #,##0.0000_);_(* \(#,##0.0000\);_(* &quot;-&quot;??_);_(@_)"/>
    <numFmt numFmtId="168" formatCode="_(* #,##0_);_(* \(#,##0\);_(* &quot;-&quot;?_);_(@_)"/>
    <numFmt numFmtId="169" formatCode="_(* #,##0.0_);_(* \(#,##0.0\);_(* &quot;-&quot;??_);_(@_)"/>
    <numFmt numFmtId="170" formatCode="_(* #,##0.00000_);_(* \(#,##0.00000\);_(* &quot;-&quot;??_);_(@_)"/>
    <numFmt numFmtId="171" formatCode="0.0%;[Red]\-0.0%;_(* &quot;&quot;??_)"/>
    <numFmt numFmtId="172" formatCode="0.0000"/>
    <numFmt numFmtId="173" formatCode="_(* #,##0.000_);_(* \(#,##0.000\);_(* &quot;-&quot;??_);_(@_)"/>
  </numFmts>
  <fonts count="96" x14ac:knownFonts="1">
    <font>
      <sz val="11"/>
      <color theme="1"/>
      <name val="Aptos Narrow"/>
      <family val="2"/>
      <scheme val="minor"/>
    </font>
    <font>
      <b/>
      <sz val="11"/>
      <color theme="1"/>
      <name val="Aptos Narrow"/>
      <family val="2"/>
      <scheme val="minor"/>
    </font>
    <font>
      <b/>
      <sz val="12"/>
      <color theme="0"/>
      <name val="Aptos Narrow"/>
      <family val="2"/>
      <scheme val="minor"/>
    </font>
    <font>
      <b/>
      <sz val="16"/>
      <color rgb="FF0000FF"/>
      <name val="Aptos Narrow"/>
      <family val="2"/>
      <scheme val="minor"/>
    </font>
    <font>
      <b/>
      <sz val="12"/>
      <color rgb="FF0033CC"/>
      <name val="Aptos Narrow"/>
      <family val="2"/>
      <scheme val="minor"/>
    </font>
    <font>
      <sz val="11"/>
      <color rgb="FFFF0000"/>
      <name val="Aptos Narrow"/>
      <family val="2"/>
      <scheme val="minor"/>
    </font>
    <font>
      <b/>
      <sz val="12"/>
      <color rgb="FFFF0000"/>
      <name val="Aptos Narrow"/>
      <family val="2"/>
      <scheme val="minor"/>
    </font>
    <font>
      <u/>
      <sz val="11"/>
      <color theme="10"/>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sz val="12"/>
      <color rgb="FFFF0000"/>
      <name val="Aptos Narrow"/>
      <family val="2"/>
      <scheme val="minor"/>
    </font>
    <font>
      <sz val="12"/>
      <color rgb="FF0000FF"/>
      <name val="Aptos Narrow"/>
      <family val="2"/>
      <scheme val="minor"/>
    </font>
    <font>
      <sz val="11"/>
      <color rgb="FF0000FF"/>
      <name val="Aptos Narrow"/>
      <family val="2"/>
      <scheme val="minor"/>
    </font>
    <font>
      <b/>
      <sz val="12"/>
      <color rgb="FF0000FF"/>
      <name val="Aptos Narrow"/>
      <family val="2"/>
      <scheme val="minor"/>
    </font>
    <font>
      <b/>
      <sz val="11"/>
      <color rgb="FF0000FF"/>
      <name val="Aptos Narrow"/>
      <family val="2"/>
      <scheme val="minor"/>
    </font>
    <font>
      <b/>
      <sz val="12"/>
      <color rgb="FFFF0000"/>
      <name val="Aptos Narrow"/>
      <family val="2"/>
    </font>
    <font>
      <b/>
      <u/>
      <sz val="12"/>
      <color rgb="FFC00000"/>
      <name val="Aptos Narrow"/>
      <family val="2"/>
      <scheme val="minor"/>
    </font>
    <font>
      <u/>
      <sz val="12"/>
      <color rgb="FF0000FF"/>
      <name val="Aptos Narrow"/>
      <family val="2"/>
      <scheme val="minor"/>
    </font>
    <font>
      <sz val="16"/>
      <color theme="1"/>
      <name val="Aptos Narrow"/>
      <family val="2"/>
      <scheme val="minor"/>
    </font>
    <font>
      <u/>
      <sz val="12"/>
      <color theme="10"/>
      <name val="Aptos Narrow"/>
      <family val="2"/>
      <scheme val="minor"/>
    </font>
    <font>
      <b/>
      <sz val="12"/>
      <color rgb="FF92D050"/>
      <name val="Aptos Narrow"/>
      <family val="2"/>
      <scheme val="minor"/>
    </font>
    <font>
      <sz val="12"/>
      <color rgb="FF92D050"/>
      <name val="Aptos Narrow"/>
      <family val="2"/>
      <scheme val="minor"/>
    </font>
    <font>
      <b/>
      <sz val="11"/>
      <color rgb="FFFF0000"/>
      <name val="Aptos Narrow"/>
      <family val="2"/>
      <scheme val="minor"/>
    </font>
    <font>
      <b/>
      <sz val="11"/>
      <color rgb="FF00B0F0"/>
      <name val="Aptos Narrow"/>
      <family val="2"/>
      <scheme val="minor"/>
    </font>
    <font>
      <b/>
      <sz val="11"/>
      <color rgb="FFFFFF00"/>
      <name val="Aptos Narrow"/>
      <family val="2"/>
      <scheme val="minor"/>
    </font>
    <font>
      <b/>
      <sz val="12"/>
      <color rgb="FFC00000"/>
      <name val="Aptos Narrow"/>
      <family val="2"/>
      <scheme val="minor"/>
    </font>
    <font>
      <sz val="12"/>
      <color rgb="FFC00000"/>
      <name val="Aptos Narrow"/>
      <family val="2"/>
      <scheme val="minor"/>
    </font>
    <font>
      <b/>
      <sz val="12"/>
      <color rgb="FF00B0F0"/>
      <name val="Aptos Narrow"/>
      <family val="2"/>
      <scheme val="minor"/>
    </font>
    <font>
      <sz val="12"/>
      <color rgb="FF00B0F0"/>
      <name val="Aptos Narrow"/>
      <family val="2"/>
      <scheme val="minor"/>
    </font>
    <font>
      <sz val="11"/>
      <color rgb="FF00B0F0"/>
      <name val="Aptos Narrow"/>
      <family val="2"/>
      <scheme val="minor"/>
    </font>
    <font>
      <b/>
      <sz val="11"/>
      <color rgb="FFC00000"/>
      <name val="Aptos Narrow"/>
      <family val="2"/>
      <scheme val="minor"/>
    </font>
    <font>
      <b/>
      <sz val="11"/>
      <color rgb="FF0070C0"/>
      <name val="Aptos Narrow"/>
      <family val="2"/>
      <scheme val="minor"/>
    </font>
    <font>
      <sz val="12"/>
      <color rgb="FF0070C0"/>
      <name val="Aptos Narrow"/>
      <family val="2"/>
      <scheme val="minor"/>
    </font>
    <font>
      <b/>
      <sz val="11"/>
      <color theme="0"/>
      <name val="Aptos Narrow"/>
      <family val="2"/>
      <scheme val="minor"/>
    </font>
    <font>
      <sz val="12"/>
      <color rgb="FFFF0000"/>
      <name val="Times New Roman"/>
      <family val="1"/>
    </font>
    <font>
      <sz val="12"/>
      <color rgb="FF0000FF"/>
      <name val="Times New Roman"/>
      <family val="1"/>
    </font>
    <font>
      <sz val="11"/>
      <color theme="0"/>
      <name val="Aptos Narrow"/>
      <family val="2"/>
      <scheme val="minor"/>
    </font>
    <font>
      <sz val="11"/>
      <color rgb="FF3366FF"/>
      <name val="Aptos Narrow"/>
      <family val="2"/>
      <scheme val="minor"/>
    </font>
    <font>
      <sz val="11"/>
      <color rgb="FF0066FF"/>
      <name val="Aptos Narrow"/>
      <family val="2"/>
      <scheme val="minor"/>
    </font>
    <font>
      <b/>
      <sz val="16"/>
      <color rgb="FF0066FF"/>
      <name val="Aptos Narrow"/>
      <family val="2"/>
      <scheme val="minor"/>
    </font>
    <font>
      <b/>
      <sz val="12"/>
      <color rgb="FF0066FF"/>
      <name val="Aptos Narrow"/>
      <family val="2"/>
      <scheme val="minor"/>
    </font>
    <font>
      <b/>
      <sz val="11"/>
      <color rgb="FF0066FF"/>
      <name val="Aptos Narrow"/>
      <family val="2"/>
      <scheme val="minor"/>
    </font>
    <font>
      <b/>
      <sz val="12"/>
      <color rgb="FF0066FF"/>
      <name val="Aptos Display"/>
      <family val="1"/>
      <scheme val="major"/>
    </font>
    <font>
      <sz val="12"/>
      <color rgb="FF0066FF"/>
      <name val="Aptos Display"/>
      <family val="1"/>
      <scheme val="major"/>
    </font>
    <font>
      <sz val="10"/>
      <color rgb="FF0066FF"/>
      <name val="Arial"/>
      <family val="2"/>
    </font>
    <font>
      <b/>
      <sz val="11"/>
      <color rgb="FF0066FF"/>
      <name val="Arial"/>
      <family val="2"/>
    </font>
    <font>
      <sz val="11"/>
      <color rgb="FF0066FF"/>
      <name val="Arial"/>
      <family val="2"/>
    </font>
    <font>
      <sz val="11"/>
      <name val="Aptos Narrow"/>
      <family val="2"/>
      <scheme val="minor"/>
    </font>
    <font>
      <b/>
      <sz val="11"/>
      <name val="Aptos Narrow"/>
      <family val="2"/>
      <scheme val="minor"/>
    </font>
    <font>
      <sz val="11"/>
      <color rgb="FF00B050"/>
      <name val="Aptos Narrow"/>
      <family val="2"/>
      <scheme val="minor"/>
    </font>
    <font>
      <sz val="11"/>
      <color rgb="FFFFC000"/>
      <name val="Aptos Narrow"/>
      <family val="2"/>
      <scheme val="minor"/>
    </font>
    <font>
      <b/>
      <sz val="12"/>
      <color theme="1"/>
      <name val="Times New Roman"/>
      <family val="1"/>
    </font>
    <font>
      <b/>
      <sz val="12"/>
      <color rgb="FFFF0000"/>
      <name val="Times New Roman"/>
      <family val="1"/>
    </font>
    <font>
      <b/>
      <sz val="12"/>
      <color rgb="FF0000FF"/>
      <name val="Times New Roman"/>
      <family val="1"/>
    </font>
    <font>
      <b/>
      <sz val="12"/>
      <color rgb="FF000000"/>
      <name val="Times New Roman"/>
      <family val="1"/>
    </font>
    <font>
      <b/>
      <sz val="10"/>
      <color rgb="FF000000"/>
      <name val="Times New Roman"/>
      <family val="1"/>
    </font>
    <font>
      <b/>
      <sz val="11"/>
      <color theme="1"/>
      <name val="Times New Roman"/>
      <family val="1"/>
    </font>
    <font>
      <b/>
      <sz val="14"/>
      <color rgb="FFFF0000"/>
      <name val="Times New Roman"/>
      <family val="1"/>
    </font>
    <font>
      <b/>
      <sz val="12"/>
      <name val="Times New Roman"/>
      <family val="1"/>
    </font>
    <font>
      <b/>
      <sz val="12"/>
      <color rgb="FFC00000"/>
      <name val="Times New Roman"/>
      <family val="1"/>
    </font>
    <font>
      <b/>
      <sz val="12"/>
      <color rgb="FF00B0F0"/>
      <name val="Times New Roman"/>
      <family val="1"/>
    </font>
    <font>
      <b/>
      <sz val="12"/>
      <color rgb="FF00B050"/>
      <name val="Times New Roman"/>
      <family val="1"/>
    </font>
    <font>
      <b/>
      <sz val="12"/>
      <color rgb="FF7030A0"/>
      <name val="Times New Roman"/>
      <family val="1"/>
    </font>
    <font>
      <b/>
      <sz val="12"/>
      <color rgb="FF0066FF"/>
      <name val="Times New Roman"/>
      <family val="1"/>
    </font>
    <font>
      <sz val="10"/>
      <name val="Arial"/>
      <family val="2"/>
    </font>
    <font>
      <b/>
      <sz val="16"/>
      <name val="Arial"/>
      <family val="2"/>
    </font>
    <font>
      <b/>
      <sz val="10"/>
      <color rgb="FF0070C0"/>
      <name val="Arial"/>
      <family val="2"/>
    </font>
    <font>
      <b/>
      <sz val="10"/>
      <color rgb="FFFF0000"/>
      <name val="Arial"/>
      <family val="2"/>
    </font>
    <font>
      <b/>
      <sz val="10"/>
      <color theme="9" tint="-0.249977111117893"/>
      <name val="Arial"/>
      <family val="2"/>
    </font>
    <font>
      <b/>
      <sz val="10"/>
      <color rgb="FFFF0000"/>
      <name val="Aptos Narrow"/>
      <family val="2"/>
      <scheme val="minor"/>
    </font>
    <font>
      <b/>
      <sz val="10"/>
      <color rgb="FF0070C0"/>
      <name val="Aptos Narrow"/>
      <family val="2"/>
      <scheme val="minor"/>
    </font>
    <font>
      <sz val="10"/>
      <color theme="1"/>
      <name val="Arial"/>
      <family val="2"/>
    </font>
    <font>
      <b/>
      <sz val="10"/>
      <name val="Arial"/>
      <family val="2"/>
    </font>
    <font>
      <b/>
      <sz val="9"/>
      <color indexed="81"/>
      <name val="Tahoma"/>
      <family val="2"/>
    </font>
    <font>
      <sz val="10"/>
      <color rgb="FFFF0000"/>
      <name val="Arial"/>
      <family val="2"/>
    </font>
    <font>
      <b/>
      <sz val="9"/>
      <color rgb="FF0000FF"/>
      <name val="Segoe UI"/>
      <family val="2"/>
    </font>
    <font>
      <sz val="11"/>
      <color rgb="FFC00000"/>
      <name val="Aptos Narrow"/>
      <family val="2"/>
      <scheme val="minor"/>
    </font>
    <font>
      <b/>
      <sz val="11"/>
      <color rgb="FF00B050"/>
      <name val="Aptos Narrow"/>
      <family val="2"/>
      <scheme val="minor"/>
    </font>
    <font>
      <b/>
      <sz val="12"/>
      <color rgb="FFFFC000"/>
      <name val="Times New Roman"/>
      <family val="1"/>
    </font>
    <font>
      <b/>
      <sz val="11"/>
      <color rgb="FFFFC000"/>
      <name val="Aptos Narrow"/>
      <family val="2"/>
      <scheme val="minor"/>
    </font>
    <font>
      <b/>
      <sz val="12"/>
      <color rgb="FF002060"/>
      <name val="Times New Roman"/>
      <family val="1"/>
    </font>
    <font>
      <sz val="11"/>
      <color rgb="FF002060"/>
      <name val="Aptos Narrow"/>
      <family val="2"/>
      <scheme val="minor"/>
    </font>
    <font>
      <sz val="12"/>
      <color rgb="FFFF0000"/>
      <name val="Aptos Display"/>
      <family val="1"/>
      <scheme val="major"/>
    </font>
    <font>
      <b/>
      <sz val="12"/>
      <color rgb="FF92D050"/>
      <name val="Times New Roman"/>
      <family val="1"/>
    </font>
    <font>
      <b/>
      <sz val="11"/>
      <color rgb="FF92D050"/>
      <name val="Aptos Narrow"/>
      <family val="2"/>
      <scheme val="minor"/>
    </font>
    <font>
      <sz val="11"/>
      <color rgb="FF92D050"/>
      <name val="Aptos Narrow"/>
      <family val="2"/>
      <scheme val="minor"/>
    </font>
    <font>
      <b/>
      <sz val="12"/>
      <color rgb="FF0070C0"/>
      <name val="Times New Roman"/>
      <family val="1"/>
    </font>
    <font>
      <sz val="11"/>
      <color rgb="FF0070C0"/>
      <name val="Aptos Narrow"/>
      <family val="2"/>
      <scheme val="minor"/>
    </font>
    <font>
      <b/>
      <sz val="11"/>
      <color rgb="FF7030A0"/>
      <name val="Aptos Narrow"/>
      <family val="2"/>
      <scheme val="minor"/>
    </font>
    <font>
      <sz val="11"/>
      <color rgb="FF7030A0"/>
      <name val="Aptos Narrow"/>
      <family val="2"/>
      <scheme val="minor"/>
    </font>
    <font>
      <b/>
      <sz val="12"/>
      <color theme="8" tint="0.39997558519241921"/>
      <name val="Times New Roman"/>
      <family val="1"/>
    </font>
    <font>
      <b/>
      <sz val="12"/>
      <color theme="3" tint="0.499984740745262"/>
      <name val="Times New Roman"/>
      <family val="1"/>
    </font>
    <font>
      <b/>
      <sz val="11"/>
      <color theme="8" tint="0.39997558519241921"/>
      <name val="Aptos Narrow"/>
      <family val="2"/>
      <scheme val="minor"/>
    </font>
    <font>
      <sz val="11"/>
      <color theme="8" tint="0.39997558519241921"/>
      <name val="Aptos Narrow"/>
      <family val="2"/>
      <scheme val="minor"/>
    </font>
    <font>
      <b/>
      <sz val="12"/>
      <color rgb="FF1905AD"/>
      <name val="Times New Roman"/>
      <family val="1"/>
    </font>
  </fonts>
  <fills count="28">
    <fill>
      <patternFill patternType="none"/>
    </fill>
    <fill>
      <patternFill patternType="gray125"/>
    </fill>
    <fill>
      <patternFill patternType="solid">
        <fgColor rgb="FF0000FF"/>
        <bgColor indexed="64"/>
      </patternFill>
    </fill>
    <fill>
      <patternFill patternType="solid">
        <fgColor rgb="FF00B050"/>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70C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4472C4"/>
        <bgColor theme="8"/>
      </patternFill>
    </fill>
    <fill>
      <patternFill patternType="solid">
        <fgColor rgb="FFFFFF00"/>
        <bgColor theme="8"/>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6" tint="0.39997558519241921"/>
        <bgColor indexed="64"/>
      </patternFill>
    </fill>
    <fill>
      <patternFill patternType="solid">
        <fgColor rgb="FFFFFFCC"/>
        <bgColor indexed="64"/>
      </patternFill>
    </fill>
    <fill>
      <patternFill patternType="solid">
        <fgColor theme="3" tint="0.89999084444715716"/>
        <bgColor indexed="64"/>
      </patternFill>
    </fill>
    <fill>
      <patternFill patternType="solid">
        <fgColor theme="6" tint="0.59999389629810485"/>
        <bgColor indexed="64"/>
      </patternFill>
    </fill>
    <fill>
      <patternFill patternType="solid">
        <fgColor theme="7" tint="0.39997558519241921"/>
        <bgColor indexed="64"/>
      </patternFill>
    </fill>
  </fills>
  <borders count="58">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right/>
      <top style="thin">
        <color theme="8"/>
      </top>
      <bottom style="thin">
        <color theme="8"/>
      </bottom>
      <diagonal/>
    </border>
    <border>
      <left/>
      <right style="thin">
        <color theme="8"/>
      </right>
      <top style="thin">
        <color theme="8"/>
      </top>
      <bottom style="thin">
        <color theme="8"/>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rgb="FFFFC000"/>
      </right>
      <top style="thin">
        <color auto="1"/>
      </top>
      <bottom/>
      <diagonal/>
    </border>
    <border>
      <left style="medium">
        <color rgb="FFFFC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rgb="FFFFC000"/>
      </right>
      <top/>
      <bottom style="thin">
        <color indexed="64"/>
      </bottom>
      <diagonal/>
    </border>
    <border>
      <left style="medium">
        <color rgb="FFFFC000"/>
      </left>
      <right style="thin">
        <color auto="1"/>
      </right>
      <top/>
      <bottom/>
      <diagonal/>
    </border>
    <border>
      <left style="thin">
        <color auto="1"/>
      </left>
      <right style="medium">
        <color rgb="FFFFC000"/>
      </right>
      <top/>
      <bottom/>
      <diagonal/>
    </border>
    <border>
      <left style="medium">
        <color rgb="FFFFC000"/>
      </left>
      <right style="thin">
        <color indexed="64"/>
      </right>
      <top style="thin">
        <color indexed="64"/>
      </top>
      <bottom style="hair">
        <color indexed="64"/>
      </bottom>
      <diagonal/>
    </border>
    <border>
      <left style="thin">
        <color indexed="64"/>
      </left>
      <right style="medium">
        <color rgb="FFFFC000"/>
      </right>
      <top style="thin">
        <color indexed="64"/>
      </top>
      <bottom style="hair">
        <color indexed="64"/>
      </bottom>
      <diagonal/>
    </border>
    <border>
      <left style="medium">
        <color rgb="FFFFC000"/>
      </left>
      <right style="thin">
        <color indexed="64"/>
      </right>
      <top style="hair">
        <color indexed="64"/>
      </top>
      <bottom style="hair">
        <color indexed="64"/>
      </bottom>
      <diagonal/>
    </border>
    <border>
      <left style="thin">
        <color indexed="64"/>
      </left>
      <right style="medium">
        <color rgb="FFFFC000"/>
      </right>
      <top style="hair">
        <color indexed="64"/>
      </top>
      <bottom style="hair">
        <color indexed="64"/>
      </bottom>
      <diagonal/>
    </border>
    <border>
      <left style="medium">
        <color rgb="FFFFC000"/>
      </left>
      <right style="thin">
        <color indexed="64"/>
      </right>
      <top style="hair">
        <color indexed="64"/>
      </top>
      <bottom style="thin">
        <color indexed="64"/>
      </bottom>
      <diagonal/>
    </border>
    <border>
      <left style="thin">
        <color indexed="64"/>
      </left>
      <right style="medium">
        <color rgb="FFFFC000"/>
      </right>
      <top style="hair">
        <color indexed="64"/>
      </top>
      <bottom style="thin">
        <color indexed="64"/>
      </bottom>
      <diagonal/>
    </border>
    <border>
      <left style="medium">
        <color rgb="FFFFC000"/>
      </left>
      <right style="thin">
        <color indexed="64"/>
      </right>
      <top style="hair">
        <color indexed="64"/>
      </top>
      <bottom style="medium">
        <color rgb="FFFFC000"/>
      </bottom>
      <diagonal/>
    </border>
    <border>
      <left style="thin">
        <color indexed="64"/>
      </left>
      <right style="thin">
        <color indexed="64"/>
      </right>
      <top style="hair">
        <color indexed="64"/>
      </top>
      <bottom style="medium">
        <color rgb="FFFFC000"/>
      </bottom>
      <diagonal/>
    </border>
    <border>
      <left style="thin">
        <color indexed="64"/>
      </left>
      <right style="medium">
        <color rgb="FFFFC000"/>
      </right>
      <top style="hair">
        <color indexed="64"/>
      </top>
      <bottom style="medium">
        <color rgb="FFFFC000"/>
      </bottom>
      <diagonal/>
    </border>
    <border>
      <left/>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theme="8"/>
      </left>
      <right/>
      <top/>
      <bottom/>
      <diagonal/>
    </border>
    <border>
      <left style="thin">
        <color indexed="64"/>
      </left>
      <right style="thin">
        <color indexed="64"/>
      </right>
      <top style="thin">
        <color indexed="64"/>
      </top>
      <bottom style="hair">
        <color theme="0" tint="-0.499984740745262"/>
      </bottom>
      <diagonal/>
    </border>
    <border>
      <left style="thin">
        <color indexed="64"/>
      </left>
      <right style="thin">
        <color indexed="64"/>
      </right>
      <top style="hair">
        <color theme="0" tint="-0.499984740745262"/>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style="thin">
        <color indexed="64"/>
      </right>
      <top/>
      <bottom style="hair">
        <color theme="0" tint="-0.499984740745262"/>
      </bottom>
      <diagonal/>
    </border>
    <border>
      <left style="thin">
        <color indexed="64"/>
      </left>
      <right style="thin">
        <color indexed="64"/>
      </right>
      <top style="hair">
        <color theme="0" tint="-0.499984740745262"/>
      </top>
      <bottom style="thin">
        <color indexed="64"/>
      </bottom>
      <diagonal/>
    </border>
    <border>
      <left style="thin">
        <color auto="1"/>
      </left>
      <right/>
      <top/>
      <bottom/>
      <diagonal/>
    </border>
    <border>
      <left style="thin">
        <color auto="1"/>
      </left>
      <right/>
      <top/>
      <bottom style="thin">
        <color rgb="FF000000"/>
      </bottom>
      <diagonal/>
    </border>
  </borders>
  <cellStyleXfs count="7">
    <xf numFmtId="0" fontId="0" fillId="0" borderId="0"/>
    <xf numFmtId="0" fontId="7" fillId="0" borderId="0" applyNumberFormat="0" applyFill="0" applyBorder="0" applyAlignment="0" applyProtection="0"/>
    <xf numFmtId="0" fontId="8" fillId="0" borderId="0"/>
    <xf numFmtId="9" fontId="8" fillId="0" borderId="0" applyFont="0" applyFill="0" applyBorder="0" applyAlignment="0" applyProtection="0"/>
    <xf numFmtId="43" fontId="8" fillId="0" borderId="0" applyFont="0" applyFill="0" applyBorder="0" applyAlignment="0" applyProtection="0"/>
    <xf numFmtId="0" fontId="8" fillId="0" borderId="0"/>
    <xf numFmtId="0" fontId="65" fillId="0" borderId="0"/>
  </cellStyleXfs>
  <cellXfs count="1150">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5" fillId="0" borderId="0" xfId="0" applyFont="1" applyAlignment="1">
      <alignment vertical="center" wrapText="1"/>
    </xf>
    <xf numFmtId="0" fontId="2" fillId="2" borderId="0" xfId="2" applyFont="1" applyFill="1" applyAlignment="1">
      <alignment horizontal="center"/>
    </xf>
    <xf numFmtId="0" fontId="2" fillId="2" borderId="0" xfId="2" applyFont="1" applyFill="1"/>
    <xf numFmtId="0" fontId="9" fillId="0" borderId="2" xfId="2" applyFont="1" applyBorder="1" applyAlignment="1">
      <alignment vertical="top"/>
    </xf>
    <xf numFmtId="0" fontId="10" fillId="0" borderId="2" xfId="2" applyFont="1" applyBorder="1" applyAlignment="1">
      <alignment vertical="top"/>
    </xf>
    <xf numFmtId="0" fontId="9" fillId="0" borderId="3" xfId="2" applyFont="1" applyBorder="1" applyAlignment="1">
      <alignment vertical="top"/>
    </xf>
    <xf numFmtId="0" fontId="10" fillId="0" borderId="3" xfId="2" applyFont="1" applyBorder="1" applyAlignment="1">
      <alignment vertical="top"/>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4" fillId="5" borderId="2" xfId="0" applyFont="1" applyFill="1" applyBorder="1" applyAlignment="1">
      <alignment horizontal="center" vertical="center"/>
    </xf>
    <xf numFmtId="0" fontId="4" fillId="5" borderId="2" xfId="0" applyFont="1" applyFill="1" applyBorder="1" applyAlignment="1">
      <alignment vertical="center" wrapText="1"/>
    </xf>
    <xf numFmtId="0" fontId="4" fillId="5" borderId="2" xfId="0" applyFont="1" applyFill="1" applyBorder="1" applyAlignment="1">
      <alignment horizontal="left" vertical="center"/>
    </xf>
    <xf numFmtId="0" fontId="4" fillId="5" borderId="2" xfId="0" applyFont="1" applyFill="1" applyBorder="1" applyAlignment="1">
      <alignment vertical="center"/>
    </xf>
    <xf numFmtId="0" fontId="12" fillId="0" borderId="2" xfId="0" applyFont="1" applyBorder="1" applyAlignment="1">
      <alignment horizontal="left" vertical="center" wrapText="1"/>
    </xf>
    <xf numFmtId="0" fontId="12" fillId="0" borderId="2" xfId="0" applyFont="1" applyBorder="1" applyAlignment="1">
      <alignment horizontal="right" vertical="center"/>
    </xf>
    <xf numFmtId="0" fontId="12" fillId="0" borderId="2" xfId="0" applyFont="1" applyBorder="1"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vertical="center"/>
    </xf>
    <xf numFmtId="0" fontId="13" fillId="0" borderId="0" xfId="0" applyFont="1" applyAlignment="1">
      <alignment vertical="center"/>
    </xf>
    <xf numFmtId="0" fontId="12" fillId="0" borderId="2" xfId="0" applyFont="1" applyBorder="1" applyAlignment="1">
      <alignment horizontal="left" vertical="center"/>
    </xf>
    <xf numFmtId="0" fontId="12" fillId="0" borderId="2" xfId="0" quotePrefix="1" applyFont="1" applyBorder="1" applyAlignment="1">
      <alignment vertical="center" wrapText="1"/>
    </xf>
    <xf numFmtId="0" fontId="12" fillId="0" borderId="2" xfId="0" applyFont="1" applyBorder="1" applyAlignment="1">
      <alignment horizontal="center" vertical="center" wrapText="1"/>
    </xf>
    <xf numFmtId="0" fontId="14" fillId="0" borderId="2" xfId="0" applyFont="1" applyBorder="1" applyAlignment="1">
      <alignment vertical="center"/>
    </xf>
    <xf numFmtId="0" fontId="15" fillId="0" borderId="0" xfId="0" applyFont="1" applyAlignment="1">
      <alignment vertical="center"/>
    </xf>
    <xf numFmtId="0" fontId="12" fillId="0" borderId="5" xfId="0" applyFont="1" applyBorder="1" applyAlignment="1">
      <alignment horizontal="right" vertical="center"/>
    </xf>
    <xf numFmtId="0" fontId="12" fillId="0" borderId="5" xfId="0" applyFont="1" applyBorder="1" applyAlignment="1">
      <alignment horizontal="center" vertical="center"/>
    </xf>
    <xf numFmtId="0" fontId="12" fillId="0" borderId="5" xfId="0" applyFont="1" applyBorder="1" applyAlignment="1">
      <alignment vertical="center" wrapText="1"/>
    </xf>
    <xf numFmtId="0" fontId="12" fillId="0" borderId="5" xfId="0" applyFont="1" applyBorder="1" applyAlignment="1">
      <alignment horizontal="left" vertical="center"/>
    </xf>
    <xf numFmtId="0" fontId="12" fillId="0" borderId="5" xfId="0" applyFont="1" applyBorder="1" applyAlignment="1">
      <alignment vertical="center"/>
    </xf>
    <xf numFmtId="0" fontId="12" fillId="0" borderId="4" xfId="0" applyFont="1" applyBorder="1" applyAlignment="1">
      <alignment horizontal="right" vertical="center"/>
    </xf>
    <xf numFmtId="0" fontId="12" fillId="0" borderId="4" xfId="0" applyFont="1" applyBorder="1" applyAlignment="1">
      <alignment horizontal="center" vertical="center"/>
    </xf>
    <xf numFmtId="0" fontId="12" fillId="0" borderId="4" xfId="0" applyFont="1" applyBorder="1" applyAlignment="1">
      <alignment vertical="center" wrapText="1"/>
    </xf>
    <xf numFmtId="0" fontId="12" fillId="0" borderId="4" xfId="0" applyFont="1" applyBorder="1" applyAlignment="1">
      <alignment horizontal="left" vertical="center"/>
    </xf>
    <xf numFmtId="0" fontId="12" fillId="0" borderId="4" xfId="0" applyFont="1" applyBorder="1" applyAlignment="1">
      <alignment vertical="center"/>
    </xf>
    <xf numFmtId="0" fontId="12" fillId="0" borderId="3" xfId="0" applyFont="1" applyBorder="1" applyAlignment="1">
      <alignment horizontal="center" vertical="center"/>
    </xf>
    <xf numFmtId="0" fontId="12" fillId="0" borderId="3" xfId="0" applyFont="1" applyBorder="1" applyAlignment="1">
      <alignment vertical="center" wrapText="1"/>
    </xf>
    <xf numFmtId="0" fontId="12" fillId="0" borderId="3" xfId="0" applyFont="1" applyBorder="1" applyAlignment="1">
      <alignment horizontal="left" vertical="center"/>
    </xf>
    <xf numFmtId="0" fontId="12" fillId="0" borderId="3" xfId="0" applyFont="1" applyBorder="1" applyAlignment="1">
      <alignment vertical="center"/>
    </xf>
    <xf numFmtId="0" fontId="10" fillId="0" borderId="0" xfId="0" applyFont="1" applyAlignment="1">
      <alignment vertical="center"/>
    </xf>
    <xf numFmtId="14" fontId="17" fillId="0" borderId="0" xfId="0" applyNumberFormat="1" applyFont="1" applyAlignment="1">
      <alignment horizontal="left"/>
    </xf>
    <xf numFmtId="0" fontId="2" fillId="4" borderId="2" xfId="0" applyFont="1" applyFill="1" applyBorder="1" applyAlignment="1">
      <alignment vertical="center" wrapText="1"/>
    </xf>
    <xf numFmtId="0" fontId="18" fillId="0" borderId="2" xfId="1" applyFont="1" applyBorder="1" applyAlignment="1">
      <alignment vertical="center" wrapText="1"/>
    </xf>
    <xf numFmtId="0" fontId="10" fillId="0" borderId="0" xfId="0" applyFont="1" applyAlignment="1">
      <alignment horizontal="center" vertical="center"/>
    </xf>
    <xf numFmtId="0" fontId="17" fillId="0" borderId="0" xfId="0" applyFont="1" applyAlignment="1">
      <alignment horizontal="right"/>
    </xf>
    <xf numFmtId="0" fontId="2" fillId="4" borderId="2" xfId="0" applyFont="1" applyFill="1" applyBorder="1" applyAlignment="1">
      <alignment horizontal="center" vertical="center"/>
    </xf>
    <xf numFmtId="0" fontId="10" fillId="0" borderId="0" xfId="0" applyFont="1" applyAlignment="1">
      <alignment horizontal="left" vertical="center"/>
    </xf>
    <xf numFmtId="0" fontId="11" fillId="0" borderId="0" xfId="0" applyFont="1" applyAlignment="1">
      <alignment vertical="center"/>
    </xf>
    <xf numFmtId="0" fontId="2" fillId="4" borderId="2" xfId="0" applyFont="1" applyFill="1" applyBorder="1" applyAlignment="1">
      <alignment horizontal="left" vertical="center"/>
    </xf>
    <xf numFmtId="16" fontId="2" fillId="4" borderId="2" xfId="0" quotePrefix="1" applyNumberFormat="1" applyFont="1" applyFill="1" applyBorder="1" applyAlignment="1">
      <alignment vertical="center"/>
    </xf>
    <xf numFmtId="0" fontId="19" fillId="0" borderId="0" xfId="0" applyFont="1" applyAlignment="1">
      <alignment horizontal="left" vertical="center"/>
    </xf>
    <xf numFmtId="0" fontId="3" fillId="0" borderId="0" xfId="0" applyFont="1" applyAlignment="1">
      <alignment horizontal="left" vertical="center"/>
    </xf>
    <xf numFmtId="0" fontId="20" fillId="0" borderId="2" xfId="1" applyFont="1" applyBorder="1" applyAlignment="1">
      <alignment vertical="center" wrapText="1"/>
    </xf>
    <xf numFmtId="0" fontId="9" fillId="6" borderId="2" xfId="2" applyFont="1" applyFill="1" applyBorder="1" applyAlignment="1">
      <alignment vertical="top"/>
    </xf>
    <xf numFmtId="0" fontId="10" fillId="6" borderId="2" xfId="2" applyFont="1" applyFill="1" applyBorder="1" applyAlignment="1">
      <alignment vertical="top"/>
    </xf>
    <xf numFmtId="0" fontId="14" fillId="0" borderId="2" xfId="2" applyFont="1" applyBorder="1" applyAlignment="1">
      <alignment vertical="top"/>
    </xf>
    <xf numFmtId="0" fontId="12" fillId="0" borderId="2" xfId="2" applyFont="1" applyBorder="1" applyAlignment="1">
      <alignment vertical="top"/>
    </xf>
    <xf numFmtId="0" fontId="21" fillId="0" borderId="2" xfId="2" applyFont="1" applyBorder="1" applyAlignment="1">
      <alignment vertical="top"/>
    </xf>
    <xf numFmtId="0" fontId="22" fillId="0" borderId="2" xfId="2" applyFont="1" applyBorder="1" applyAlignment="1">
      <alignment vertical="top"/>
    </xf>
    <xf numFmtId="0" fontId="0" fillId="0" borderId="0" xfId="0" applyAlignment="1">
      <alignment horizontal="center"/>
    </xf>
    <xf numFmtId="0" fontId="23" fillId="6" borderId="0" xfId="0" applyFont="1" applyFill="1" applyAlignment="1">
      <alignment horizontal="center"/>
    </xf>
    <xf numFmtId="0" fontId="1" fillId="7" borderId="0" xfId="0" applyFont="1" applyFill="1" applyAlignment="1">
      <alignment horizontal="center"/>
    </xf>
    <xf numFmtId="0" fontId="24" fillId="6" borderId="0" xfId="0" applyFont="1" applyFill="1" applyAlignment="1">
      <alignment horizontal="center"/>
    </xf>
    <xf numFmtId="9" fontId="0" fillId="0" borderId="0" xfId="0" applyNumberFormat="1"/>
    <xf numFmtId="0" fontId="10" fillId="0" borderId="0" xfId="2" applyFont="1" applyAlignment="1">
      <alignment vertical="top"/>
    </xf>
    <xf numFmtId="0" fontId="22" fillId="0" borderId="0" xfId="2" applyFont="1" applyAlignment="1">
      <alignment vertical="top"/>
    </xf>
    <xf numFmtId="0" fontId="12" fillId="0" borderId="0" xfId="2" applyFont="1" applyAlignment="1">
      <alignment vertical="top"/>
    </xf>
    <xf numFmtId="0" fontId="0" fillId="0" borderId="0" xfId="0" quotePrefix="1" applyAlignment="1">
      <alignment horizontal="right"/>
    </xf>
    <xf numFmtId="0" fontId="0" fillId="0" borderId="0" xfId="0" applyAlignment="1">
      <alignment wrapText="1"/>
    </xf>
    <xf numFmtId="0" fontId="1" fillId="0" borderId="0" xfId="0" applyFont="1"/>
    <xf numFmtId="0" fontId="15" fillId="8" borderId="0" xfId="0" applyFont="1" applyFill="1"/>
    <xf numFmtId="0" fontId="23" fillId="7" borderId="0" xfId="0" applyFont="1" applyFill="1"/>
    <xf numFmtId="9" fontId="1" fillId="0" borderId="0" xfId="0" applyNumberFormat="1" applyFont="1"/>
    <xf numFmtId="9" fontId="23" fillId="6" borderId="0" xfId="0" applyNumberFormat="1" applyFont="1" applyFill="1" applyAlignment="1">
      <alignment horizontal="center"/>
    </xf>
    <xf numFmtId="0" fontId="23" fillId="6" borderId="0" xfId="0" applyFont="1" applyFill="1"/>
    <xf numFmtId="0" fontId="25" fillId="9" borderId="0" xfId="0" applyFont="1" applyFill="1"/>
    <xf numFmtId="0" fontId="1" fillId="10" borderId="0" xfId="0" applyFont="1" applyFill="1"/>
    <xf numFmtId="0" fontId="23" fillId="9" borderId="0" xfId="0" applyFont="1" applyFill="1"/>
    <xf numFmtId="0" fontId="14" fillId="6" borderId="2" xfId="2" applyFont="1" applyFill="1" applyBorder="1" applyAlignment="1">
      <alignment vertical="top"/>
    </xf>
    <xf numFmtId="0" fontId="28" fillId="6" borderId="2" xfId="2" applyFont="1" applyFill="1" applyBorder="1" applyAlignment="1">
      <alignment vertical="top"/>
    </xf>
    <xf numFmtId="0" fontId="29" fillId="6" borderId="2" xfId="2" applyFont="1" applyFill="1" applyBorder="1" applyAlignment="1">
      <alignment vertical="top"/>
    </xf>
    <xf numFmtId="0" fontId="26" fillId="6" borderId="2" xfId="2" applyFont="1" applyFill="1" applyBorder="1" applyAlignment="1">
      <alignment vertical="top"/>
    </xf>
    <xf numFmtId="0" fontId="27" fillId="6" borderId="2" xfId="2" applyFont="1" applyFill="1" applyBorder="1" applyAlignment="1">
      <alignment vertical="top"/>
    </xf>
    <xf numFmtId="0" fontId="6" fillId="0" borderId="1" xfId="2" applyFont="1" applyBorder="1" applyAlignment="1">
      <alignment vertical="top"/>
    </xf>
    <xf numFmtId="0" fontId="11" fillId="0" borderId="1" xfId="2" applyFont="1" applyBorder="1" applyAlignment="1">
      <alignment vertical="top"/>
    </xf>
    <xf numFmtId="0" fontId="6" fillId="6" borderId="2" xfId="2" applyFont="1" applyFill="1" applyBorder="1" applyAlignment="1">
      <alignment horizontal="left" vertical="top"/>
    </xf>
    <xf numFmtId="0" fontId="11" fillId="6" borderId="2" xfId="2" applyFont="1" applyFill="1" applyBorder="1" applyAlignment="1">
      <alignment horizontal="left" vertical="top"/>
    </xf>
    <xf numFmtId="0" fontId="30" fillId="0" borderId="0" xfId="0" applyFont="1" applyAlignment="1">
      <alignment wrapText="1"/>
    </xf>
    <xf numFmtId="0" fontId="31" fillId="0" borderId="0" xfId="0" applyFont="1" applyAlignment="1">
      <alignment horizontal="left"/>
    </xf>
    <xf numFmtId="0" fontId="32" fillId="0" borderId="0" xfId="0" applyFont="1" applyAlignment="1">
      <alignment wrapText="1"/>
    </xf>
    <xf numFmtId="0" fontId="33" fillId="6" borderId="2" xfId="2" applyFont="1" applyFill="1" applyBorder="1" applyAlignment="1">
      <alignment vertical="top"/>
    </xf>
    <xf numFmtId="0" fontId="9" fillId="11" borderId="2" xfId="2" applyFont="1" applyFill="1" applyBorder="1" applyAlignment="1">
      <alignment vertical="top"/>
    </xf>
    <xf numFmtId="0" fontId="10" fillId="11" borderId="2" xfId="2" applyFont="1" applyFill="1" applyBorder="1" applyAlignment="1">
      <alignment vertical="top"/>
    </xf>
    <xf numFmtId="0" fontId="11" fillId="0" borderId="2" xfId="0" applyFont="1" applyBorder="1" applyAlignment="1">
      <alignment vertical="center"/>
    </xf>
    <xf numFmtId="0" fontId="11" fillId="0" borderId="2" xfId="0" quotePrefix="1" applyFont="1" applyBorder="1" applyAlignment="1">
      <alignment vertical="center" wrapText="1"/>
    </xf>
    <xf numFmtId="0" fontId="12" fillId="6" borderId="2" xfId="0" applyFont="1" applyFill="1" applyBorder="1" applyAlignment="1">
      <alignment horizontal="center" vertical="center"/>
    </xf>
    <xf numFmtId="0" fontId="6" fillId="6" borderId="2" xfId="0" applyFont="1" applyFill="1" applyBorder="1" applyAlignment="1">
      <alignment horizontal="center" vertical="center"/>
    </xf>
    <xf numFmtId="0" fontId="12" fillId="6" borderId="2" xfId="0" applyFont="1" applyFill="1" applyBorder="1" applyAlignment="1">
      <alignment vertical="center" wrapText="1"/>
    </xf>
    <xf numFmtId="0" fontId="12" fillId="6" borderId="2" xfId="0" applyFont="1" applyFill="1" applyBorder="1" applyAlignment="1">
      <alignment horizontal="left" vertical="center"/>
    </xf>
    <xf numFmtId="0" fontId="12" fillId="6" borderId="2" xfId="0" applyFont="1" applyFill="1" applyBorder="1" applyAlignment="1">
      <alignment vertical="center"/>
    </xf>
    <xf numFmtId="0" fontId="11" fillId="6" borderId="2" xfId="0" quotePrefix="1" applyFont="1" applyFill="1" applyBorder="1" applyAlignment="1">
      <alignment vertical="center" wrapText="1"/>
    </xf>
    <xf numFmtId="164" fontId="23" fillId="6" borderId="0" xfId="3" applyNumberFormat="1" applyFont="1" applyFill="1" applyAlignment="1">
      <alignment vertical="top"/>
    </xf>
    <xf numFmtId="0" fontId="6" fillId="0" borderId="0" xfId="2" applyFont="1"/>
    <xf numFmtId="165" fontId="0" fillId="0" borderId="0" xfId="4" applyNumberFormat="1" applyFont="1"/>
    <xf numFmtId="9" fontId="0" fillId="0" borderId="0" xfId="3" applyFont="1"/>
    <xf numFmtId="0" fontId="0" fillId="6" borderId="0" xfId="0" applyFill="1"/>
    <xf numFmtId="0" fontId="0" fillId="8" borderId="0" xfId="0" applyFill="1"/>
    <xf numFmtId="0" fontId="35" fillId="0" borderId="0" xfId="0" applyFont="1" applyAlignment="1">
      <alignment vertical="center"/>
    </xf>
    <xf numFmtId="0" fontId="36" fillId="0" borderId="0" xfId="0" applyFont="1" applyAlignment="1">
      <alignment vertical="center"/>
    </xf>
    <xf numFmtId="0" fontId="0" fillId="9" borderId="0" xfId="0" applyFill="1"/>
    <xf numFmtId="0" fontId="5" fillId="6" borderId="0" xfId="0" applyFont="1" applyFill="1" applyAlignment="1">
      <alignment horizontal="center"/>
    </xf>
    <xf numFmtId="0" fontId="0" fillId="0" borderId="6" xfId="0" applyBorder="1"/>
    <xf numFmtId="9" fontId="0" fillId="0" borderId="6" xfId="0" applyNumberFormat="1" applyBorder="1"/>
    <xf numFmtId="0" fontId="34" fillId="2" borderId="0" xfId="0" applyFont="1" applyFill="1"/>
    <xf numFmtId="0" fontId="15" fillId="6" borderId="0" xfId="0" applyFont="1" applyFill="1"/>
    <xf numFmtId="0" fontId="15" fillId="0" borderId="0" xfId="0" applyFont="1"/>
    <xf numFmtId="9" fontId="15" fillId="0" borderId="6" xfId="3" applyFont="1" applyBorder="1"/>
    <xf numFmtId="0" fontId="15" fillId="0" borderId="0" xfId="0" applyFont="1" applyAlignment="1">
      <alignment horizontal="center"/>
    </xf>
    <xf numFmtId="9" fontId="23" fillId="6" borderId="6" xfId="3" applyFont="1" applyFill="1" applyBorder="1"/>
    <xf numFmtId="9" fontId="5" fillId="0" borderId="6" xfId="0" applyNumberFormat="1" applyFont="1" applyBorder="1"/>
    <xf numFmtId="9" fontId="0" fillId="9" borderId="0" xfId="0" applyNumberFormat="1" applyFill="1"/>
    <xf numFmtId="0" fontId="15" fillId="9" borderId="0" xfId="0" applyFont="1" applyFill="1"/>
    <xf numFmtId="9" fontId="37" fillId="9" borderId="0" xfId="0" applyNumberFormat="1" applyFont="1" applyFill="1"/>
    <xf numFmtId="165" fontId="13" fillId="6" borderId="0" xfId="4" applyNumberFormat="1" applyFont="1" applyFill="1"/>
    <xf numFmtId="165" fontId="0" fillId="0" borderId="0" xfId="0" applyNumberFormat="1"/>
    <xf numFmtId="37" fontId="34" fillId="12" borderId="0" xfId="0" applyNumberFormat="1" applyFont="1" applyFill="1"/>
    <xf numFmtId="37" fontId="0" fillId="0" borderId="0" xfId="0" applyNumberFormat="1"/>
    <xf numFmtId="0" fontId="23" fillId="0" borderId="0" xfId="0" applyFont="1"/>
    <xf numFmtId="165" fontId="0" fillId="0" borderId="6" xfId="4" applyNumberFormat="1" applyFont="1" applyBorder="1"/>
    <xf numFmtId="0" fontId="0" fillId="13" borderId="0" xfId="0" applyFill="1"/>
    <xf numFmtId="165" fontId="0" fillId="13" borderId="6" xfId="4" applyNumberFormat="1" applyFont="1" applyFill="1" applyBorder="1"/>
    <xf numFmtId="165" fontId="23" fillId="7" borderId="6" xfId="4" applyNumberFormat="1" applyFont="1" applyFill="1" applyBorder="1"/>
    <xf numFmtId="9" fontId="0" fillId="13" borderId="6" xfId="0" applyNumberFormat="1" applyFill="1" applyBorder="1"/>
    <xf numFmtId="165" fontId="0" fillId="14" borderId="6" xfId="4" applyNumberFormat="1" applyFont="1" applyFill="1" applyBorder="1"/>
    <xf numFmtId="0" fontId="0" fillId="0" borderId="5" xfId="0" applyBorder="1"/>
    <xf numFmtId="49" fontId="2" fillId="15" borderId="7" xfId="0" applyNumberFormat="1" applyFont="1" applyFill="1" applyBorder="1" applyAlignment="1">
      <alignment horizontal="center" vertical="center" wrapText="1"/>
    </xf>
    <xf numFmtId="49" fontId="6" fillId="16" borderId="0" xfId="0" applyNumberFormat="1" applyFont="1" applyFill="1" applyAlignment="1">
      <alignment horizontal="center" vertical="center" wrapText="1"/>
    </xf>
    <xf numFmtId="49" fontId="2" fillId="15" borderId="0" xfId="0" applyNumberFormat="1" applyFont="1" applyFill="1" applyAlignment="1">
      <alignment horizontal="center" vertical="center" wrapText="1"/>
    </xf>
    <xf numFmtId="49" fontId="1" fillId="0" borderId="8" xfId="0" applyNumberFormat="1" applyFont="1" applyBorder="1"/>
    <xf numFmtId="0" fontId="1" fillId="0" borderId="9" xfId="0" applyFont="1" applyBorder="1"/>
    <xf numFmtId="166" fontId="1" fillId="0" borderId="10" xfId="3" applyNumberFormat="1" applyFont="1" applyFill="1" applyBorder="1"/>
    <xf numFmtId="165" fontId="5" fillId="0" borderId="0" xfId="4" applyNumberFormat="1" applyFont="1"/>
    <xf numFmtId="165" fontId="0" fillId="14" borderId="0" xfId="4" applyNumberFormat="1" applyFont="1" applyFill="1"/>
    <xf numFmtId="9" fontId="0" fillId="14" borderId="0" xfId="3" applyFont="1" applyFill="1"/>
    <xf numFmtId="165" fontId="0" fillId="14" borderId="0" xfId="0" applyNumberFormat="1" applyFill="1"/>
    <xf numFmtId="10" fontId="0" fillId="0" borderId="0" xfId="3" applyNumberFormat="1" applyFont="1"/>
    <xf numFmtId="165" fontId="5" fillId="7" borderId="0" xfId="4" applyNumberFormat="1" applyFont="1" applyFill="1"/>
    <xf numFmtId="164" fontId="0" fillId="0" borderId="0" xfId="3" applyNumberFormat="1" applyFont="1"/>
    <xf numFmtId="164" fontId="38" fillId="0" borderId="0" xfId="3" applyNumberFormat="1" applyFont="1"/>
    <xf numFmtId="166" fontId="1" fillId="0" borderId="10" xfId="3" applyNumberFormat="1" applyFont="1" applyBorder="1"/>
    <xf numFmtId="164" fontId="5" fillId="7" borderId="0" xfId="3" applyNumberFormat="1" applyFont="1" applyFill="1"/>
    <xf numFmtId="164" fontId="5" fillId="0" borderId="0" xfId="3" applyNumberFormat="1" applyFont="1"/>
    <xf numFmtId="0" fontId="1" fillId="0" borderId="11" xfId="0" applyFont="1" applyBorder="1"/>
    <xf numFmtId="166" fontId="1" fillId="0" borderId="12" xfId="3" applyNumberFormat="1" applyFont="1" applyBorder="1"/>
    <xf numFmtId="165" fontId="37" fillId="0" borderId="0" xfId="0" applyNumberFormat="1" applyFont="1"/>
    <xf numFmtId="10" fontId="37" fillId="0" borderId="0" xfId="3" applyNumberFormat="1" applyFont="1"/>
    <xf numFmtId="0" fontId="23" fillId="0" borderId="0" xfId="0" applyFont="1" applyAlignment="1">
      <alignment wrapText="1"/>
    </xf>
    <xf numFmtId="166" fontId="1" fillId="0" borderId="0" xfId="0" applyNumberFormat="1" applyFont="1"/>
    <xf numFmtId="165" fontId="1" fillId="0" borderId="0" xfId="4" applyNumberFormat="1" applyFont="1" applyFill="1"/>
    <xf numFmtId="165" fontId="1" fillId="6" borderId="0" xfId="4" applyNumberFormat="1" applyFont="1" applyFill="1"/>
    <xf numFmtId="9" fontId="0" fillId="6" borderId="0" xfId="3" applyFont="1" applyFill="1"/>
    <xf numFmtId="165" fontId="15" fillId="0" borderId="6" xfId="4" applyNumberFormat="1" applyFont="1" applyBorder="1"/>
    <xf numFmtId="165" fontId="5" fillId="17" borderId="0" xfId="4" applyNumberFormat="1" applyFont="1" applyFill="1"/>
    <xf numFmtId="165" fontId="0" fillId="7" borderId="0" xfId="0" applyNumberFormat="1" applyFill="1"/>
    <xf numFmtId="37" fontId="23" fillId="6" borderId="0" xfId="0" applyNumberFormat="1" applyFont="1" applyFill="1"/>
    <xf numFmtId="1" fontId="0" fillId="0" borderId="0" xfId="0" applyNumberFormat="1"/>
    <xf numFmtId="165" fontId="15" fillId="0" borderId="0" xfId="4" applyNumberFormat="1" applyFont="1" applyBorder="1"/>
    <xf numFmtId="0" fontId="15" fillId="0" borderId="0" xfId="0" applyFont="1" applyAlignment="1">
      <alignment wrapText="1"/>
    </xf>
    <xf numFmtId="0" fontId="23" fillId="0" borderId="0" xfId="0" applyFont="1" applyAlignment="1">
      <alignment horizontal="center"/>
    </xf>
    <xf numFmtId="165" fontId="23" fillId="0" borderId="0" xfId="4" applyNumberFormat="1" applyFont="1" applyBorder="1"/>
    <xf numFmtId="37" fontId="15" fillId="6" borderId="0" xfId="0" applyNumberFormat="1" applyFont="1" applyFill="1"/>
    <xf numFmtId="165" fontId="23" fillId="0" borderId="6" xfId="4" applyNumberFormat="1" applyFont="1" applyBorder="1"/>
    <xf numFmtId="9" fontId="0" fillId="0" borderId="6" xfId="3" applyFont="1" applyBorder="1"/>
    <xf numFmtId="0" fontId="5" fillId="6" borderId="0" xfId="0" applyFont="1" applyFill="1"/>
    <xf numFmtId="0" fontId="5" fillId="0" borderId="6" xfId="0" applyFont="1" applyBorder="1"/>
    <xf numFmtId="0" fontId="5" fillId="0" borderId="0" xfId="0" applyFont="1"/>
    <xf numFmtId="165" fontId="5" fillId="6" borderId="0" xfId="4" applyNumberFormat="1" applyFont="1" applyFill="1"/>
    <xf numFmtId="165" fontId="5" fillId="0" borderId="0" xfId="0" applyNumberFormat="1" applyFont="1"/>
    <xf numFmtId="1" fontId="0" fillId="6" borderId="0" xfId="0" applyNumberFormat="1" applyFill="1"/>
    <xf numFmtId="164" fontId="23" fillId="6" borderId="0" xfId="3" applyNumberFormat="1" applyFont="1" applyFill="1"/>
    <xf numFmtId="10" fontId="5" fillId="0" borderId="0" xfId="3" applyNumberFormat="1" applyFont="1"/>
    <xf numFmtId="9" fontId="15" fillId="6" borderId="0" xfId="3" applyFont="1" applyFill="1"/>
    <xf numFmtId="9" fontId="15" fillId="0" borderId="0" xfId="0" applyNumberFormat="1" applyFont="1"/>
    <xf numFmtId="0" fontId="15" fillId="6" borderId="0" xfId="0" applyFont="1" applyFill="1" applyAlignment="1">
      <alignment horizontal="right"/>
    </xf>
    <xf numFmtId="0" fontId="24" fillId="0" borderId="0" xfId="0" applyFont="1" applyAlignment="1">
      <alignment horizontal="center" wrapText="1"/>
    </xf>
    <xf numFmtId="0" fontId="24" fillId="0" borderId="0" xfId="0" applyFont="1"/>
    <xf numFmtId="0" fontId="24" fillId="0" borderId="0" xfId="0" applyFont="1" applyAlignment="1">
      <alignment horizontal="center"/>
    </xf>
    <xf numFmtId="37" fontId="24" fillId="6" borderId="0" xfId="0" applyNumberFormat="1" applyFont="1" applyFill="1"/>
    <xf numFmtId="165" fontId="24" fillId="0" borderId="0" xfId="4" applyNumberFormat="1" applyFont="1" applyBorder="1"/>
    <xf numFmtId="165" fontId="23" fillId="0" borderId="0" xfId="4" applyNumberFormat="1" applyFont="1"/>
    <xf numFmtId="165" fontId="15" fillId="0" borderId="0" xfId="0" applyNumberFormat="1" applyFont="1"/>
    <xf numFmtId="0" fontId="5" fillId="6" borderId="0" xfId="0" applyFont="1" applyFill="1" applyAlignment="1">
      <alignment horizontal="right" vertical="center"/>
    </xf>
    <xf numFmtId="165" fontId="30" fillId="0" borderId="0" xfId="4" applyNumberFormat="1" applyFont="1"/>
    <xf numFmtId="165" fontId="13" fillId="0" borderId="0" xfId="4" applyNumberFormat="1" applyFont="1"/>
    <xf numFmtId="165" fontId="1" fillId="0" borderId="0" xfId="4" applyNumberFormat="1" applyFont="1"/>
    <xf numFmtId="165" fontId="0" fillId="0" borderId="0" xfId="0" applyNumberFormat="1" applyAlignment="1">
      <alignment horizontal="center" vertical="center"/>
    </xf>
    <xf numFmtId="164" fontId="0" fillId="0" borderId="0" xfId="3" applyNumberFormat="1" applyFont="1" applyAlignment="1">
      <alignment horizontal="center" vertical="center"/>
    </xf>
    <xf numFmtId="0" fontId="1" fillId="0" borderId="0" xfId="0" applyFont="1" applyAlignment="1">
      <alignment horizontal="center" vertical="center"/>
    </xf>
    <xf numFmtId="9" fontId="23" fillId="17" borderId="0" xfId="0" applyNumberFormat="1" applyFont="1" applyFill="1"/>
    <xf numFmtId="165" fontId="23" fillId="0" borderId="0" xfId="0" applyNumberFormat="1" applyFont="1"/>
    <xf numFmtId="0" fontId="1" fillId="17" borderId="0" xfId="0" applyFont="1" applyFill="1" applyAlignment="1">
      <alignment horizontal="center" vertical="center"/>
    </xf>
    <xf numFmtId="0" fontId="23" fillId="0" borderId="0" xfId="0" applyFont="1" applyAlignment="1">
      <alignment horizontal="center" vertical="center"/>
    </xf>
    <xf numFmtId="9" fontId="15" fillId="0" borderId="0" xfId="3" applyFont="1" applyBorder="1"/>
    <xf numFmtId="9" fontId="23" fillId="0" borderId="0" xfId="3" applyFont="1" applyBorder="1"/>
    <xf numFmtId="0" fontId="5" fillId="6" borderId="0" xfId="0" applyFont="1" applyFill="1" applyAlignment="1">
      <alignment vertical="center"/>
    </xf>
    <xf numFmtId="0" fontId="39" fillId="0" borderId="0" xfId="0" applyFont="1" applyAlignment="1">
      <alignment vertical="center"/>
    </xf>
    <xf numFmtId="0" fontId="42" fillId="0" borderId="16" xfId="0" applyFont="1" applyBorder="1" applyAlignment="1">
      <alignment vertical="center"/>
    </xf>
    <xf numFmtId="0" fontId="42" fillId="0" borderId="17" xfId="0" applyFont="1" applyBorder="1" applyAlignment="1">
      <alignment horizontal="right" vertical="center"/>
    </xf>
    <xf numFmtId="165" fontId="39" fillId="0" borderId="0" xfId="4" applyNumberFormat="1" applyFont="1" applyAlignment="1">
      <alignment vertical="center"/>
    </xf>
    <xf numFmtId="0" fontId="43" fillId="5" borderId="7" xfId="5" applyFont="1" applyFill="1" applyBorder="1" applyAlignment="1">
      <alignment horizontal="center" vertical="center" wrapText="1"/>
    </xf>
    <xf numFmtId="0" fontId="43" fillId="18" borderId="25" xfId="5" applyFont="1" applyFill="1" applyBorder="1" applyAlignment="1">
      <alignment horizontal="center" vertical="center" wrapText="1"/>
    </xf>
    <xf numFmtId="0" fontId="43" fillId="18" borderId="5" xfId="5" applyFont="1" applyFill="1" applyBorder="1" applyAlignment="1">
      <alignment horizontal="center" vertical="center" wrapText="1"/>
    </xf>
    <xf numFmtId="0" fontId="43" fillId="18" borderId="7" xfId="5" applyFont="1" applyFill="1" applyBorder="1" applyAlignment="1">
      <alignment horizontal="center" vertical="center" wrapText="1"/>
    </xf>
    <xf numFmtId="0" fontId="43" fillId="18" borderId="5" xfId="0" applyFont="1" applyFill="1" applyBorder="1" applyAlignment="1">
      <alignment horizontal="center" vertical="center" wrapText="1"/>
    </xf>
    <xf numFmtId="0" fontId="43" fillId="18" borderId="26" xfId="0" applyFont="1" applyFill="1" applyBorder="1" applyAlignment="1">
      <alignment horizontal="center" vertical="center" wrapText="1"/>
    </xf>
    <xf numFmtId="0" fontId="44" fillId="19" borderId="27" xfId="5" applyFont="1" applyFill="1" applyBorder="1" applyAlignment="1">
      <alignment horizontal="left" vertical="center" wrapText="1"/>
    </xf>
    <xf numFmtId="0" fontId="44" fillId="19" borderId="1" xfId="5" applyFont="1" applyFill="1" applyBorder="1" applyAlignment="1">
      <alignment horizontal="left" vertical="center" wrapText="1"/>
    </xf>
    <xf numFmtId="165" fontId="44" fillId="19" borderId="1" xfId="4" applyNumberFormat="1" applyFont="1" applyFill="1" applyBorder="1" applyAlignment="1">
      <alignment horizontal="left" vertical="center" wrapText="1"/>
    </xf>
    <xf numFmtId="9" fontId="44" fillId="19" borderId="1" xfId="5" applyNumberFormat="1" applyFont="1" applyFill="1" applyBorder="1" applyAlignment="1">
      <alignment horizontal="center" vertical="center" wrapText="1"/>
    </xf>
    <xf numFmtId="165" fontId="44" fillId="19" borderId="1" xfId="4" applyNumberFormat="1" applyFont="1" applyFill="1" applyBorder="1" applyAlignment="1">
      <alignment horizontal="center" vertical="center" wrapText="1"/>
    </xf>
    <xf numFmtId="165" fontId="45" fillId="19" borderId="1" xfId="4" quotePrefix="1" applyNumberFormat="1" applyFont="1" applyFill="1" applyBorder="1" applyAlignment="1">
      <alignment horizontal="center" vertical="center" wrapText="1"/>
    </xf>
    <xf numFmtId="165" fontId="45" fillId="19" borderId="28" xfId="4" quotePrefix="1" applyNumberFormat="1" applyFont="1" applyFill="1" applyBorder="1" applyAlignment="1">
      <alignment horizontal="center" vertical="center" wrapText="1"/>
    </xf>
    <xf numFmtId="165" fontId="39" fillId="0" borderId="0" xfId="0" applyNumberFormat="1" applyFont="1" applyAlignment="1">
      <alignment vertical="center"/>
    </xf>
    <xf numFmtId="0" fontId="44" fillId="19" borderId="29" xfId="5" applyFont="1" applyFill="1" applyBorder="1" applyAlignment="1">
      <alignment horizontal="left" vertical="center" wrapText="1"/>
    </xf>
    <xf numFmtId="0" fontId="44" fillId="19" borderId="2" xfId="5" applyFont="1" applyFill="1" applyBorder="1" applyAlignment="1">
      <alignment horizontal="left" vertical="center" wrapText="1"/>
    </xf>
    <xf numFmtId="165" fontId="44" fillId="19" borderId="2" xfId="4" applyNumberFormat="1" applyFont="1" applyFill="1" applyBorder="1" applyAlignment="1">
      <alignment horizontal="center" vertical="center" wrapText="1"/>
    </xf>
    <xf numFmtId="165" fontId="44" fillId="19" borderId="2" xfId="4" applyNumberFormat="1" applyFont="1" applyFill="1" applyBorder="1" applyAlignment="1">
      <alignment horizontal="left" vertical="center" wrapText="1"/>
    </xf>
    <xf numFmtId="165" fontId="45" fillId="19" borderId="2" xfId="4" quotePrefix="1" applyNumberFormat="1" applyFont="1" applyFill="1" applyBorder="1" applyAlignment="1">
      <alignment horizontal="center" vertical="center" wrapText="1"/>
    </xf>
    <xf numFmtId="165" fontId="45" fillId="19" borderId="30" xfId="4" quotePrefix="1" applyNumberFormat="1" applyFont="1" applyFill="1" applyBorder="1" applyAlignment="1">
      <alignment horizontal="center" vertical="center" wrapText="1"/>
    </xf>
    <xf numFmtId="0" fontId="44" fillId="19" borderId="31" xfId="5" applyFont="1" applyFill="1" applyBorder="1" applyAlignment="1">
      <alignment horizontal="left" vertical="center" wrapText="1"/>
    </xf>
    <xf numFmtId="0" fontId="44" fillId="19" borderId="3" xfId="5" applyFont="1" applyFill="1" applyBorder="1" applyAlignment="1">
      <alignment horizontal="left" vertical="center" wrapText="1"/>
    </xf>
    <xf numFmtId="165" fontId="44" fillId="19" borderId="3" xfId="4" applyNumberFormat="1" applyFont="1" applyFill="1" applyBorder="1" applyAlignment="1">
      <alignment horizontal="center" vertical="center" wrapText="1"/>
    </xf>
    <xf numFmtId="165" fontId="44" fillId="19" borderId="3" xfId="4" applyNumberFormat="1" applyFont="1" applyFill="1" applyBorder="1" applyAlignment="1">
      <alignment horizontal="left" vertical="center" wrapText="1"/>
    </xf>
    <xf numFmtId="165" fontId="45" fillId="19" borderId="3" xfId="4" quotePrefix="1" applyNumberFormat="1" applyFont="1" applyFill="1" applyBorder="1" applyAlignment="1">
      <alignment horizontal="center" vertical="center" wrapText="1"/>
    </xf>
    <xf numFmtId="165" fontId="45" fillId="19" borderId="32" xfId="4" quotePrefix="1" applyNumberFormat="1" applyFont="1" applyFill="1" applyBorder="1" applyAlignment="1">
      <alignment horizontal="center" vertical="center" wrapText="1"/>
    </xf>
    <xf numFmtId="0" fontId="44" fillId="19" borderId="33" xfId="5" applyFont="1" applyFill="1" applyBorder="1" applyAlignment="1">
      <alignment horizontal="left" vertical="center" wrapText="1"/>
    </xf>
    <xf numFmtId="0" fontId="44" fillId="19" borderId="34" xfId="5" applyFont="1" applyFill="1" applyBorder="1" applyAlignment="1">
      <alignment horizontal="left" vertical="center" wrapText="1"/>
    </xf>
    <xf numFmtId="165" fontId="44" fillId="19" borderId="34" xfId="4" applyNumberFormat="1" applyFont="1" applyFill="1" applyBorder="1" applyAlignment="1">
      <alignment horizontal="left" vertical="center" wrapText="1"/>
    </xf>
    <xf numFmtId="9" fontId="44" fillId="19" borderId="34" xfId="5" applyNumberFormat="1" applyFont="1" applyFill="1" applyBorder="1" applyAlignment="1">
      <alignment horizontal="center" vertical="center" wrapText="1"/>
    </xf>
    <xf numFmtId="165" fontId="44" fillId="19" borderId="34" xfId="4" applyNumberFormat="1" applyFont="1" applyFill="1" applyBorder="1" applyAlignment="1">
      <alignment horizontal="center" vertical="center" wrapText="1"/>
    </xf>
    <xf numFmtId="165" fontId="45" fillId="19" borderId="34" xfId="4" quotePrefix="1" applyNumberFormat="1" applyFont="1" applyFill="1" applyBorder="1" applyAlignment="1">
      <alignment horizontal="center" vertical="center" wrapText="1"/>
    </xf>
    <xf numFmtId="165" fontId="45" fillId="19" borderId="35" xfId="4" quotePrefix="1" applyNumberFormat="1" applyFont="1" applyFill="1" applyBorder="1" applyAlignment="1">
      <alignment horizontal="center" vertical="center" wrapText="1"/>
    </xf>
    <xf numFmtId="0" fontId="46" fillId="5" borderId="6" xfId="0" applyFont="1" applyFill="1" applyBorder="1" applyAlignment="1">
      <alignment horizontal="center" vertical="center"/>
    </xf>
    <xf numFmtId="0" fontId="46" fillId="5" borderId="6" xfId="0" applyFont="1" applyFill="1" applyBorder="1" applyAlignment="1">
      <alignment vertical="center"/>
    </xf>
    <xf numFmtId="0" fontId="47" fillId="19" borderId="6" xfId="5" applyFont="1" applyFill="1" applyBorder="1" applyAlignment="1">
      <alignment horizontal="center" vertical="center" wrapText="1"/>
    </xf>
    <xf numFmtId="0" fontId="47" fillId="19" borderId="6" xfId="5" applyFont="1" applyFill="1" applyBorder="1" applyAlignment="1">
      <alignment horizontal="left" vertical="center" wrapText="1"/>
    </xf>
    <xf numFmtId="165" fontId="47" fillId="19" borderId="6" xfId="4" quotePrefix="1" applyNumberFormat="1" applyFont="1" applyFill="1" applyBorder="1" applyAlignment="1">
      <alignment horizontal="right" vertical="center" wrapText="1"/>
    </xf>
    <xf numFmtId="165" fontId="47" fillId="6" borderId="6" xfId="4" quotePrefix="1" applyNumberFormat="1" applyFont="1" applyFill="1" applyBorder="1" applyAlignment="1">
      <alignment horizontal="right" vertical="center" wrapText="1"/>
    </xf>
    <xf numFmtId="0" fontId="42" fillId="0" borderId="0" xfId="0" applyFont="1" applyAlignment="1">
      <alignment vertical="center"/>
    </xf>
    <xf numFmtId="0" fontId="47" fillId="19" borderId="6" xfId="0" applyFont="1" applyFill="1" applyBorder="1" applyAlignment="1">
      <alignment horizontal="center" vertical="center" wrapText="1"/>
    </xf>
    <xf numFmtId="0" fontId="47" fillId="19" borderId="6" xfId="0" applyFont="1" applyFill="1" applyBorder="1" applyAlignment="1">
      <alignment horizontal="left" vertical="center" wrapText="1" indent="1"/>
    </xf>
    <xf numFmtId="165" fontId="47" fillId="19" borderId="6" xfId="0" applyNumberFormat="1" applyFont="1" applyFill="1" applyBorder="1" applyAlignment="1">
      <alignment horizontal="right" vertical="center"/>
    </xf>
    <xf numFmtId="9" fontId="23" fillId="20" borderId="0" xfId="0" applyNumberFormat="1" applyFont="1" applyFill="1"/>
    <xf numFmtId="0" fontId="24" fillId="20" borderId="0" xfId="0" applyFont="1" applyFill="1" applyAlignment="1">
      <alignment horizontal="center" wrapText="1"/>
    </xf>
    <xf numFmtId="0" fontId="24" fillId="17" borderId="0" xfId="0" applyFont="1" applyFill="1" applyAlignment="1">
      <alignment horizontal="center" wrapText="1"/>
    </xf>
    <xf numFmtId="9" fontId="0" fillId="7" borderId="6" xfId="0" applyNumberFormat="1" applyFill="1" applyBorder="1"/>
    <xf numFmtId="165" fontId="0" fillId="7" borderId="6" xfId="0" applyNumberFormat="1" applyFill="1" applyBorder="1"/>
    <xf numFmtId="165" fontId="0" fillId="7" borderId="6" xfId="4" applyNumberFormat="1" applyFont="1" applyFill="1" applyBorder="1"/>
    <xf numFmtId="165" fontId="24" fillId="6" borderId="0" xfId="4" applyNumberFormat="1" applyFont="1" applyFill="1" applyBorder="1"/>
    <xf numFmtId="165" fontId="24" fillId="6" borderId="0" xfId="0" applyNumberFormat="1" applyFont="1" applyFill="1"/>
    <xf numFmtId="164" fontId="23" fillId="0" borderId="0" xfId="3" applyNumberFormat="1" applyFont="1"/>
    <xf numFmtId="165" fontId="5" fillId="6" borderId="0" xfId="4" applyNumberFormat="1" applyFont="1" applyFill="1" applyAlignment="1">
      <alignment horizontal="right"/>
    </xf>
    <xf numFmtId="165" fontId="5" fillId="6" borderId="0" xfId="0" applyNumberFormat="1" applyFont="1" applyFill="1" applyAlignment="1">
      <alignment horizontal="center" vertical="center"/>
    </xf>
    <xf numFmtId="164" fontId="5" fillId="6" borderId="0" xfId="3" applyNumberFormat="1" applyFont="1" applyFill="1" applyAlignment="1">
      <alignment horizontal="center" vertical="center"/>
    </xf>
    <xf numFmtId="0" fontId="1" fillId="6" borderId="0" xfId="0" applyFont="1" applyFill="1" applyAlignment="1">
      <alignment horizontal="center" vertical="center" wrapText="1"/>
    </xf>
    <xf numFmtId="165" fontId="0" fillId="6" borderId="0" xfId="0" applyNumberFormat="1" applyFill="1"/>
    <xf numFmtId="165" fontId="0" fillId="20" borderId="0" xfId="0" applyNumberFormat="1" applyFill="1"/>
    <xf numFmtId="165" fontId="5" fillId="6" borderId="0" xfId="0" applyNumberFormat="1" applyFont="1" applyFill="1"/>
    <xf numFmtId="164" fontId="5" fillId="6" borderId="0" xfId="3" applyNumberFormat="1" applyFont="1" applyFill="1"/>
    <xf numFmtId="165" fontId="15" fillId="0" borderId="0" xfId="4" applyNumberFormat="1" applyFont="1"/>
    <xf numFmtId="165" fontId="15" fillId="6" borderId="0" xfId="4" applyNumberFormat="1" applyFont="1" applyFill="1"/>
    <xf numFmtId="9" fontId="34" fillId="9" borderId="0" xfId="0" applyNumberFormat="1" applyFont="1" applyFill="1"/>
    <xf numFmtId="9" fontId="23" fillId="6" borderId="0" xfId="3" applyFont="1" applyFill="1"/>
    <xf numFmtId="165" fontId="13" fillId="0" borderId="0" xfId="0" applyNumberFormat="1" applyFont="1"/>
    <xf numFmtId="0" fontId="13" fillId="0" borderId="0" xfId="0" applyFont="1"/>
    <xf numFmtId="9" fontId="13" fillId="0" borderId="0" xfId="3" applyFont="1"/>
    <xf numFmtId="165" fontId="23" fillId="6" borderId="0" xfId="0" applyNumberFormat="1" applyFont="1" applyFill="1"/>
    <xf numFmtId="9" fontId="5" fillId="0" borderId="0" xfId="3" applyFont="1"/>
    <xf numFmtId="0" fontId="48" fillId="0" borderId="0" xfId="0" applyFont="1"/>
    <xf numFmtId="0" fontId="48" fillId="0" borderId="6" xfId="0" applyFont="1" applyBorder="1"/>
    <xf numFmtId="9" fontId="48" fillId="0" borderId="6" xfId="0" applyNumberFormat="1" applyFont="1" applyBorder="1"/>
    <xf numFmtId="165" fontId="48" fillId="0" borderId="6" xfId="4" applyNumberFormat="1" applyFont="1" applyBorder="1"/>
    <xf numFmtId="9" fontId="49" fillId="0" borderId="6" xfId="3" applyFont="1" applyBorder="1"/>
    <xf numFmtId="165" fontId="49" fillId="0" borderId="6" xfId="4" applyNumberFormat="1" applyFont="1" applyBorder="1"/>
    <xf numFmtId="165" fontId="48" fillId="0" borderId="0" xfId="0" applyNumberFormat="1" applyFont="1"/>
    <xf numFmtId="165" fontId="48" fillId="0" borderId="0" xfId="4" applyNumberFormat="1" applyFont="1"/>
    <xf numFmtId="9" fontId="48" fillId="0" borderId="0" xfId="0" applyNumberFormat="1" applyFont="1"/>
    <xf numFmtId="9" fontId="48" fillId="0" borderId="0" xfId="3" applyFont="1"/>
    <xf numFmtId="0" fontId="50" fillId="0" borderId="0" xfId="0" applyFont="1"/>
    <xf numFmtId="165" fontId="50" fillId="0" borderId="0" xfId="0" applyNumberFormat="1" applyFont="1"/>
    <xf numFmtId="9" fontId="50" fillId="0" borderId="0" xfId="3" applyFont="1"/>
    <xf numFmtId="0" fontId="51" fillId="0" borderId="0" xfId="0" applyFont="1"/>
    <xf numFmtId="165" fontId="51" fillId="0" borderId="0" xfId="0" applyNumberFormat="1" applyFont="1"/>
    <xf numFmtId="9" fontId="51" fillId="0" borderId="0" xfId="3" applyFont="1"/>
    <xf numFmtId="165" fontId="0" fillId="0" borderId="0" xfId="0" applyNumberFormat="1" applyAlignment="1">
      <alignment vertical="center"/>
    </xf>
    <xf numFmtId="9" fontId="0" fillId="0" borderId="0" xfId="3" applyFont="1" applyAlignment="1">
      <alignment vertical="center"/>
    </xf>
    <xf numFmtId="10" fontId="48" fillId="0" borderId="0" xfId="0" applyNumberFormat="1" applyFont="1"/>
    <xf numFmtId="9" fontId="50" fillId="0" borderId="0" xfId="0" applyNumberFormat="1" applyFont="1"/>
    <xf numFmtId="165" fontId="50" fillId="0" borderId="0" xfId="4" applyNumberFormat="1" applyFont="1"/>
    <xf numFmtId="165" fontId="5" fillId="7" borderId="0" xfId="0" applyNumberFormat="1" applyFont="1" applyFill="1"/>
    <xf numFmtId="165" fontId="15" fillId="6" borderId="0" xfId="0" applyNumberFormat="1" applyFont="1" applyFill="1"/>
    <xf numFmtId="165" fontId="15" fillId="0" borderId="0" xfId="4" applyNumberFormat="1" applyFont="1" applyAlignment="1">
      <alignment horizontal="center"/>
    </xf>
    <xf numFmtId="0" fontId="15" fillId="17" borderId="0" xfId="0" applyFont="1" applyFill="1" applyAlignment="1">
      <alignment horizontal="center" vertical="center"/>
    </xf>
    <xf numFmtId="10" fontId="0" fillId="0" borderId="0" xfId="0" applyNumberFormat="1"/>
    <xf numFmtId="164" fontId="0" fillId="0" borderId="0" xfId="0" applyNumberFormat="1"/>
    <xf numFmtId="164" fontId="34" fillId="2" borderId="0" xfId="0" applyNumberFormat="1" applyFont="1" applyFill="1"/>
    <xf numFmtId="0" fontId="0" fillId="9" borderId="0" xfId="0" applyFill="1" applyAlignment="1">
      <alignment wrapText="1"/>
    </xf>
    <xf numFmtId="0" fontId="5" fillId="20" borderId="0" xfId="0" applyFont="1" applyFill="1"/>
    <xf numFmtId="43" fontId="0" fillId="0" borderId="0" xfId="4" applyFont="1"/>
    <xf numFmtId="167" fontId="0" fillId="0" borderId="0" xfId="4" applyNumberFormat="1" applyFont="1"/>
    <xf numFmtId="43" fontId="0" fillId="0" borderId="0" xfId="0" applyNumberFormat="1"/>
    <xf numFmtId="168" fontId="0" fillId="0" borderId="0" xfId="0" applyNumberFormat="1"/>
    <xf numFmtId="37" fontId="24" fillId="0" borderId="0" xfId="0" applyNumberFormat="1" applyFont="1"/>
    <xf numFmtId="37" fontId="23" fillId="0" borderId="0" xfId="0" applyNumberFormat="1" applyFont="1"/>
    <xf numFmtId="37" fontId="5" fillId="6" borderId="0" xfId="0" applyNumberFormat="1" applyFont="1" applyFill="1"/>
    <xf numFmtId="9" fontId="23" fillId="20" borderId="0" xfId="3" applyFont="1" applyFill="1"/>
    <xf numFmtId="165" fontId="15" fillId="20" borderId="0" xfId="4" applyNumberFormat="1" applyFont="1" applyFill="1" applyBorder="1"/>
    <xf numFmtId="165" fontId="23" fillId="20" borderId="0" xfId="4" applyNumberFormat="1" applyFont="1" applyFill="1" applyBorder="1"/>
    <xf numFmtId="165" fontId="24" fillId="20" borderId="0" xfId="4" applyNumberFormat="1" applyFont="1" applyFill="1" applyBorder="1"/>
    <xf numFmtId="165" fontId="0" fillId="17" borderId="0" xfId="0" applyNumberFormat="1" applyFill="1"/>
    <xf numFmtId="165" fontId="15" fillId="17" borderId="0" xfId="4" applyNumberFormat="1" applyFont="1" applyFill="1"/>
    <xf numFmtId="0" fontId="0" fillId="6" borderId="0" xfId="0" applyFill="1" applyAlignment="1">
      <alignment wrapText="1"/>
    </xf>
    <xf numFmtId="0" fontId="23" fillId="20" borderId="0" xfId="0" applyFont="1" applyFill="1" applyAlignment="1">
      <alignment horizontal="center" vertical="center"/>
    </xf>
    <xf numFmtId="167" fontId="0" fillId="20" borderId="0" xfId="4" applyNumberFormat="1" applyFont="1" applyFill="1"/>
    <xf numFmtId="167" fontId="0" fillId="20" borderId="0" xfId="0" applyNumberFormat="1" applyFill="1"/>
    <xf numFmtId="167" fontId="15" fillId="20" borderId="0" xfId="4" applyNumberFormat="1" applyFont="1" applyFill="1"/>
    <xf numFmtId="165" fontId="0" fillId="20" borderId="0" xfId="4" applyNumberFormat="1" applyFont="1" applyFill="1"/>
    <xf numFmtId="0" fontId="23" fillId="7" borderId="0" xfId="0" applyFont="1" applyFill="1" applyAlignment="1">
      <alignment horizontal="center" vertical="center"/>
    </xf>
    <xf numFmtId="167" fontId="15" fillId="7" borderId="0" xfId="4" applyNumberFormat="1" applyFont="1" applyFill="1"/>
    <xf numFmtId="165" fontId="0" fillId="7" borderId="0" xfId="4" applyNumberFormat="1" applyFont="1" applyFill="1"/>
    <xf numFmtId="164" fontId="5" fillId="0" borderId="0" xfId="0" applyNumberFormat="1" applyFont="1"/>
    <xf numFmtId="168" fontId="5" fillId="0" borderId="0" xfId="0" applyNumberFormat="1" applyFont="1"/>
    <xf numFmtId="165" fontId="15" fillId="21" borderId="0" xfId="0" applyNumberFormat="1" applyFont="1" applyFill="1"/>
    <xf numFmtId="164" fontId="5" fillId="21" borderId="0" xfId="0" applyNumberFormat="1" applyFont="1" applyFill="1"/>
    <xf numFmtId="0" fontId="52" fillId="0" borderId="0" xfId="0" applyFont="1"/>
    <xf numFmtId="10" fontId="52" fillId="0" borderId="0" xfId="0" applyNumberFormat="1" applyFont="1"/>
    <xf numFmtId="9" fontId="52" fillId="0" borderId="0" xfId="0" applyNumberFormat="1" applyFont="1"/>
    <xf numFmtId="0" fontId="53" fillId="0" borderId="0" xfId="0" applyFont="1"/>
    <xf numFmtId="10" fontId="1" fillId="0" borderId="0" xfId="0" applyNumberFormat="1" applyFont="1"/>
    <xf numFmtId="49" fontId="54" fillId="0" borderId="37" xfId="0" applyNumberFormat="1" applyFont="1" applyBorder="1" applyAlignment="1">
      <alignment horizontal="center" vertical="center"/>
    </xf>
    <xf numFmtId="0" fontId="52" fillId="0" borderId="39" xfId="0" applyFont="1" applyBorder="1"/>
    <xf numFmtId="0" fontId="52" fillId="19" borderId="39" xfId="0" applyFont="1" applyFill="1" applyBorder="1" applyAlignment="1">
      <alignment horizontal="center" vertical="center" wrapText="1"/>
    </xf>
    <xf numFmtId="10" fontId="53" fillId="0" borderId="39" xfId="0" applyNumberFormat="1" applyFont="1" applyBorder="1"/>
    <xf numFmtId="0" fontId="52" fillId="19" borderId="0" xfId="0" applyFont="1" applyFill="1" applyAlignment="1">
      <alignment horizontal="center" vertical="center"/>
    </xf>
    <xf numFmtId="10" fontId="53" fillId="0" borderId="0" xfId="0" applyNumberFormat="1" applyFont="1"/>
    <xf numFmtId="49" fontId="54" fillId="0" borderId="42" xfId="0" applyNumberFormat="1" applyFont="1" applyBorder="1" applyAlignment="1">
      <alignment horizontal="center" vertical="center"/>
    </xf>
    <xf numFmtId="0" fontId="52" fillId="19" borderId="42" xfId="0" applyFont="1" applyFill="1" applyBorder="1" applyAlignment="1">
      <alignment horizontal="center" vertical="center"/>
    </xf>
    <xf numFmtId="0" fontId="52" fillId="0" borderId="44" xfId="0" applyFont="1" applyBorder="1"/>
    <xf numFmtId="0" fontId="52" fillId="19" borderId="0" xfId="0" applyFont="1" applyFill="1" applyAlignment="1">
      <alignment horizontal="center" vertical="center" wrapText="1"/>
    </xf>
    <xf numFmtId="9" fontId="52" fillId="0" borderId="44" xfId="0" applyNumberFormat="1" applyFont="1" applyBorder="1"/>
    <xf numFmtId="0" fontId="53" fillId="19" borderId="0" xfId="0" applyFont="1" applyFill="1" applyAlignment="1">
      <alignment horizontal="center" vertical="center"/>
    </xf>
    <xf numFmtId="10" fontId="53" fillId="0" borderId="44" xfId="0" applyNumberFormat="1" applyFont="1" applyBorder="1"/>
    <xf numFmtId="0" fontId="52" fillId="0" borderId="42" xfId="0" applyFont="1" applyBorder="1"/>
    <xf numFmtId="0" fontId="52" fillId="19" borderId="39" xfId="0" applyFont="1" applyFill="1" applyBorder="1" applyAlignment="1">
      <alignment horizontal="center" vertical="center"/>
    </xf>
    <xf numFmtId="10" fontId="52" fillId="0" borderId="44" xfId="0" applyNumberFormat="1" applyFont="1" applyBorder="1"/>
    <xf numFmtId="0" fontId="53" fillId="0" borderId="44" xfId="0" applyFont="1" applyBorder="1"/>
    <xf numFmtId="10" fontId="53" fillId="0" borderId="42" xfId="0" applyNumberFormat="1" applyFont="1" applyBorder="1"/>
    <xf numFmtId="10" fontId="52" fillId="0" borderId="47" xfId="0" applyNumberFormat="1" applyFont="1" applyBorder="1"/>
    <xf numFmtId="10" fontId="53" fillId="0" borderId="47" xfId="0" applyNumberFormat="1" applyFont="1" applyBorder="1"/>
    <xf numFmtId="10" fontId="53" fillId="0" borderId="0" xfId="0" applyNumberFormat="1" applyFont="1" applyAlignment="1">
      <alignment vertical="top"/>
    </xf>
    <xf numFmtId="0" fontId="52" fillId="0" borderId="40" xfId="0" applyFont="1" applyBorder="1"/>
    <xf numFmtId="0" fontId="52" fillId="0" borderId="45" xfId="0" applyFont="1" applyBorder="1"/>
    <xf numFmtId="0" fontId="52" fillId="0" borderId="0" xfId="0" applyFont="1" applyAlignment="1">
      <alignment horizontal="left" vertical="center"/>
    </xf>
    <xf numFmtId="0" fontId="52" fillId="19" borderId="44" xfId="0" applyFont="1" applyFill="1" applyBorder="1" applyAlignment="1">
      <alignment horizontal="center" vertical="center"/>
    </xf>
    <xf numFmtId="0" fontId="55" fillId="0" borderId="0" xfId="0" applyFont="1" applyAlignment="1">
      <alignment horizontal="center" vertical="center"/>
    </xf>
    <xf numFmtId="9" fontId="52" fillId="0" borderId="42" xfId="0" applyNumberFormat="1" applyFont="1" applyBorder="1"/>
    <xf numFmtId="164" fontId="53" fillId="0" borderId="39" xfId="0" applyNumberFormat="1" applyFont="1" applyBorder="1"/>
    <xf numFmtId="0" fontId="52" fillId="19" borderId="44" xfId="0" applyFont="1" applyFill="1" applyBorder="1" applyAlignment="1">
      <alignment vertical="center"/>
    </xf>
    <xf numFmtId="164" fontId="53" fillId="0" borderId="44" xfId="0" applyNumberFormat="1" applyFont="1" applyBorder="1"/>
    <xf numFmtId="10" fontId="52" fillId="19" borderId="0" xfId="0" applyNumberFormat="1" applyFont="1" applyFill="1"/>
    <xf numFmtId="0" fontId="52" fillId="0" borderId="0" xfId="0" applyFont="1" applyAlignment="1">
      <alignment vertical="center"/>
    </xf>
    <xf numFmtId="0" fontId="55" fillId="0" borderId="39" xfId="0" applyFont="1" applyBorder="1" applyAlignment="1">
      <alignment horizontal="center" vertical="center"/>
    </xf>
    <xf numFmtId="0" fontId="55" fillId="0" borderId="0" xfId="0" applyFont="1" applyAlignment="1">
      <alignment horizontal="left" vertical="center" wrapText="1"/>
    </xf>
    <xf numFmtId="49" fontId="54" fillId="0" borderId="44" xfId="0" applyNumberFormat="1" applyFont="1" applyBorder="1" applyAlignment="1">
      <alignment horizontal="center" vertical="center"/>
    </xf>
    <xf numFmtId="9" fontId="53" fillId="0" borderId="0" xfId="0" applyNumberFormat="1" applyFont="1"/>
    <xf numFmtId="9" fontId="53" fillId="0" borderId="39" xfId="0" applyNumberFormat="1" applyFont="1" applyBorder="1" applyAlignment="1">
      <alignment horizontal="left"/>
    </xf>
    <xf numFmtId="0" fontId="52" fillId="19" borderId="0" xfId="0" applyFont="1" applyFill="1" applyAlignment="1">
      <alignment vertical="center"/>
    </xf>
    <xf numFmtId="0" fontId="52" fillId="0" borderId="0" xfId="0" applyFont="1" applyAlignment="1">
      <alignment horizontal="left" vertical="center" wrapText="1"/>
    </xf>
    <xf numFmtId="0" fontId="52" fillId="0" borderId="0" xfId="0" applyFont="1" applyAlignment="1">
      <alignment wrapText="1"/>
    </xf>
    <xf numFmtId="0" fontId="57" fillId="0" borderId="0" xfId="0" applyFont="1" applyAlignment="1">
      <alignment vertical="top"/>
    </xf>
    <xf numFmtId="164" fontId="53" fillId="0" borderId="42" xfId="0" applyNumberFormat="1" applyFont="1" applyBorder="1"/>
    <xf numFmtId="164" fontId="52" fillId="0" borderId="0" xfId="0" applyNumberFormat="1" applyFont="1"/>
    <xf numFmtId="10" fontId="53" fillId="6" borderId="0" xfId="0" applyNumberFormat="1" applyFont="1" applyFill="1"/>
    <xf numFmtId="10" fontId="52" fillId="6" borderId="0" xfId="0" applyNumberFormat="1" applyFont="1" applyFill="1"/>
    <xf numFmtId="10" fontId="52" fillId="6" borderId="44" xfId="0" applyNumberFormat="1" applyFont="1" applyFill="1" applyBorder="1"/>
    <xf numFmtId="10" fontId="53" fillId="6" borderId="44" xfId="0" applyNumberFormat="1" applyFont="1" applyFill="1" applyBorder="1"/>
    <xf numFmtId="164" fontId="53" fillId="6" borderId="44" xfId="0" applyNumberFormat="1" applyFont="1" applyFill="1" applyBorder="1"/>
    <xf numFmtId="164" fontId="53" fillId="6" borderId="0" xfId="3" applyNumberFormat="1" applyFont="1" applyFill="1"/>
    <xf numFmtId="0" fontId="58" fillId="7" borderId="0" xfId="0" applyFont="1" applyFill="1" applyAlignment="1">
      <alignment horizontal="center"/>
    </xf>
    <xf numFmtId="168" fontId="34" fillId="12" borderId="0" xfId="0" applyNumberFormat="1" applyFont="1" applyFill="1"/>
    <xf numFmtId="9" fontId="5" fillId="7" borderId="0" xfId="3" applyFont="1" applyFill="1"/>
    <xf numFmtId="165" fontId="23" fillId="17" borderId="0" xfId="4" applyNumberFormat="1" applyFont="1" applyFill="1"/>
    <xf numFmtId="37" fontId="5" fillId="17" borderId="0" xfId="0" applyNumberFormat="1" applyFont="1" applyFill="1"/>
    <xf numFmtId="0" fontId="5" fillId="7" borderId="0" xfId="0" applyFont="1" applyFill="1"/>
    <xf numFmtId="165" fontId="5" fillId="0" borderId="0" xfId="0" applyNumberFormat="1" applyFont="1" applyAlignment="1">
      <alignment horizontal="center" vertical="center"/>
    </xf>
    <xf numFmtId="164" fontId="5" fillId="0" borderId="0" xfId="3" applyNumberFormat="1" applyFont="1" applyAlignment="1">
      <alignment horizontal="center" vertical="center"/>
    </xf>
    <xf numFmtId="0" fontId="5" fillId="7" borderId="0" xfId="0" applyFont="1" applyFill="1" applyAlignment="1">
      <alignment wrapText="1"/>
    </xf>
    <xf numFmtId="165" fontId="23" fillId="6" borderId="0" xfId="4" applyNumberFormat="1" applyFont="1" applyFill="1"/>
    <xf numFmtId="165" fontId="5" fillId="20" borderId="0" xfId="0" applyNumberFormat="1" applyFont="1" applyFill="1" applyAlignment="1">
      <alignment horizontal="center" vertical="center"/>
    </xf>
    <xf numFmtId="164" fontId="5" fillId="20" borderId="0" xfId="3" applyNumberFormat="1" applyFont="1" applyFill="1" applyAlignment="1">
      <alignment horizontal="center" vertical="center"/>
    </xf>
    <xf numFmtId="0" fontId="15" fillId="20" borderId="0" xfId="0" applyFont="1" applyFill="1" applyAlignment="1">
      <alignment vertical="center"/>
    </xf>
    <xf numFmtId="0" fontId="0" fillId="0" borderId="0" xfId="0" applyAlignment="1">
      <alignment horizontal="center" vertical="center" wrapText="1"/>
    </xf>
    <xf numFmtId="9" fontId="53" fillId="0" borderId="39" xfId="0" applyNumberFormat="1" applyFont="1" applyBorder="1"/>
    <xf numFmtId="9" fontId="52" fillId="0" borderId="0" xfId="3" applyFont="1"/>
    <xf numFmtId="9" fontId="53" fillId="17" borderId="0" xfId="3" applyFont="1" applyFill="1"/>
    <xf numFmtId="0" fontId="54" fillId="0" borderId="0" xfId="0" applyFont="1"/>
    <xf numFmtId="164" fontId="54" fillId="17" borderId="0" xfId="3" applyNumberFormat="1" applyFont="1" applyFill="1"/>
    <xf numFmtId="164" fontId="54" fillId="6" borderId="0" xfId="0" applyNumberFormat="1" applyFont="1" applyFill="1"/>
    <xf numFmtId="0" fontId="52" fillId="17" borderId="0" xfId="0" applyFont="1" applyFill="1"/>
    <xf numFmtId="10" fontId="52" fillId="17" borderId="0" xfId="0" applyNumberFormat="1" applyFont="1" applyFill="1"/>
    <xf numFmtId="164" fontId="59" fillId="6" borderId="0" xfId="0" applyNumberFormat="1" applyFont="1" applyFill="1"/>
    <xf numFmtId="10" fontId="59" fillId="6" borderId="0" xfId="0" applyNumberFormat="1" applyFont="1" applyFill="1"/>
    <xf numFmtId="10" fontId="59" fillId="6" borderId="39" xfId="0" applyNumberFormat="1" applyFont="1" applyFill="1" applyBorder="1"/>
    <xf numFmtId="0" fontId="52" fillId="0" borderId="0" xfId="0" applyFont="1" applyAlignment="1">
      <alignment horizontal="left"/>
    </xf>
    <xf numFmtId="9" fontId="53" fillId="17" borderId="0" xfId="3" applyFont="1" applyFill="1" applyAlignment="1">
      <alignment horizontal="left"/>
    </xf>
    <xf numFmtId="9" fontId="53" fillId="6" borderId="0" xfId="3" applyFont="1" applyFill="1" applyAlignment="1">
      <alignment horizontal="left"/>
    </xf>
    <xf numFmtId="0" fontId="52" fillId="0" borderId="37" xfId="0" applyFont="1" applyBorder="1" applyAlignment="1">
      <alignment horizontal="left" vertical="center"/>
    </xf>
    <xf numFmtId="0" fontId="52" fillId="0" borderId="38" xfId="0" applyFont="1" applyBorder="1" applyAlignment="1">
      <alignment horizontal="left" vertical="center"/>
    </xf>
    <xf numFmtId="0" fontId="52" fillId="0" borderId="42" xfId="0" applyFont="1" applyBorder="1" applyAlignment="1">
      <alignment horizontal="left" vertical="center"/>
    </xf>
    <xf numFmtId="0" fontId="52" fillId="0" borderId="43" xfId="0" applyFont="1" applyBorder="1" applyAlignment="1">
      <alignment horizontal="left" vertical="center"/>
    </xf>
    <xf numFmtId="0" fontId="55" fillId="0" borderId="37" xfId="0" applyFont="1" applyBorder="1" applyAlignment="1">
      <alignment horizontal="left" vertical="center"/>
    </xf>
    <xf numFmtId="0" fontId="55" fillId="0" borderId="38" xfId="0" applyFont="1" applyBorder="1" applyAlignment="1">
      <alignment horizontal="left" vertical="center"/>
    </xf>
    <xf numFmtId="0" fontId="55" fillId="0" borderId="42" xfId="0" applyFont="1" applyBorder="1" applyAlignment="1">
      <alignment horizontal="left" vertical="center"/>
    </xf>
    <xf numFmtId="0" fontId="55" fillId="0" borderId="43" xfId="0" applyFont="1" applyBorder="1" applyAlignment="1">
      <alignment horizontal="left" vertical="center"/>
    </xf>
    <xf numFmtId="0" fontId="52" fillId="0" borderId="41" xfId="0" applyFont="1" applyBorder="1" applyAlignment="1">
      <alignment horizontal="left" vertical="center" wrapText="1"/>
    </xf>
    <xf numFmtId="0" fontId="52" fillId="0" borderId="44" xfId="0" applyFont="1" applyBorder="1" applyAlignment="1">
      <alignment horizontal="left" vertical="center"/>
    </xf>
    <xf numFmtId="0" fontId="52" fillId="0" borderId="49" xfId="0" applyFont="1" applyBorder="1" applyAlignment="1">
      <alignment horizontal="left" vertical="center"/>
    </xf>
    <xf numFmtId="0" fontId="56" fillId="0" borderId="37" xfId="0" applyFont="1" applyBorder="1" applyAlignment="1">
      <alignment horizontal="left" vertical="center"/>
    </xf>
    <xf numFmtId="0" fontId="52" fillId="0" borderId="41" xfId="0" applyFont="1" applyBorder="1" applyAlignment="1">
      <alignment horizontal="left" vertical="center"/>
    </xf>
    <xf numFmtId="0" fontId="52" fillId="0" borderId="40" xfId="0" applyFont="1" applyBorder="1" applyAlignment="1">
      <alignment horizontal="left" vertical="center"/>
    </xf>
    <xf numFmtId="0" fontId="55" fillId="0" borderId="0" xfId="0" applyFont="1" applyAlignment="1">
      <alignment horizontal="left" vertical="center"/>
    </xf>
    <xf numFmtId="0" fontId="52" fillId="19" borderId="0" xfId="0" applyFont="1" applyFill="1" applyAlignment="1">
      <alignment horizontal="left" vertical="center"/>
    </xf>
    <xf numFmtId="164" fontId="53" fillId="6" borderId="0" xfId="3" applyNumberFormat="1" applyFont="1" applyFill="1" applyAlignment="1">
      <alignment horizontal="left"/>
    </xf>
    <xf numFmtId="164" fontId="53" fillId="7" borderId="0" xfId="3" applyNumberFormat="1" applyFont="1" applyFill="1" applyAlignment="1">
      <alignment horizontal="left"/>
    </xf>
    <xf numFmtId="0" fontId="56" fillId="0" borderId="38" xfId="0" applyFont="1" applyBorder="1" applyAlignment="1">
      <alignment horizontal="left" vertical="center"/>
    </xf>
    <xf numFmtId="0" fontId="56" fillId="0" borderId="42" xfId="0" applyFont="1" applyBorder="1" applyAlignment="1">
      <alignment horizontal="left" vertical="center"/>
    </xf>
    <xf numFmtId="0" fontId="56" fillId="0" borderId="43" xfId="0" applyFont="1" applyBorder="1" applyAlignment="1">
      <alignment horizontal="left" vertical="center"/>
    </xf>
    <xf numFmtId="0" fontId="52" fillId="0" borderId="40" xfId="0" applyFont="1" applyBorder="1" applyAlignment="1">
      <alignment horizontal="left" vertical="center" wrapText="1"/>
    </xf>
    <xf numFmtId="0" fontId="52" fillId="0" borderId="38" xfId="0" applyFont="1" applyBorder="1" applyAlignment="1">
      <alignment horizontal="left" vertical="center" wrapText="1"/>
    </xf>
    <xf numFmtId="0" fontId="52" fillId="0" borderId="42" xfId="0" applyFont="1" applyBorder="1" applyAlignment="1">
      <alignment horizontal="left" vertical="center" wrapText="1"/>
    </xf>
    <xf numFmtId="0" fontId="52" fillId="0" borderId="43" xfId="0" applyFont="1" applyBorder="1" applyAlignment="1">
      <alignment horizontal="left" vertical="center" wrapText="1"/>
    </xf>
    <xf numFmtId="0" fontId="23" fillId="17" borderId="0" xfId="0" applyFont="1" applyFill="1" applyAlignment="1">
      <alignment horizontal="center" vertical="center"/>
    </xf>
    <xf numFmtId="167" fontId="5" fillId="0" borderId="0" xfId="4" applyNumberFormat="1" applyFont="1"/>
    <xf numFmtId="167" fontId="53" fillId="17" borderId="0" xfId="4" applyNumberFormat="1" applyFont="1" applyFill="1"/>
    <xf numFmtId="167" fontId="53" fillId="0" borderId="44" xfId="0" applyNumberFormat="1" applyFont="1" applyBorder="1"/>
    <xf numFmtId="167" fontId="53" fillId="0" borderId="0" xfId="0" applyNumberFormat="1" applyFont="1"/>
    <xf numFmtId="169" fontId="52" fillId="0" borderId="0" xfId="4" applyNumberFormat="1" applyFont="1"/>
    <xf numFmtId="165" fontId="52" fillId="0" borderId="0" xfId="4" applyNumberFormat="1" applyFont="1"/>
    <xf numFmtId="165" fontId="52" fillId="17" borderId="0" xfId="4" applyNumberFormat="1" applyFont="1" applyFill="1"/>
    <xf numFmtId="165" fontId="53" fillId="17" borderId="0" xfId="4" applyNumberFormat="1" applyFont="1" applyFill="1"/>
    <xf numFmtId="165" fontId="53" fillId="0" borderId="0" xfId="4" applyNumberFormat="1" applyFont="1"/>
    <xf numFmtId="9" fontId="52" fillId="6" borderId="0" xfId="0" applyNumberFormat="1" applyFont="1" applyFill="1"/>
    <xf numFmtId="9" fontId="53" fillId="6" borderId="0" xfId="0" applyNumberFormat="1" applyFont="1" applyFill="1"/>
    <xf numFmtId="9" fontId="52" fillId="0" borderId="39" xfId="0" applyNumberFormat="1" applyFont="1" applyBorder="1"/>
    <xf numFmtId="1" fontId="52" fillId="0" borderId="0" xfId="0" applyNumberFormat="1" applyFont="1"/>
    <xf numFmtId="164" fontId="0" fillId="6" borderId="0" xfId="3" applyNumberFormat="1" applyFont="1" applyFill="1"/>
    <xf numFmtId="171" fontId="1" fillId="0" borderId="0" xfId="0" applyNumberFormat="1" applyFont="1"/>
    <xf numFmtId="165" fontId="52" fillId="0" borderId="0" xfId="0" applyNumberFormat="1" applyFont="1"/>
    <xf numFmtId="166" fontId="1" fillId="6" borderId="10" xfId="3" applyNumberFormat="1" applyFont="1" applyFill="1" applyBorder="1"/>
    <xf numFmtId="165" fontId="53" fillId="18" borderId="0" xfId="4" applyNumberFormat="1" applyFont="1" applyFill="1"/>
    <xf numFmtId="165" fontId="53" fillId="18" borderId="0" xfId="0" applyNumberFormat="1" applyFont="1" applyFill="1" applyAlignment="1">
      <alignment horizontal="left"/>
    </xf>
    <xf numFmtId="165" fontId="52" fillId="18" borderId="0" xfId="4" applyNumberFormat="1" applyFont="1" applyFill="1" applyAlignment="1">
      <alignment horizontal="center" vertical="center"/>
    </xf>
    <xf numFmtId="165" fontId="53" fillId="7" borderId="0" xfId="4" applyNumberFormat="1" applyFont="1" applyFill="1"/>
    <xf numFmtId="165" fontId="52" fillId="19" borderId="0" xfId="0" applyNumberFormat="1" applyFont="1" applyFill="1" applyAlignment="1">
      <alignment horizontal="center" vertical="center"/>
    </xf>
    <xf numFmtId="165" fontId="1" fillId="0" borderId="0" xfId="0" applyNumberFormat="1" applyFont="1"/>
    <xf numFmtId="0" fontId="60" fillId="0" borderId="0" xfId="0" applyFont="1"/>
    <xf numFmtId="0" fontId="61" fillId="0" borderId="0" xfId="0" applyFont="1"/>
    <xf numFmtId="0" fontId="62" fillId="0" borderId="0" xfId="0" applyFont="1"/>
    <xf numFmtId="165" fontId="60" fillId="0" borderId="0" xfId="0" applyNumberFormat="1" applyFont="1"/>
    <xf numFmtId="165" fontId="60" fillId="0" borderId="0" xfId="4" applyNumberFormat="1" applyFont="1"/>
    <xf numFmtId="165" fontId="54" fillId="0" borderId="0" xfId="4" applyNumberFormat="1" applyFont="1"/>
    <xf numFmtId="165" fontId="61" fillId="0" borderId="0" xfId="4" applyNumberFormat="1" applyFont="1"/>
    <xf numFmtId="165" fontId="61" fillId="0" borderId="0" xfId="0" applyNumberFormat="1" applyFont="1"/>
    <xf numFmtId="165" fontId="62" fillId="0" borderId="0" xfId="0" applyNumberFormat="1" applyFont="1"/>
    <xf numFmtId="165" fontId="62" fillId="0" borderId="0" xfId="4" applyNumberFormat="1" applyFont="1"/>
    <xf numFmtId="0" fontId="54" fillId="0" borderId="0" xfId="0" applyFont="1" applyAlignment="1">
      <alignment wrapText="1"/>
    </xf>
    <xf numFmtId="165" fontId="54" fillId="0" borderId="0" xfId="0" applyNumberFormat="1" applyFont="1"/>
    <xf numFmtId="1" fontId="60" fillId="0" borderId="0" xfId="0" applyNumberFormat="1" applyFont="1"/>
    <xf numFmtId="165" fontId="53" fillId="0" borderId="0" xfId="0" applyNumberFormat="1" applyFont="1"/>
    <xf numFmtId="165" fontId="53" fillId="19" borderId="0" xfId="0" applyNumberFormat="1" applyFont="1" applyFill="1" applyAlignment="1">
      <alignment horizontal="center" vertical="center"/>
    </xf>
    <xf numFmtId="165" fontId="53" fillId="17" borderId="0" xfId="0" applyNumberFormat="1" applyFont="1" applyFill="1"/>
    <xf numFmtId="165" fontId="62" fillId="6" borderId="0" xfId="0" applyNumberFormat="1" applyFont="1" applyFill="1"/>
    <xf numFmtId="165" fontId="60" fillId="6" borderId="0" xfId="0" applyNumberFormat="1" applyFont="1" applyFill="1"/>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2" fillId="6" borderId="0" xfId="0" applyFont="1" applyFill="1" applyAlignment="1">
      <alignment wrapText="1"/>
    </xf>
    <xf numFmtId="0" fontId="53" fillId="17" borderId="0" xfId="0" applyFont="1" applyFill="1" applyAlignment="1">
      <alignment horizontal="center"/>
    </xf>
    <xf numFmtId="165" fontId="54" fillId="6" borderId="0" xfId="4" applyNumberFormat="1" applyFont="1" applyFill="1"/>
    <xf numFmtId="0" fontId="54" fillId="6" borderId="0" xfId="0" applyFont="1" applyFill="1" applyAlignment="1">
      <alignment horizontal="center"/>
    </xf>
    <xf numFmtId="165" fontId="15" fillId="20" borderId="0" xfId="4" applyNumberFormat="1" applyFont="1" applyFill="1"/>
    <xf numFmtId="170" fontId="0" fillId="20" borderId="0" xfId="4" applyNumberFormat="1" applyFont="1" applyFill="1"/>
    <xf numFmtId="0" fontId="59" fillId="0" borderId="0" xfId="0" applyFont="1" applyAlignment="1">
      <alignment wrapText="1"/>
    </xf>
    <xf numFmtId="0" fontId="63" fillId="0" borderId="0" xfId="0" applyFont="1"/>
    <xf numFmtId="0" fontId="63" fillId="0" borderId="0" xfId="0" applyFont="1" applyAlignment="1">
      <alignment wrapText="1"/>
    </xf>
    <xf numFmtId="165" fontId="63" fillId="0" borderId="0" xfId="4" applyNumberFormat="1" applyFont="1"/>
    <xf numFmtId="165" fontId="63" fillId="0" borderId="0" xfId="0" applyNumberFormat="1" applyFont="1"/>
    <xf numFmtId="165" fontId="51" fillId="0" borderId="0" xfId="4" applyNumberFormat="1" applyFont="1"/>
    <xf numFmtId="164" fontId="13" fillId="0" borderId="0" xfId="3" applyNumberFormat="1" applyFont="1"/>
    <xf numFmtId="170" fontId="5" fillId="20" borderId="0" xfId="4" applyNumberFormat="1" applyFont="1" applyFill="1"/>
    <xf numFmtId="0" fontId="15" fillId="17" borderId="0" xfId="0" applyFont="1" applyFill="1" applyAlignment="1">
      <alignment horizontal="center" vertical="center" wrapText="1"/>
    </xf>
    <xf numFmtId="165" fontId="0" fillId="0" borderId="0" xfId="4" applyNumberFormat="1" applyFont="1" applyAlignment="1">
      <alignment vertical="center"/>
    </xf>
    <xf numFmtId="165" fontId="13" fillId="17" borderId="0" xfId="0" applyNumberFormat="1" applyFont="1" applyFill="1"/>
    <xf numFmtId="0" fontId="42" fillId="6" borderId="0" xfId="0" applyFont="1" applyFill="1" applyAlignment="1">
      <alignment vertical="center" wrapText="1"/>
    </xf>
    <xf numFmtId="165" fontId="64" fillId="17" borderId="0" xfId="0" applyNumberFormat="1" applyFont="1" applyFill="1"/>
    <xf numFmtId="165" fontId="64" fillId="6" borderId="0" xfId="4" applyNumberFormat="1" applyFont="1" applyFill="1"/>
    <xf numFmtId="165" fontId="39" fillId="0" borderId="0" xfId="4" applyNumberFormat="1" applyFont="1"/>
    <xf numFmtId="165" fontId="39" fillId="0" borderId="0" xfId="0" applyNumberFormat="1" applyFont="1"/>
    <xf numFmtId="0" fontId="39" fillId="0" borderId="0" xfId="0" applyFont="1"/>
    <xf numFmtId="0" fontId="42" fillId="0" borderId="0" xfId="0" applyFont="1" applyAlignment="1">
      <alignment horizontal="center" vertical="center"/>
    </xf>
    <xf numFmtId="0" fontId="7" fillId="0" borderId="0" xfId="1"/>
    <xf numFmtId="9" fontId="52" fillId="17" borderId="0" xfId="0" applyNumberFormat="1" applyFont="1" applyFill="1" applyAlignment="1">
      <alignment horizontal="center" vertical="center"/>
    </xf>
    <xf numFmtId="164" fontId="53" fillId="17" borderId="0" xfId="3" applyNumberFormat="1" applyFont="1" applyFill="1" applyAlignment="1">
      <alignment horizontal="center" vertical="center"/>
    </xf>
    <xf numFmtId="165" fontId="52" fillId="17" borderId="0" xfId="0" applyNumberFormat="1" applyFont="1" applyFill="1"/>
    <xf numFmtId="165" fontId="53" fillId="6" borderId="0" xfId="0" applyNumberFormat="1" applyFont="1" applyFill="1"/>
    <xf numFmtId="170" fontId="52" fillId="0" borderId="0" xfId="4" applyNumberFormat="1" applyFont="1"/>
    <xf numFmtId="0" fontId="54" fillId="6" borderId="0" xfId="0" applyFont="1" applyFill="1"/>
    <xf numFmtId="165" fontId="24" fillId="17" borderId="0" xfId="0" applyNumberFormat="1" applyFont="1" applyFill="1"/>
    <xf numFmtId="165" fontId="0" fillId="6" borderId="0" xfId="4" applyNumberFormat="1" applyFont="1" applyFill="1"/>
    <xf numFmtId="164" fontId="24" fillId="17" borderId="0" xfId="3" applyNumberFormat="1" applyFont="1" applyFill="1"/>
    <xf numFmtId="165" fontId="49" fillId="7" borderId="0" xfId="0" applyNumberFormat="1" applyFont="1" applyFill="1"/>
    <xf numFmtId="164" fontId="49" fillId="7" borderId="0" xfId="3" applyNumberFormat="1" applyFont="1" applyFill="1"/>
    <xf numFmtId="0" fontId="42" fillId="17" borderId="0" xfId="0" applyFont="1" applyFill="1" applyAlignment="1">
      <alignment horizontal="center" vertical="center" wrapText="1"/>
    </xf>
    <xf numFmtId="165" fontId="59" fillId="0" borderId="0" xfId="4" applyNumberFormat="1" applyFont="1"/>
    <xf numFmtId="165" fontId="59" fillId="0" borderId="0" xfId="0" applyNumberFormat="1" applyFont="1"/>
    <xf numFmtId="0" fontId="52" fillId="0" borderId="0" xfId="0" applyFont="1" applyAlignment="1">
      <alignment vertical="center" wrapText="1"/>
    </xf>
    <xf numFmtId="0" fontId="54" fillId="0" borderId="0" xfId="0" applyFont="1" applyAlignment="1">
      <alignment vertical="center" wrapText="1"/>
    </xf>
    <xf numFmtId="165" fontId="52" fillId="0" borderId="0" xfId="4" applyNumberFormat="1" applyFont="1" applyAlignment="1">
      <alignment vertical="center" wrapText="1"/>
    </xf>
    <xf numFmtId="10" fontId="52" fillId="0" borderId="0" xfId="0" applyNumberFormat="1" applyFont="1" applyAlignment="1">
      <alignment vertical="center" wrapText="1"/>
    </xf>
    <xf numFmtId="0" fontId="54" fillId="0" borderId="0" xfId="0" applyFont="1" applyAlignment="1">
      <alignment horizontal="left" vertical="center" wrapText="1"/>
    </xf>
    <xf numFmtId="0" fontId="53" fillId="0" borderId="0" xfId="0" applyFont="1" applyAlignment="1">
      <alignment vertical="center" wrapText="1"/>
    </xf>
    <xf numFmtId="0" fontId="53" fillId="17" borderId="0" xfId="0" applyFont="1" applyFill="1" applyAlignment="1">
      <alignment vertical="center" wrapText="1"/>
    </xf>
    <xf numFmtId="0" fontId="52" fillId="17" borderId="0" xfId="0" applyFont="1" applyFill="1" applyAlignment="1">
      <alignment vertical="center" wrapText="1"/>
    </xf>
    <xf numFmtId="165" fontId="53" fillId="0" borderId="0" xfId="4" applyNumberFormat="1" applyFont="1" applyAlignment="1">
      <alignment vertical="center" wrapText="1"/>
    </xf>
    <xf numFmtId="0" fontId="13" fillId="0" borderId="0" xfId="0" applyFont="1" applyAlignment="1">
      <alignment horizontal="center"/>
    </xf>
    <xf numFmtId="0" fontId="5" fillId="0" borderId="0" xfId="0" applyFont="1" applyAlignment="1">
      <alignment horizontal="center"/>
    </xf>
    <xf numFmtId="0" fontId="50" fillId="0" borderId="0" xfId="0" applyFont="1" applyAlignment="1">
      <alignment horizontal="center"/>
    </xf>
    <xf numFmtId="0" fontId="48" fillId="0" borderId="0" xfId="0" applyFont="1" applyAlignment="1">
      <alignment horizontal="center"/>
    </xf>
    <xf numFmtId="0" fontId="51" fillId="0" borderId="0" xfId="0" applyFont="1" applyAlignment="1">
      <alignment horizontal="center"/>
    </xf>
    <xf numFmtId="49" fontId="52" fillId="0" borderId="0" xfId="0" applyNumberFormat="1" applyFont="1"/>
    <xf numFmtId="164" fontId="53" fillId="6" borderId="0" xfId="0" applyNumberFormat="1" applyFont="1" applyFill="1"/>
    <xf numFmtId="164" fontId="34" fillId="23" borderId="0" xfId="3" applyNumberFormat="1" applyFont="1" applyFill="1"/>
    <xf numFmtId="0" fontId="5" fillId="0" borderId="0" xfId="0" applyFont="1" applyAlignment="1">
      <alignment horizontal="left"/>
    </xf>
    <xf numFmtId="9" fontId="0" fillId="20" borderId="0" xfId="3" applyFont="1" applyFill="1"/>
    <xf numFmtId="172" fontId="53" fillId="0" borderId="0" xfId="0" applyNumberFormat="1" applyFont="1"/>
    <xf numFmtId="0" fontId="59" fillId="0" borderId="0" xfId="0" applyFont="1"/>
    <xf numFmtId="164" fontId="30" fillId="17" borderId="0" xfId="3" applyNumberFormat="1" applyFont="1" applyFill="1"/>
    <xf numFmtId="0" fontId="52" fillId="18" borderId="0" xfId="0" applyFont="1" applyFill="1"/>
    <xf numFmtId="164" fontId="5" fillId="18" borderId="0" xfId="3" applyNumberFormat="1" applyFont="1" applyFill="1"/>
    <xf numFmtId="0" fontId="0" fillId="18" borderId="0" xfId="0" applyFill="1"/>
    <xf numFmtId="10" fontId="5" fillId="18" borderId="0" xfId="3" applyNumberFormat="1" applyFont="1" applyFill="1"/>
    <xf numFmtId="49" fontId="54" fillId="0" borderId="40" xfId="0" applyNumberFormat="1" applyFont="1" applyBorder="1" applyAlignment="1">
      <alignment horizontal="center" vertical="center"/>
    </xf>
    <xf numFmtId="49" fontId="54" fillId="0" borderId="0" xfId="0" applyNumberFormat="1" applyFont="1" applyAlignment="1">
      <alignment horizontal="center" vertical="center"/>
    </xf>
    <xf numFmtId="10" fontId="53" fillId="8" borderId="0" xfId="0" applyNumberFormat="1" applyFont="1" applyFill="1"/>
    <xf numFmtId="164" fontId="53" fillId="0" borderId="44" xfId="3" applyNumberFormat="1" applyFont="1" applyBorder="1"/>
    <xf numFmtId="0" fontId="52" fillId="0" borderId="0" xfId="0" applyFont="1" applyAlignment="1">
      <alignment horizontal="center" vertical="center"/>
    </xf>
    <xf numFmtId="165" fontId="54" fillId="0" borderId="40" xfId="4" applyNumberFormat="1" applyFont="1" applyBorder="1" applyAlignment="1">
      <alignment vertical="center"/>
    </xf>
    <xf numFmtId="165" fontId="52" fillId="18" borderId="0" xfId="0" applyNumberFormat="1" applyFont="1" applyFill="1"/>
    <xf numFmtId="169" fontId="54" fillId="0" borderId="0" xfId="4" applyNumberFormat="1" applyFont="1" applyAlignment="1">
      <alignment vertical="center"/>
    </xf>
    <xf numFmtId="0" fontId="52" fillId="19" borderId="46" xfId="0" applyFont="1" applyFill="1" applyBorder="1" applyAlignment="1">
      <alignment vertical="center" wrapText="1"/>
    </xf>
    <xf numFmtId="0" fontId="52" fillId="19" borderId="39" xfId="0" applyFont="1" applyFill="1" applyBorder="1" applyAlignment="1">
      <alignment vertical="center" wrapText="1"/>
    </xf>
    <xf numFmtId="164" fontId="53" fillId="0" borderId="44" xfId="3" applyNumberFormat="1" applyFont="1" applyBorder="1" applyAlignment="1">
      <alignment horizontal="right" vertical="center"/>
    </xf>
    <xf numFmtId="49" fontId="54" fillId="0" borderId="46" xfId="0" applyNumberFormat="1" applyFont="1" applyBorder="1" applyAlignment="1">
      <alignment vertical="center"/>
    </xf>
    <xf numFmtId="165" fontId="53" fillId="6" borderId="0" xfId="4" applyNumberFormat="1" applyFont="1" applyFill="1"/>
    <xf numFmtId="9" fontId="5" fillId="6" borderId="0" xfId="3" applyFont="1" applyFill="1"/>
    <xf numFmtId="166" fontId="0" fillId="0" borderId="0" xfId="0" applyNumberFormat="1"/>
    <xf numFmtId="49" fontId="1" fillId="0" borderId="50" xfId="0" applyNumberFormat="1" applyFont="1" applyBorder="1"/>
    <xf numFmtId="165" fontId="34" fillId="2" borderId="0" xfId="0" applyNumberFormat="1" applyFont="1" applyFill="1"/>
    <xf numFmtId="9" fontId="52" fillId="6" borderId="39" xfId="0" applyNumberFormat="1" applyFont="1" applyFill="1" applyBorder="1"/>
    <xf numFmtId="9" fontId="52" fillId="6" borderId="42" xfId="0" applyNumberFormat="1" applyFont="1" applyFill="1" applyBorder="1"/>
    <xf numFmtId="10" fontId="6" fillId="0" borderId="0" xfId="0" applyNumberFormat="1" applyFont="1" applyAlignment="1">
      <alignment vertical="top"/>
    </xf>
    <xf numFmtId="10" fontId="6" fillId="6" borderId="0" xfId="0" applyNumberFormat="1" applyFont="1" applyFill="1" applyAlignment="1">
      <alignment vertical="top"/>
    </xf>
    <xf numFmtId="10" fontId="6" fillId="0" borderId="44" xfId="0" applyNumberFormat="1" applyFont="1" applyBorder="1" applyAlignment="1">
      <alignment vertical="top"/>
    </xf>
    <xf numFmtId="0" fontId="53" fillId="7" borderId="0" xfId="0" applyFont="1" applyFill="1" applyAlignment="1">
      <alignment horizontal="center"/>
    </xf>
    <xf numFmtId="167" fontId="6" fillId="0" borderId="0" xfId="0" applyNumberFormat="1" applyFont="1" applyAlignment="1">
      <alignment vertical="top"/>
    </xf>
    <xf numFmtId="167" fontId="6" fillId="0" borderId="44" xfId="0" applyNumberFormat="1" applyFont="1" applyBorder="1" applyAlignment="1">
      <alignment vertical="top"/>
    </xf>
    <xf numFmtId="167" fontId="53" fillId="0" borderId="0" xfId="4" applyNumberFormat="1" applyFont="1"/>
    <xf numFmtId="1" fontId="63" fillId="0" borderId="0" xfId="0" applyNumberFormat="1" applyFont="1"/>
    <xf numFmtId="1" fontId="59" fillId="0" borderId="0" xfId="0" applyNumberFormat="1" applyFont="1"/>
    <xf numFmtId="167" fontId="53" fillId="6" borderId="0" xfId="4" applyNumberFormat="1" applyFont="1" applyFill="1"/>
    <xf numFmtId="0" fontId="65" fillId="0" borderId="0" xfId="0" applyFont="1" applyAlignment="1">
      <alignment vertical="top"/>
    </xf>
    <xf numFmtId="165" fontId="65" fillId="0" borderId="0" xfId="4" applyNumberFormat="1" applyFont="1" applyAlignment="1">
      <alignment vertical="top"/>
    </xf>
    <xf numFmtId="0" fontId="66" fillId="0" borderId="0" xfId="0" applyFont="1" applyAlignment="1">
      <alignment horizontal="centerContinuous" vertical="top"/>
    </xf>
    <xf numFmtId="0" fontId="67" fillId="0" borderId="0" xfId="0" applyFont="1" applyAlignment="1">
      <alignment horizontal="center" vertical="center"/>
    </xf>
    <xf numFmtId="165" fontId="65" fillId="0" borderId="0" xfId="4" applyNumberFormat="1" applyFont="1" applyAlignment="1">
      <alignment horizontal="center" vertical="center"/>
    </xf>
    <xf numFmtId="0" fontId="67" fillId="20" borderId="6" xfId="0" applyFont="1" applyFill="1" applyBorder="1" applyAlignment="1">
      <alignment horizontal="center" vertical="center"/>
    </xf>
    <xf numFmtId="0" fontId="67" fillId="20" borderId="6" xfId="0" applyFont="1" applyFill="1" applyBorder="1" applyAlignment="1">
      <alignment horizontal="left" vertical="center" wrapText="1"/>
    </xf>
    <xf numFmtId="0" fontId="67" fillId="20" borderId="6" xfId="0" applyFont="1" applyFill="1" applyBorder="1" applyAlignment="1">
      <alignment horizontal="center" vertical="center" wrapText="1"/>
    </xf>
    <xf numFmtId="0" fontId="69" fillId="20" borderId="6" xfId="0" applyFont="1" applyFill="1" applyBorder="1" applyAlignment="1">
      <alignment horizontal="center" vertical="center" wrapText="1"/>
    </xf>
    <xf numFmtId="165" fontId="65" fillId="0" borderId="0" xfId="4" applyNumberFormat="1" applyFont="1" applyAlignment="1">
      <alignment horizontal="center" vertical="center" wrapText="1"/>
    </xf>
    <xf numFmtId="165" fontId="65" fillId="6" borderId="0" xfId="4" applyNumberFormat="1" applyFont="1" applyFill="1" applyAlignment="1">
      <alignment horizontal="center" vertical="center" wrapText="1"/>
    </xf>
    <xf numFmtId="0" fontId="65" fillId="0" borderId="0" xfId="0" applyFont="1" applyAlignment="1">
      <alignment horizontal="center" vertical="center"/>
    </xf>
    <xf numFmtId="49" fontId="70" fillId="0" borderId="51" xfId="2" applyNumberFormat="1" applyFont="1" applyBorder="1"/>
    <xf numFmtId="0" fontId="71" fillId="0" borderId="51" xfId="2" applyFont="1" applyBorder="1" applyAlignment="1">
      <alignment wrapText="1"/>
    </xf>
    <xf numFmtId="0" fontId="67" fillId="0" borderId="51" xfId="0" applyFont="1" applyBorder="1" applyAlignment="1">
      <alignment horizontal="center" vertical="top"/>
    </xf>
    <xf numFmtId="0" fontId="67" fillId="0" borderId="51" xfId="0" quotePrefix="1" applyFont="1" applyBorder="1" applyAlignment="1">
      <alignment horizontal="center" vertical="top"/>
    </xf>
    <xf numFmtId="0" fontId="68" fillId="0" borderId="51" xfId="0" applyFont="1" applyBorder="1" applyAlignment="1">
      <alignment horizontal="center" vertical="top"/>
    </xf>
    <xf numFmtId="165" fontId="65" fillId="6" borderId="0" xfId="4" applyNumberFormat="1" applyFont="1" applyFill="1" applyAlignment="1">
      <alignment vertical="top"/>
    </xf>
    <xf numFmtId="49" fontId="67" fillId="0" borderId="52" xfId="6" applyNumberFormat="1" applyFont="1" applyBorder="1" applyAlignment="1">
      <alignment vertical="top"/>
    </xf>
    <xf numFmtId="0" fontId="67" fillId="0" borderId="52" xfId="6" applyFont="1" applyBorder="1" applyAlignment="1">
      <alignment vertical="top" wrapText="1"/>
    </xf>
    <xf numFmtId="165" fontId="67" fillId="0" borderId="52" xfId="4" applyNumberFormat="1" applyFont="1" applyFill="1" applyBorder="1" applyAlignment="1">
      <alignment vertical="top"/>
    </xf>
    <xf numFmtId="9" fontId="67" fillId="0" borderId="52" xfId="3" applyFont="1" applyFill="1" applyBorder="1" applyAlignment="1">
      <alignment vertical="top"/>
    </xf>
    <xf numFmtId="43" fontId="67" fillId="0" borderId="52" xfId="4" applyFont="1" applyFill="1" applyBorder="1" applyAlignment="1">
      <alignment vertical="top"/>
    </xf>
    <xf numFmtId="49" fontId="65" fillId="0" borderId="52" xfId="6" applyNumberFormat="1" applyBorder="1" applyAlignment="1">
      <alignment vertical="top"/>
    </xf>
    <xf numFmtId="0" fontId="65" fillId="0" borderId="52" xfId="6" applyBorder="1" applyAlignment="1">
      <alignment vertical="top" wrapText="1"/>
    </xf>
    <xf numFmtId="165" fontId="65" fillId="0" borderId="52" xfId="4" applyNumberFormat="1" applyFont="1" applyFill="1" applyBorder="1" applyAlignment="1">
      <alignment vertical="top"/>
    </xf>
    <xf numFmtId="164" fontId="65" fillId="0" borderId="52" xfId="3" applyNumberFormat="1" applyFont="1" applyFill="1" applyBorder="1" applyAlignment="1">
      <alignment vertical="top"/>
    </xf>
    <xf numFmtId="43" fontId="65" fillId="0" borderId="52" xfId="4" applyFont="1" applyFill="1" applyBorder="1" applyAlignment="1">
      <alignment vertical="top"/>
    </xf>
    <xf numFmtId="9" fontId="65" fillId="0" borderId="52" xfId="3" applyFont="1" applyFill="1" applyBorder="1" applyAlignment="1">
      <alignment vertical="top"/>
    </xf>
    <xf numFmtId="43" fontId="65" fillId="6" borderId="0" xfId="4" applyFont="1" applyFill="1" applyAlignment="1">
      <alignment vertical="top"/>
    </xf>
    <xf numFmtId="165" fontId="65" fillId="0" borderId="0" xfId="0" applyNumberFormat="1" applyFont="1" applyAlignment="1">
      <alignment vertical="top"/>
    </xf>
    <xf numFmtId="10" fontId="65" fillId="0" borderId="0" xfId="3" applyNumberFormat="1" applyFont="1" applyAlignment="1">
      <alignment vertical="top"/>
    </xf>
    <xf numFmtId="49" fontId="72" fillId="0" borderId="52" xfId="6" applyNumberFormat="1" applyFont="1" applyBorder="1" applyAlignment="1">
      <alignment vertical="top"/>
    </xf>
    <xf numFmtId="0" fontId="72" fillId="0" borderId="52" xfId="6" applyFont="1" applyBorder="1" applyAlignment="1">
      <alignment vertical="top" wrapText="1"/>
    </xf>
    <xf numFmtId="165" fontId="72" fillId="0" borderId="52" xfId="4" applyNumberFormat="1" applyFont="1" applyFill="1" applyBorder="1" applyAlignment="1">
      <alignment vertical="top"/>
    </xf>
    <xf numFmtId="164" fontId="72" fillId="0" borderId="52" xfId="3" applyNumberFormat="1" applyFont="1" applyFill="1" applyBorder="1" applyAlignment="1">
      <alignment vertical="top"/>
    </xf>
    <xf numFmtId="43" fontId="72" fillId="0" borderId="52" xfId="4" applyFont="1" applyFill="1" applyBorder="1" applyAlignment="1">
      <alignment vertical="top"/>
    </xf>
    <xf numFmtId="9" fontId="72" fillId="0" borderId="52" xfId="3" applyFont="1" applyFill="1" applyBorder="1" applyAlignment="1">
      <alignment vertical="top"/>
    </xf>
    <xf numFmtId="43" fontId="72" fillId="6" borderId="0" xfId="4" applyFont="1" applyFill="1" applyAlignment="1">
      <alignment vertical="top"/>
    </xf>
    <xf numFmtId="165" fontId="72" fillId="0" borderId="0" xfId="4" applyNumberFormat="1" applyFont="1" applyAlignment="1">
      <alignment vertical="top"/>
    </xf>
    <xf numFmtId="0" fontId="72" fillId="0" borderId="0" xfId="0" applyFont="1" applyAlignment="1">
      <alignment vertical="top"/>
    </xf>
    <xf numFmtId="49" fontId="68" fillId="0" borderId="55" xfId="6" applyNumberFormat="1" applyFont="1" applyBorder="1" applyAlignment="1">
      <alignment vertical="top"/>
    </xf>
    <xf numFmtId="0" fontId="67" fillId="0" borderId="55" xfId="6" applyFont="1" applyBorder="1" applyAlignment="1">
      <alignment vertical="top" wrapText="1"/>
    </xf>
    <xf numFmtId="43" fontId="67" fillId="0" borderId="55" xfId="4" applyFont="1" applyFill="1" applyBorder="1" applyAlignment="1">
      <alignment vertical="top"/>
    </xf>
    <xf numFmtId="164" fontId="67" fillId="0" borderId="55" xfId="4" applyNumberFormat="1" applyFont="1" applyFill="1" applyBorder="1" applyAlignment="1">
      <alignment vertical="top"/>
    </xf>
    <xf numFmtId="165" fontId="67" fillId="0" borderId="55" xfId="4" applyNumberFormat="1" applyFont="1" applyFill="1" applyBorder="1" applyAlignment="1">
      <alignment vertical="top"/>
    </xf>
    <xf numFmtId="9" fontId="67" fillId="0" borderId="55" xfId="3" applyFont="1" applyFill="1" applyBorder="1" applyAlignment="1">
      <alignment vertical="top"/>
    </xf>
    <xf numFmtId="43" fontId="68" fillId="24" borderId="0" xfId="4" applyFont="1" applyFill="1" applyBorder="1" applyAlignment="1">
      <alignment vertical="top"/>
    </xf>
    <xf numFmtId="43" fontId="73" fillId="6" borderId="0" xfId="4" applyFont="1" applyFill="1" applyAlignment="1">
      <alignment vertical="top"/>
    </xf>
    <xf numFmtId="165" fontId="73" fillId="0" borderId="0" xfId="4" applyNumberFormat="1" applyFont="1" applyAlignment="1">
      <alignment vertical="top"/>
    </xf>
    <xf numFmtId="0" fontId="73" fillId="0" borderId="0" xfId="0" applyFont="1" applyAlignment="1">
      <alignment vertical="top"/>
    </xf>
    <xf numFmtId="165" fontId="65" fillId="9" borderId="0" xfId="4" applyNumberFormat="1" applyFont="1" applyFill="1" applyAlignment="1">
      <alignment horizontal="center" vertical="center" wrapText="1"/>
    </xf>
    <xf numFmtId="165" fontId="65" fillId="9" borderId="0" xfId="4" applyNumberFormat="1" applyFont="1" applyFill="1" applyAlignment="1">
      <alignment vertical="top"/>
    </xf>
    <xf numFmtId="165" fontId="67" fillId="0" borderId="51" xfId="0" quotePrefix="1" applyNumberFormat="1" applyFont="1" applyBorder="1" applyAlignment="1">
      <alignment horizontal="center" vertical="top"/>
    </xf>
    <xf numFmtId="43" fontId="67" fillId="0" borderId="51" xfId="0" quotePrefix="1" applyNumberFormat="1" applyFont="1" applyBorder="1" applyAlignment="1">
      <alignment horizontal="center" vertical="top"/>
    </xf>
    <xf numFmtId="165" fontId="67" fillId="0" borderId="51" xfId="4" quotePrefix="1" applyNumberFormat="1" applyFont="1" applyFill="1" applyBorder="1" applyAlignment="1">
      <alignment horizontal="center" vertical="top"/>
    </xf>
    <xf numFmtId="43" fontId="65" fillId="9" borderId="0" xfId="4" applyFont="1" applyFill="1" applyAlignment="1">
      <alignment vertical="top"/>
    </xf>
    <xf numFmtId="43" fontId="65" fillId="0" borderId="0" xfId="4" applyFont="1" applyAlignment="1">
      <alignment vertical="top"/>
    </xf>
    <xf numFmtId="43" fontId="73" fillId="0" borderId="0" xfId="4" applyFont="1" applyAlignment="1">
      <alignment vertical="top"/>
    </xf>
    <xf numFmtId="0" fontId="65" fillId="6" borderId="0" xfId="0" applyFont="1" applyFill="1" applyAlignment="1">
      <alignment horizontal="center" vertical="center"/>
    </xf>
    <xf numFmtId="165" fontId="75" fillId="9" borderId="0" xfId="4" applyNumberFormat="1" applyFont="1" applyFill="1" applyAlignment="1">
      <alignment horizontal="center" vertical="center"/>
    </xf>
    <xf numFmtId="164" fontId="75" fillId="6" borderId="0" xfId="3" applyNumberFormat="1" applyFont="1" applyFill="1" applyAlignment="1">
      <alignment vertical="top"/>
    </xf>
    <xf numFmtId="165" fontId="75" fillId="9" borderId="0" xfId="4" applyNumberFormat="1" applyFont="1" applyFill="1" applyAlignment="1">
      <alignment vertical="top"/>
    </xf>
    <xf numFmtId="165" fontId="68" fillId="6" borderId="0" xfId="4" applyNumberFormat="1" applyFont="1" applyFill="1" applyAlignment="1">
      <alignment vertical="top"/>
    </xf>
    <xf numFmtId="165" fontId="67" fillId="0" borderId="0" xfId="4" applyNumberFormat="1" applyFont="1" applyAlignment="1">
      <alignment vertical="top"/>
    </xf>
    <xf numFmtId="165" fontId="65" fillId="17" borderId="0" xfId="4" applyNumberFormat="1" applyFont="1" applyFill="1" applyAlignment="1">
      <alignment vertical="top"/>
    </xf>
    <xf numFmtId="165" fontId="75" fillId="0" borderId="0" xfId="4" applyNumberFormat="1" applyFont="1" applyAlignment="1">
      <alignment vertical="top"/>
    </xf>
    <xf numFmtId="164" fontId="65" fillId="0" borderId="0" xfId="3" applyNumberFormat="1" applyFont="1" applyAlignment="1">
      <alignment vertical="top"/>
    </xf>
    <xf numFmtId="10" fontId="65" fillId="6" borderId="0" xfId="3" applyNumberFormat="1" applyFont="1" applyFill="1" applyAlignment="1">
      <alignment vertical="top"/>
    </xf>
    <xf numFmtId="10" fontId="65" fillId="6" borderId="0" xfId="0" applyNumberFormat="1" applyFont="1" applyFill="1" applyAlignment="1">
      <alignment vertical="top"/>
    </xf>
    <xf numFmtId="0" fontId="65" fillId="6" borderId="0" xfId="0" applyFont="1" applyFill="1" applyAlignment="1">
      <alignment vertical="top"/>
    </xf>
    <xf numFmtId="0" fontId="67" fillId="6" borderId="6" xfId="0" applyFont="1" applyFill="1" applyBorder="1" applyAlignment="1">
      <alignment horizontal="center" vertical="center" wrapText="1"/>
    </xf>
    <xf numFmtId="43" fontId="65" fillId="6" borderId="52" xfId="4" applyFont="1" applyFill="1" applyBorder="1" applyAlignment="1">
      <alignment vertical="top"/>
    </xf>
    <xf numFmtId="43" fontId="72" fillId="6" borderId="52" xfId="4" applyFont="1" applyFill="1" applyBorder="1" applyAlignment="1">
      <alignment vertical="top"/>
    </xf>
    <xf numFmtId="43" fontId="67" fillId="6" borderId="55" xfId="4" applyFont="1" applyFill="1" applyBorder="1" applyAlignment="1">
      <alignment vertical="top"/>
    </xf>
    <xf numFmtId="0" fontId="67" fillId="6" borderId="51" xfId="0" quotePrefix="1" applyFont="1" applyFill="1" applyBorder="1" applyAlignment="1">
      <alignment horizontal="center" vertical="top"/>
    </xf>
    <xf numFmtId="43" fontId="67" fillId="6" borderId="52" xfId="4" applyFont="1" applyFill="1" applyBorder="1" applyAlignment="1">
      <alignment vertical="top"/>
    </xf>
    <xf numFmtId="10" fontId="53" fillId="0" borderId="44" xfId="0" applyNumberFormat="1" applyFont="1" applyBorder="1" applyAlignment="1">
      <alignment vertical="center"/>
    </xf>
    <xf numFmtId="0" fontId="52" fillId="19" borderId="37" xfId="0" applyFont="1" applyFill="1" applyBorder="1" applyAlignment="1">
      <alignment horizontal="center" vertical="center"/>
    </xf>
    <xf numFmtId="0" fontId="1" fillId="0" borderId="0" xfId="0" applyFont="1" applyAlignment="1">
      <alignment vertical="center" wrapText="1"/>
    </xf>
    <xf numFmtId="10" fontId="5" fillId="0" borderId="0" xfId="0" applyNumberFormat="1" applyFont="1"/>
    <xf numFmtId="165" fontId="1" fillId="0" borderId="0" xfId="4" applyNumberFormat="1" applyFont="1" applyAlignment="1">
      <alignment vertical="center" wrapText="1"/>
    </xf>
    <xf numFmtId="173" fontId="52" fillId="0" borderId="0" xfId="0" applyNumberFormat="1" applyFont="1"/>
    <xf numFmtId="0" fontId="24" fillId="0" borderId="0" xfId="0" applyFont="1" applyAlignment="1">
      <alignment horizontal="center" vertical="center" wrapText="1"/>
    </xf>
    <xf numFmtId="170" fontId="52" fillId="0" borderId="0" xfId="0" applyNumberFormat="1" applyFont="1"/>
    <xf numFmtId="0" fontId="54" fillId="0" borderId="39" xfId="0" applyFont="1" applyBorder="1"/>
    <xf numFmtId="165" fontId="54" fillId="18" borderId="0" xfId="4" applyNumberFormat="1" applyFont="1" applyFill="1" applyAlignment="1">
      <alignment horizontal="center" vertical="center"/>
    </xf>
    <xf numFmtId="165" fontId="54" fillId="0" borderId="39" xfId="0" applyNumberFormat="1" applyFont="1" applyBorder="1"/>
    <xf numFmtId="0" fontId="1" fillId="0" borderId="0" xfId="0" applyFont="1" applyAlignment="1">
      <alignment horizontal="center" vertical="center" wrapText="1"/>
    </xf>
    <xf numFmtId="0" fontId="52" fillId="19" borderId="40" xfId="0" applyFont="1" applyFill="1" applyBorder="1" applyAlignment="1">
      <alignment horizontal="center" vertical="center"/>
    </xf>
    <xf numFmtId="0" fontId="52" fillId="19" borderId="46" xfId="0" applyFont="1" applyFill="1" applyBorder="1" applyAlignment="1">
      <alignment horizontal="center" vertical="center"/>
    </xf>
    <xf numFmtId="0" fontId="52" fillId="0" borderId="56" xfId="0" applyFont="1" applyBorder="1"/>
    <xf numFmtId="0" fontId="52" fillId="0" borderId="57" xfId="0" applyFont="1" applyBorder="1"/>
    <xf numFmtId="165" fontId="54" fillId="6" borderId="0" xfId="0" applyNumberFormat="1" applyFont="1" applyFill="1"/>
    <xf numFmtId="165" fontId="54" fillId="0" borderId="42" xfId="4" applyNumberFormat="1" applyFont="1" applyBorder="1"/>
    <xf numFmtId="165" fontId="54" fillId="8" borderId="0" xfId="0" applyNumberFormat="1" applyFont="1" applyFill="1"/>
    <xf numFmtId="165" fontId="6" fillId="0" borderId="0" xfId="0" applyNumberFormat="1" applyFont="1" applyAlignment="1">
      <alignment vertical="top"/>
    </xf>
    <xf numFmtId="0" fontId="35" fillId="0" borderId="0" xfId="0" applyFont="1" applyAlignment="1">
      <alignment horizontal="right" vertical="center"/>
    </xf>
    <xf numFmtId="0" fontId="0" fillId="0" borderId="0" xfId="0" applyAlignment="1">
      <alignment horizontal="right" vertical="center"/>
    </xf>
    <xf numFmtId="0" fontId="15" fillId="0" borderId="0" xfId="0" applyFont="1" applyAlignment="1">
      <alignment horizontal="right" vertical="center"/>
    </xf>
    <xf numFmtId="165" fontId="0" fillId="0" borderId="0" xfId="4" applyNumberFormat="1" applyFont="1" applyAlignment="1">
      <alignment horizontal="right" vertical="center"/>
    </xf>
    <xf numFmtId="37" fontId="0" fillId="0" borderId="0" xfId="0" applyNumberFormat="1" applyAlignment="1">
      <alignment horizontal="right" vertical="center"/>
    </xf>
    <xf numFmtId="165" fontId="5" fillId="17" borderId="0" xfId="4" applyNumberFormat="1" applyFont="1" applyFill="1" applyAlignment="1">
      <alignment horizontal="right" vertical="center"/>
    </xf>
    <xf numFmtId="0" fontId="24" fillId="6" borderId="0" xfId="0" applyFont="1" applyFill="1" applyAlignment="1">
      <alignment horizontal="right" vertical="center" wrapText="1"/>
    </xf>
    <xf numFmtId="9" fontId="15" fillId="6" borderId="0" xfId="3" applyFont="1" applyFill="1" applyAlignment="1">
      <alignment horizontal="right" vertical="center"/>
    </xf>
    <xf numFmtId="165" fontId="15" fillId="6" borderId="0" xfId="4" applyNumberFormat="1" applyFont="1" applyFill="1" applyAlignment="1">
      <alignment horizontal="right" vertical="center"/>
    </xf>
    <xf numFmtId="9" fontId="23" fillId="20" borderId="0" xfId="3" applyFont="1" applyFill="1" applyAlignment="1">
      <alignment horizontal="right" vertical="center"/>
    </xf>
    <xf numFmtId="0" fontId="1" fillId="17" borderId="0" xfId="0" applyFont="1" applyFill="1" applyAlignment="1">
      <alignment horizontal="right" vertical="center"/>
    </xf>
    <xf numFmtId="0" fontId="23" fillId="20" borderId="0" xfId="0" applyFont="1" applyFill="1" applyAlignment="1">
      <alignment horizontal="right" vertical="center"/>
    </xf>
    <xf numFmtId="0" fontId="23" fillId="7" borderId="0" xfId="0" applyFont="1" applyFill="1" applyAlignment="1">
      <alignment horizontal="right" vertical="center"/>
    </xf>
    <xf numFmtId="165" fontId="23" fillId="6" borderId="0" xfId="0" applyNumberFormat="1" applyFont="1" applyFill="1" applyAlignment="1">
      <alignment horizontal="right" vertical="center"/>
    </xf>
    <xf numFmtId="9" fontId="23" fillId="6" borderId="0" xfId="3" applyFont="1" applyFill="1" applyAlignment="1">
      <alignment horizontal="right" vertical="center"/>
    </xf>
    <xf numFmtId="0" fontId="15" fillId="17" borderId="0" xfId="0" applyFont="1" applyFill="1" applyAlignment="1">
      <alignment horizontal="right" vertical="center"/>
    </xf>
    <xf numFmtId="0" fontId="23" fillId="17" borderId="0" xfId="0" applyFont="1" applyFill="1" applyAlignment="1">
      <alignment horizontal="right" vertical="center"/>
    </xf>
    <xf numFmtId="0" fontId="15" fillId="17" borderId="0" xfId="0" applyFont="1" applyFill="1" applyAlignment="1">
      <alignment horizontal="right" vertical="center" wrapText="1"/>
    </xf>
    <xf numFmtId="165" fontId="1" fillId="0" borderId="0" xfId="4" applyNumberFormat="1" applyFont="1" applyAlignment="1">
      <alignment horizontal="right" vertical="center"/>
    </xf>
    <xf numFmtId="165" fontId="1" fillId="6" borderId="0" xfId="4" applyNumberFormat="1" applyFont="1" applyFill="1" applyAlignment="1">
      <alignment horizontal="right" vertical="center"/>
    </xf>
    <xf numFmtId="165" fontId="1" fillId="0" borderId="0" xfId="0" applyNumberFormat="1" applyFont="1" applyAlignment="1">
      <alignment horizontal="right" vertical="center"/>
    </xf>
    <xf numFmtId="165" fontId="13" fillId="17" borderId="0" xfId="0" applyNumberFormat="1" applyFont="1" applyFill="1" applyAlignment="1">
      <alignment horizontal="right" vertical="center"/>
    </xf>
    <xf numFmtId="0" fontId="42" fillId="17" borderId="0" xfId="0" applyFont="1" applyFill="1" applyAlignment="1">
      <alignment horizontal="right" vertical="center" wrapText="1"/>
    </xf>
    <xf numFmtId="0" fontId="42" fillId="6" borderId="0" xfId="0" applyFont="1" applyFill="1" applyAlignment="1">
      <alignment horizontal="right" vertical="center" wrapText="1"/>
    </xf>
    <xf numFmtId="0" fontId="15" fillId="0" borderId="0" xfId="0" applyFont="1" applyAlignment="1">
      <alignment horizontal="left" vertical="center"/>
    </xf>
    <xf numFmtId="165" fontId="1" fillId="0" borderId="0" xfId="4" applyNumberFormat="1" applyFont="1" applyAlignment="1">
      <alignment horizontal="center" vertical="center"/>
    </xf>
    <xf numFmtId="165" fontId="1" fillId="0" borderId="0" xfId="4" applyNumberFormat="1" applyFont="1" applyAlignment="1">
      <alignment horizontal="center" vertical="center" wrapText="1"/>
    </xf>
    <xf numFmtId="0" fontId="53" fillId="0" borderId="37" xfId="0" applyFont="1" applyBorder="1" applyAlignment="1">
      <alignment horizontal="center" vertical="center"/>
    </xf>
    <xf numFmtId="0" fontId="53" fillId="0" borderId="38" xfId="0" applyFont="1" applyBorder="1" applyAlignment="1">
      <alignment horizontal="center" vertical="center"/>
    </xf>
    <xf numFmtId="0" fontId="53" fillId="0" borderId="42" xfId="0" applyFont="1" applyBorder="1" applyAlignment="1">
      <alignment horizontal="center" vertical="center"/>
    </xf>
    <xf numFmtId="0" fontId="53" fillId="0" borderId="43" xfId="0" applyFont="1" applyBorder="1" applyAlignment="1">
      <alignment horizontal="center" vertical="center"/>
    </xf>
    <xf numFmtId="49" fontId="54" fillId="0" borderId="41" xfId="0" applyNumberFormat="1" applyFont="1" applyBorder="1" applyAlignment="1">
      <alignment horizontal="center" vertical="center"/>
    </xf>
    <xf numFmtId="164" fontId="54" fillId="6" borderId="0" xfId="3" applyNumberFormat="1" applyFont="1" applyFill="1"/>
    <xf numFmtId="10" fontId="53" fillId="7" borderId="0" xfId="3" applyNumberFormat="1" applyFont="1" applyFill="1"/>
    <xf numFmtId="37" fontId="37" fillId="0" borderId="0" xfId="0" applyNumberFormat="1" applyFont="1" applyAlignment="1">
      <alignment horizontal="right" vertical="center"/>
    </xf>
    <xf numFmtId="37" fontId="37" fillId="0" borderId="0" xfId="0" applyNumberFormat="1" applyFont="1"/>
    <xf numFmtId="1" fontId="37" fillId="0" borderId="0" xfId="0" applyNumberFormat="1" applyFont="1" applyAlignment="1">
      <alignment horizontal="right" vertical="center"/>
    </xf>
    <xf numFmtId="165" fontId="37" fillId="0" borderId="0" xfId="4" applyNumberFormat="1" applyFont="1"/>
    <xf numFmtId="9" fontId="23" fillId="0" borderId="0" xfId="3" applyFont="1"/>
    <xf numFmtId="164" fontId="50" fillId="0" borderId="0" xfId="3" applyNumberFormat="1" applyFont="1"/>
    <xf numFmtId="164" fontId="51" fillId="0" borderId="0" xfId="3" applyNumberFormat="1" applyFont="1"/>
    <xf numFmtId="169" fontId="0" fillId="0" borderId="0" xfId="4" applyNumberFormat="1" applyFont="1" applyAlignment="1">
      <alignment horizontal="right" vertical="center"/>
    </xf>
    <xf numFmtId="0" fontId="23" fillId="17" borderId="0" xfId="0" applyFont="1" applyFill="1" applyAlignment="1">
      <alignment horizontal="right" vertical="center" wrapText="1"/>
    </xf>
    <xf numFmtId="0" fontId="23" fillId="7" borderId="0" xfId="0" applyFont="1" applyFill="1" applyAlignment="1">
      <alignment horizontal="left" vertical="center"/>
    </xf>
    <xf numFmtId="165" fontId="53" fillId="19" borderId="0" xfId="4" applyNumberFormat="1" applyFont="1" applyFill="1" applyAlignment="1">
      <alignment horizontal="center" vertical="center"/>
    </xf>
    <xf numFmtId="165" fontId="54" fillId="17" borderId="0" xfId="0" applyNumberFormat="1" applyFont="1" applyFill="1"/>
    <xf numFmtId="165" fontId="61" fillId="17" borderId="0" xfId="0" applyNumberFormat="1" applyFont="1" applyFill="1"/>
    <xf numFmtId="165" fontId="62" fillId="17" borderId="0" xfId="0" applyNumberFormat="1" applyFont="1" applyFill="1"/>
    <xf numFmtId="165" fontId="60" fillId="17" borderId="0" xfId="0" applyNumberFormat="1" applyFont="1" applyFill="1"/>
    <xf numFmtId="43" fontId="52" fillId="0" borderId="0" xfId="0" applyNumberFormat="1" applyFont="1"/>
    <xf numFmtId="165" fontId="54" fillId="0" borderId="0" xfId="4" applyNumberFormat="1" applyFont="1" applyFill="1"/>
    <xf numFmtId="165" fontId="61" fillId="0" borderId="0" xfId="4" applyNumberFormat="1" applyFont="1" applyFill="1"/>
    <xf numFmtId="165" fontId="62" fillId="0" borderId="0" xfId="4" applyNumberFormat="1" applyFont="1" applyFill="1"/>
    <xf numFmtId="165" fontId="60" fillId="0" borderId="0" xfId="4" applyNumberFormat="1" applyFont="1" applyFill="1"/>
    <xf numFmtId="165" fontId="62" fillId="6" borderId="0" xfId="4" applyNumberFormat="1" applyFont="1" applyFill="1"/>
    <xf numFmtId="165" fontId="53" fillId="20" borderId="40" xfId="4" applyNumberFormat="1" applyFont="1" applyFill="1" applyBorder="1" applyAlignment="1">
      <alignment horizontal="center"/>
    </xf>
    <xf numFmtId="165" fontId="54" fillId="0" borderId="0" xfId="4" applyNumberFormat="1" applyFont="1" applyAlignment="1">
      <alignment wrapText="1"/>
    </xf>
    <xf numFmtId="165" fontId="52" fillId="19" borderId="0" xfId="4" applyNumberFormat="1" applyFont="1" applyFill="1" applyAlignment="1">
      <alignment horizontal="left" vertical="center"/>
    </xf>
    <xf numFmtId="165" fontId="54" fillId="0" borderId="0" xfId="0" applyNumberFormat="1" applyFont="1" applyAlignment="1">
      <alignment wrapText="1"/>
    </xf>
    <xf numFmtId="0" fontId="0" fillId="20" borderId="0" xfId="0" applyFill="1" applyAlignment="1">
      <alignment horizontal="center" vertical="center"/>
    </xf>
    <xf numFmtId="165" fontId="53" fillId="0" borderId="0" xfId="0" applyNumberFormat="1" applyFont="1" applyAlignment="1">
      <alignment vertical="center" wrapText="1"/>
    </xf>
    <xf numFmtId="0" fontId="54" fillId="6" borderId="0" xfId="0" applyFont="1" applyFill="1" applyAlignment="1">
      <alignment horizontal="center" vertical="center" wrapText="1"/>
    </xf>
    <xf numFmtId="165" fontId="54" fillId="0" borderId="0" xfId="0" applyNumberFormat="1" applyFont="1" applyAlignment="1">
      <alignment vertical="center" wrapText="1"/>
    </xf>
    <xf numFmtId="165" fontId="54" fillId="0" borderId="0" xfId="4" applyNumberFormat="1" applyFont="1" applyAlignment="1">
      <alignment vertical="center" wrapText="1"/>
    </xf>
    <xf numFmtId="10" fontId="54" fillId="0" borderId="0" xfId="0" applyNumberFormat="1" applyFont="1" applyAlignment="1">
      <alignment vertical="center" wrapText="1"/>
    </xf>
    <xf numFmtId="0" fontId="54" fillId="17" borderId="0" xfId="0" applyFont="1" applyFill="1" applyAlignment="1">
      <alignment horizontal="center" vertical="center" wrapText="1"/>
    </xf>
    <xf numFmtId="165" fontId="54" fillId="6" borderId="0" xfId="0" applyNumberFormat="1" applyFont="1" applyFill="1" applyAlignment="1">
      <alignment vertical="center" wrapText="1"/>
    </xf>
    <xf numFmtId="0" fontId="54" fillId="17" borderId="0" xfId="0" applyFont="1" applyFill="1" applyAlignment="1">
      <alignment vertical="center" wrapText="1"/>
    </xf>
    <xf numFmtId="0" fontId="52" fillId="17" borderId="0" xfId="0" applyFont="1" applyFill="1" applyAlignment="1">
      <alignment horizontal="center" vertical="center"/>
    </xf>
    <xf numFmtId="164" fontId="52" fillId="17" borderId="0" xfId="0" applyNumberFormat="1" applyFont="1" applyFill="1"/>
    <xf numFmtId="165" fontId="52" fillId="7" borderId="0" xfId="0" applyNumberFormat="1" applyFont="1" applyFill="1"/>
    <xf numFmtId="165" fontId="53" fillId="20" borderId="0" xfId="4" applyNumberFormat="1" applyFont="1" applyFill="1"/>
    <xf numFmtId="165" fontId="53" fillId="20" borderId="0" xfId="0" applyNumberFormat="1" applyFont="1" applyFill="1"/>
    <xf numFmtId="0" fontId="53" fillId="20" borderId="0" xfId="0" applyFont="1" applyFill="1" applyAlignment="1">
      <alignment vertical="center" wrapText="1"/>
    </xf>
    <xf numFmtId="43" fontId="52" fillId="19" borderId="0" xfId="0" applyNumberFormat="1" applyFont="1" applyFill="1" applyAlignment="1">
      <alignment horizontal="center" vertical="center"/>
    </xf>
    <xf numFmtId="0" fontId="52" fillId="18" borderId="0" xfId="0" applyFont="1" applyFill="1" applyAlignment="1">
      <alignment vertical="center" wrapText="1"/>
    </xf>
    <xf numFmtId="165" fontId="54" fillId="18" borderId="0" xfId="0" applyNumberFormat="1" applyFont="1" applyFill="1" applyAlignment="1">
      <alignment vertical="center" wrapText="1"/>
    </xf>
    <xf numFmtId="0" fontId="53" fillId="18" borderId="0" xfId="0" applyFont="1" applyFill="1"/>
    <xf numFmtId="165" fontId="53" fillId="18" borderId="0" xfId="0" applyNumberFormat="1" applyFont="1" applyFill="1" applyAlignment="1">
      <alignment vertical="center" wrapText="1"/>
    </xf>
    <xf numFmtId="165" fontId="53" fillId="18" borderId="0" xfId="0" applyNumberFormat="1" applyFont="1" applyFill="1" applyAlignment="1">
      <alignment horizontal="left" vertical="center"/>
    </xf>
    <xf numFmtId="165" fontId="53" fillId="18" borderId="0" xfId="0" applyNumberFormat="1" applyFont="1" applyFill="1" applyAlignment="1">
      <alignment horizontal="center" vertical="center"/>
    </xf>
    <xf numFmtId="165" fontId="53" fillId="18" borderId="0" xfId="0" applyNumberFormat="1" applyFont="1" applyFill="1"/>
    <xf numFmtId="0" fontId="52" fillId="0" borderId="0" xfId="0" applyFont="1" applyAlignment="1">
      <alignment horizontal="right"/>
    </xf>
    <xf numFmtId="0" fontId="53" fillId="0" borderId="0" xfId="0" applyFont="1" applyAlignment="1">
      <alignment horizontal="right" vertical="center" wrapText="1"/>
    </xf>
    <xf numFmtId="0" fontId="53" fillId="0" borderId="0" xfId="0" applyFont="1" applyAlignment="1">
      <alignment horizontal="right"/>
    </xf>
    <xf numFmtId="164" fontId="53" fillId="0" borderId="0" xfId="0" applyNumberFormat="1" applyFont="1" applyAlignment="1">
      <alignment horizontal="right"/>
    </xf>
    <xf numFmtId="165" fontId="52" fillId="0" borderId="0" xfId="0" applyNumberFormat="1" applyFont="1" applyAlignment="1">
      <alignment horizontal="right"/>
    </xf>
    <xf numFmtId="0" fontId="52" fillId="0" borderId="0" xfId="0" applyFont="1" applyAlignment="1">
      <alignment horizontal="right" vertical="center"/>
    </xf>
    <xf numFmtId="0" fontId="52" fillId="19" borderId="0" xfId="0" applyFont="1" applyFill="1" applyAlignment="1">
      <alignment horizontal="right" vertical="center"/>
    </xf>
    <xf numFmtId="10" fontId="52" fillId="0" borderId="0" xfId="0" applyNumberFormat="1" applyFont="1" applyAlignment="1">
      <alignment horizontal="right"/>
    </xf>
    <xf numFmtId="165" fontId="54" fillId="0" borderId="0" xfId="0" applyNumberFormat="1" applyFont="1" applyAlignment="1">
      <alignment horizontal="right"/>
    </xf>
    <xf numFmtId="0" fontId="54" fillId="18" borderId="0" xfId="0" applyFont="1" applyFill="1"/>
    <xf numFmtId="0" fontId="61" fillId="18" borderId="0" xfId="0" applyFont="1" applyFill="1"/>
    <xf numFmtId="0" fontId="62" fillId="18" borderId="0" xfId="0" applyFont="1" applyFill="1"/>
    <xf numFmtId="0" fontId="60" fillId="18" borderId="0" xfId="0" applyFont="1" applyFill="1"/>
    <xf numFmtId="165" fontId="53" fillId="7" borderId="0" xfId="0" applyNumberFormat="1" applyFont="1" applyFill="1"/>
    <xf numFmtId="43" fontId="54" fillId="0" borderId="39" xfId="0" applyNumberFormat="1" applyFont="1" applyBorder="1"/>
    <xf numFmtId="172" fontId="53" fillId="6" borderId="0" xfId="4" applyNumberFormat="1" applyFont="1" applyFill="1"/>
    <xf numFmtId="172" fontId="52" fillId="0" borderId="0" xfId="0" applyNumberFormat="1" applyFont="1"/>
    <xf numFmtId="164" fontId="34" fillId="9" borderId="0" xfId="3" applyNumberFormat="1" applyFont="1" applyFill="1"/>
    <xf numFmtId="9" fontId="13" fillId="20" borderId="0" xfId="3" applyFont="1" applyFill="1"/>
    <xf numFmtId="0" fontId="76" fillId="20" borderId="0" xfId="0" applyFont="1" applyFill="1" applyAlignment="1">
      <alignment vertical="center"/>
    </xf>
    <xf numFmtId="164" fontId="53" fillId="0" borderId="0" xfId="0" applyNumberFormat="1" applyFont="1"/>
    <xf numFmtId="0" fontId="53" fillId="6" borderId="0" xfId="0" applyFont="1" applyFill="1"/>
    <xf numFmtId="164" fontId="52" fillId="6" borderId="0" xfId="0" applyNumberFormat="1" applyFont="1" applyFill="1"/>
    <xf numFmtId="165" fontId="52" fillId="6" borderId="0" xfId="4" applyNumberFormat="1" applyFont="1" applyFill="1"/>
    <xf numFmtId="165" fontId="24" fillId="17" borderId="0" xfId="4" applyNumberFormat="1" applyFont="1" applyFill="1"/>
    <xf numFmtId="165" fontId="0" fillId="0" borderId="0" xfId="4" applyNumberFormat="1" applyFont="1" applyAlignment="1">
      <alignment vertical="center" wrapText="1"/>
    </xf>
    <xf numFmtId="165" fontId="54" fillId="21" borderId="0" xfId="0" applyNumberFormat="1" applyFont="1" applyFill="1" applyAlignment="1">
      <alignment vertical="center" wrapText="1"/>
    </xf>
    <xf numFmtId="165" fontId="54" fillId="20" borderId="0" xfId="0" applyNumberFormat="1" applyFont="1" applyFill="1" applyAlignment="1">
      <alignment vertical="center" wrapText="1"/>
    </xf>
    <xf numFmtId="9" fontId="1" fillId="0" borderId="0" xfId="3" applyFont="1"/>
    <xf numFmtId="164" fontId="24" fillId="20" borderId="0" xfId="3" applyNumberFormat="1" applyFont="1" applyFill="1"/>
    <xf numFmtId="0" fontId="54" fillId="0" borderId="0" xfId="0" applyFont="1" applyAlignment="1">
      <alignment horizontal="center" vertical="center" wrapText="1"/>
    </xf>
    <xf numFmtId="165" fontId="30" fillId="0" borderId="0" xfId="0" applyNumberFormat="1" applyFont="1"/>
    <xf numFmtId="165" fontId="77" fillId="0" borderId="0" xfId="0" applyNumberFormat="1" applyFont="1"/>
    <xf numFmtId="165" fontId="52" fillId="20" borderId="0" xfId="0" applyNumberFormat="1" applyFont="1" applyFill="1"/>
    <xf numFmtId="169" fontId="0" fillId="0" borderId="0" xfId="4" applyNumberFormat="1" applyFont="1"/>
    <xf numFmtId="0" fontId="0" fillId="23" borderId="0" xfId="0" applyFill="1"/>
    <xf numFmtId="165" fontId="0" fillId="23" borderId="0" xfId="4" applyNumberFormat="1" applyFont="1" applyFill="1"/>
    <xf numFmtId="165" fontId="60" fillId="6" borderId="0" xfId="4" applyNumberFormat="1" applyFont="1" applyFill="1"/>
    <xf numFmtId="165" fontId="62" fillId="0" borderId="0" xfId="0" applyNumberFormat="1" applyFont="1" applyAlignment="1">
      <alignment horizontal="right"/>
    </xf>
    <xf numFmtId="0" fontId="79" fillId="0" borderId="0" xfId="0" applyFont="1"/>
    <xf numFmtId="0" fontId="79" fillId="0" borderId="0" xfId="0" applyFont="1" applyAlignment="1">
      <alignment wrapText="1"/>
    </xf>
    <xf numFmtId="165" fontId="79" fillId="0" borderId="0" xfId="0" applyNumberFormat="1" applyFont="1" applyAlignment="1">
      <alignment horizontal="right"/>
    </xf>
    <xf numFmtId="165" fontId="79" fillId="0" borderId="0" xfId="0" applyNumberFormat="1" applyFont="1"/>
    <xf numFmtId="165" fontId="79" fillId="6" borderId="0" xfId="0" applyNumberFormat="1" applyFont="1" applyFill="1"/>
    <xf numFmtId="165" fontId="79" fillId="0" borderId="0" xfId="4" applyNumberFormat="1" applyFont="1"/>
    <xf numFmtId="165" fontId="79" fillId="0" borderId="0" xfId="4" applyNumberFormat="1" applyFont="1" applyFill="1"/>
    <xf numFmtId="43" fontId="79" fillId="0" borderId="0" xfId="0" applyNumberFormat="1" applyFont="1"/>
    <xf numFmtId="164" fontId="80" fillId="17" borderId="0" xfId="3" applyNumberFormat="1" applyFont="1" applyFill="1"/>
    <xf numFmtId="165" fontId="79" fillId="6" borderId="0" xfId="4" applyNumberFormat="1" applyFont="1" applyFill="1"/>
    <xf numFmtId="43" fontId="61" fillId="0" borderId="0" xfId="0" applyNumberFormat="1" applyFont="1"/>
    <xf numFmtId="165" fontId="54" fillId="26" borderId="0" xfId="4" applyNumberFormat="1" applyFont="1" applyFill="1"/>
    <xf numFmtId="165" fontId="54" fillId="26" borderId="0" xfId="0" applyNumberFormat="1" applyFont="1" applyFill="1"/>
    <xf numFmtId="165" fontId="54" fillId="20" borderId="0" xfId="4" applyNumberFormat="1" applyFont="1" applyFill="1"/>
    <xf numFmtId="165" fontId="61" fillId="0" borderId="0" xfId="0" applyNumberFormat="1" applyFont="1" applyAlignment="1">
      <alignment horizontal="right"/>
    </xf>
    <xf numFmtId="165" fontId="61" fillId="0" borderId="0" xfId="0" applyNumberFormat="1" applyFont="1" applyAlignment="1">
      <alignment vertical="center" wrapText="1"/>
    </xf>
    <xf numFmtId="165" fontId="61" fillId="19" borderId="0" xfId="0" applyNumberFormat="1" applyFont="1" applyFill="1" applyAlignment="1">
      <alignment horizontal="center" vertical="center"/>
    </xf>
    <xf numFmtId="0" fontId="30" fillId="0" borderId="0" xfId="0" applyFont="1"/>
    <xf numFmtId="165" fontId="61" fillId="20" borderId="0" xfId="0" applyNumberFormat="1" applyFont="1" applyFill="1" applyAlignment="1">
      <alignment horizontal="center" vertical="center"/>
    </xf>
    <xf numFmtId="165" fontId="81" fillId="17" borderId="0" xfId="0" applyNumberFormat="1" applyFont="1" applyFill="1"/>
    <xf numFmtId="165" fontId="81" fillId="0" borderId="0" xfId="0" applyNumberFormat="1" applyFont="1" applyAlignment="1">
      <alignment horizontal="right"/>
    </xf>
    <xf numFmtId="165" fontId="81" fillId="0" borderId="0" xfId="0" applyNumberFormat="1" applyFont="1" applyAlignment="1">
      <alignment vertical="center" wrapText="1"/>
    </xf>
    <xf numFmtId="165" fontId="81" fillId="0" borderId="0" xfId="0" applyNumberFormat="1" applyFont="1"/>
    <xf numFmtId="0" fontId="82" fillId="0" borderId="0" xfId="0" applyFont="1"/>
    <xf numFmtId="165" fontId="81" fillId="20" borderId="0" xfId="0" applyNumberFormat="1" applyFont="1" applyFill="1"/>
    <xf numFmtId="165" fontId="62" fillId="0" borderId="0" xfId="0" applyNumberFormat="1" applyFont="1" applyAlignment="1">
      <alignment vertical="center" wrapText="1"/>
    </xf>
    <xf numFmtId="165" fontId="62" fillId="20" borderId="0" xfId="0" applyNumberFormat="1" applyFont="1" applyFill="1"/>
    <xf numFmtId="165" fontId="60" fillId="0" borderId="0" xfId="0" applyNumberFormat="1" applyFont="1" applyAlignment="1">
      <alignment horizontal="right"/>
    </xf>
    <xf numFmtId="165" fontId="60" fillId="0" borderId="0" xfId="0" applyNumberFormat="1" applyFont="1" applyAlignment="1">
      <alignment vertical="center" wrapText="1"/>
    </xf>
    <xf numFmtId="0" fontId="77" fillId="0" borderId="0" xfId="0" applyFont="1"/>
    <xf numFmtId="165" fontId="60" fillId="20" borderId="0" xfId="0" applyNumberFormat="1" applyFont="1" applyFill="1"/>
    <xf numFmtId="167" fontId="54" fillId="6" borderId="0" xfId="4" applyNumberFormat="1" applyFont="1" applyFill="1"/>
    <xf numFmtId="165" fontId="61" fillId="18" borderId="0" xfId="0" applyNumberFormat="1" applyFont="1" applyFill="1" applyAlignment="1">
      <alignment horizontal="left" vertical="center"/>
    </xf>
    <xf numFmtId="165" fontId="61" fillId="6" borderId="0" xfId="4" applyNumberFormat="1" applyFont="1" applyFill="1"/>
    <xf numFmtId="167" fontId="61" fillId="6" borderId="0" xfId="4" applyNumberFormat="1" applyFont="1" applyFill="1"/>
    <xf numFmtId="0" fontId="61" fillId="0" borderId="0" xfId="0" applyFont="1" applyAlignment="1">
      <alignment vertical="center" wrapText="1"/>
    </xf>
    <xf numFmtId="165" fontId="61" fillId="18" borderId="0" xfId="4" applyNumberFormat="1" applyFont="1" applyFill="1"/>
    <xf numFmtId="165" fontId="61" fillId="18" borderId="0" xfId="0" applyNumberFormat="1" applyFont="1" applyFill="1" applyAlignment="1">
      <alignment vertical="center" wrapText="1"/>
    </xf>
    <xf numFmtId="165" fontId="59" fillId="18" borderId="0" xfId="0" applyNumberFormat="1" applyFont="1" applyFill="1"/>
    <xf numFmtId="165" fontId="59" fillId="0" borderId="0" xfId="0" applyNumberFormat="1" applyFont="1" applyAlignment="1">
      <alignment horizontal="right"/>
    </xf>
    <xf numFmtId="165" fontId="59" fillId="17" borderId="0" xfId="0" applyNumberFormat="1" applyFont="1" applyFill="1"/>
    <xf numFmtId="165" fontId="59" fillId="6" borderId="0" xfId="4" applyNumberFormat="1" applyFont="1" applyFill="1"/>
    <xf numFmtId="167" fontId="59" fillId="6" borderId="0" xfId="4" applyNumberFormat="1" applyFont="1" applyFill="1"/>
    <xf numFmtId="0" fontId="59" fillId="0" borderId="0" xfId="0" applyFont="1" applyAlignment="1">
      <alignment vertical="center" wrapText="1"/>
    </xf>
    <xf numFmtId="165" fontId="59" fillId="18" borderId="0" xfId="4" applyNumberFormat="1" applyFont="1" applyFill="1"/>
    <xf numFmtId="165" fontId="59" fillId="18" borderId="0" xfId="0" applyNumberFormat="1" applyFont="1" applyFill="1" applyAlignment="1">
      <alignment vertical="center" wrapText="1"/>
    </xf>
    <xf numFmtId="165" fontId="62" fillId="18" borderId="0" xfId="0" applyNumberFormat="1" applyFont="1" applyFill="1"/>
    <xf numFmtId="167" fontId="62" fillId="6" borderId="0" xfId="4" applyNumberFormat="1" applyFont="1" applyFill="1"/>
    <xf numFmtId="0" fontId="62" fillId="0" borderId="0" xfId="0" applyFont="1" applyAlignment="1">
      <alignment vertical="center" wrapText="1"/>
    </xf>
    <xf numFmtId="165" fontId="62" fillId="18" borderId="0" xfId="4" applyNumberFormat="1" applyFont="1" applyFill="1"/>
    <xf numFmtId="165" fontId="62" fillId="18" borderId="0" xfId="0" applyNumberFormat="1" applyFont="1" applyFill="1" applyAlignment="1">
      <alignment vertical="center" wrapText="1"/>
    </xf>
    <xf numFmtId="165" fontId="60" fillId="18" borderId="0" xfId="0" applyNumberFormat="1" applyFont="1" applyFill="1"/>
    <xf numFmtId="167" fontId="60" fillId="6" borderId="0" xfId="4" applyNumberFormat="1" applyFont="1" applyFill="1"/>
    <xf numFmtId="165" fontId="15" fillId="17" borderId="0" xfId="4" applyNumberFormat="1" applyFont="1" applyFill="1" applyAlignment="1">
      <alignment horizontal="right" vertical="center" wrapText="1"/>
    </xf>
    <xf numFmtId="165" fontId="24" fillId="17" borderId="0" xfId="4" applyNumberFormat="1" applyFont="1" applyFill="1" applyAlignment="1">
      <alignment horizontal="right" vertical="center" wrapText="1"/>
    </xf>
    <xf numFmtId="165" fontId="78" fillId="17" borderId="0" xfId="4" applyNumberFormat="1" applyFont="1" applyFill="1" applyAlignment="1">
      <alignment horizontal="right" vertical="center" wrapText="1"/>
    </xf>
    <xf numFmtId="165" fontId="31" fillId="17" borderId="0" xfId="4" applyNumberFormat="1" applyFont="1" applyFill="1" applyAlignment="1">
      <alignment horizontal="right" vertical="center" wrapText="1"/>
    </xf>
    <xf numFmtId="165" fontId="80" fillId="17" borderId="0" xfId="4" applyNumberFormat="1" applyFont="1" applyFill="1" applyAlignment="1">
      <alignment horizontal="right" vertical="center" wrapText="1"/>
    </xf>
    <xf numFmtId="165" fontId="8" fillId="0" borderId="0" xfId="4" applyNumberFormat="1" applyFont="1"/>
    <xf numFmtId="9" fontId="8" fillId="0" borderId="0" xfId="3" applyFont="1"/>
    <xf numFmtId="0" fontId="37" fillId="0" borderId="0" xfId="0" applyFont="1"/>
    <xf numFmtId="43" fontId="37" fillId="0" borderId="0" xfId="4" applyFont="1"/>
    <xf numFmtId="169" fontId="37" fillId="0" borderId="0" xfId="4" applyNumberFormat="1" applyFont="1"/>
    <xf numFmtId="0" fontId="23" fillId="7" borderId="0" xfId="0" applyFont="1" applyFill="1" applyAlignment="1">
      <alignment horizontal="right" vertical="center" wrapText="1"/>
    </xf>
    <xf numFmtId="165" fontId="23" fillId="23" borderId="0" xfId="4" applyNumberFormat="1" applyFont="1" applyFill="1"/>
    <xf numFmtId="165" fontId="83" fillId="19" borderId="2" xfId="4" applyNumberFormat="1" applyFont="1" applyFill="1" applyBorder="1" applyAlignment="1">
      <alignment horizontal="left" vertical="center" wrapText="1"/>
    </xf>
    <xf numFmtId="165" fontId="83" fillId="19" borderId="1" xfId="4" applyNumberFormat="1" applyFont="1" applyFill="1" applyBorder="1" applyAlignment="1">
      <alignment horizontal="left" vertical="center" wrapText="1"/>
    </xf>
    <xf numFmtId="165" fontId="39" fillId="6" borderId="0" xfId="4" applyNumberFormat="1" applyFont="1" applyFill="1" applyAlignment="1">
      <alignment vertical="center"/>
    </xf>
    <xf numFmtId="165" fontId="5" fillId="20" borderId="0" xfId="0" applyNumberFormat="1" applyFont="1" applyFill="1"/>
    <xf numFmtId="165" fontId="23" fillId="20" borderId="0" xfId="0" applyNumberFormat="1" applyFont="1" applyFill="1"/>
    <xf numFmtId="0" fontId="0" fillId="0" borderId="0" xfId="4" applyNumberFormat="1" applyFont="1"/>
    <xf numFmtId="168" fontId="52" fillId="0" borderId="0" xfId="0" applyNumberFormat="1" applyFont="1"/>
    <xf numFmtId="0" fontId="54" fillId="7" borderId="0" xfId="0" applyFont="1" applyFill="1" applyAlignment="1">
      <alignment vertical="center" wrapText="1"/>
    </xf>
    <xf numFmtId="0" fontId="53" fillId="7" borderId="0" xfId="0" applyFont="1" applyFill="1" applyAlignment="1">
      <alignment vertical="center" wrapText="1"/>
    </xf>
    <xf numFmtId="165" fontId="5" fillId="0" borderId="0" xfId="4" applyNumberFormat="1" applyFont="1" applyAlignment="1">
      <alignment vertical="center"/>
    </xf>
    <xf numFmtId="165" fontId="44" fillId="19" borderId="6" xfId="4" applyNumberFormat="1" applyFont="1" applyFill="1" applyBorder="1" applyAlignment="1">
      <alignment horizontal="left" vertical="center" wrapText="1"/>
    </xf>
    <xf numFmtId="0" fontId="5" fillId="0" borderId="0" xfId="0" applyFont="1" applyAlignment="1">
      <alignment vertical="center"/>
    </xf>
    <xf numFmtId="165" fontId="5" fillId="0" borderId="0" xfId="0" applyNumberFormat="1" applyFont="1" applyAlignment="1">
      <alignment vertical="center"/>
    </xf>
    <xf numFmtId="0" fontId="23" fillId="0" borderId="0" xfId="0" applyFont="1" applyAlignment="1">
      <alignment vertical="center"/>
    </xf>
    <xf numFmtId="9" fontId="5" fillId="6" borderId="0" xfId="0" applyNumberFormat="1" applyFont="1" applyFill="1"/>
    <xf numFmtId="10" fontId="5" fillId="6" borderId="0" xfId="0" applyNumberFormat="1" applyFont="1" applyFill="1"/>
    <xf numFmtId="0" fontId="84" fillId="0" borderId="0" xfId="0" applyFont="1" applyAlignment="1">
      <alignment wrapText="1"/>
    </xf>
    <xf numFmtId="0" fontId="84" fillId="0" borderId="0" xfId="0" applyFont="1"/>
    <xf numFmtId="165" fontId="84" fillId="0" borderId="0" xfId="0" applyNumberFormat="1" applyFont="1"/>
    <xf numFmtId="165" fontId="84" fillId="0" borderId="0" xfId="4" applyNumberFormat="1" applyFont="1"/>
    <xf numFmtId="165" fontId="84" fillId="0" borderId="0" xfId="4" applyNumberFormat="1" applyFont="1" applyFill="1"/>
    <xf numFmtId="43" fontId="84" fillId="0" borderId="0" xfId="0" applyNumberFormat="1" applyFont="1"/>
    <xf numFmtId="164" fontId="85" fillId="17" borderId="0" xfId="3" applyNumberFormat="1" applyFont="1" applyFill="1"/>
    <xf numFmtId="165" fontId="86" fillId="0" borderId="0" xfId="0" applyNumberFormat="1" applyFont="1"/>
    <xf numFmtId="0" fontId="87" fillId="0" borderId="0" xfId="0" applyFont="1" applyAlignment="1">
      <alignment wrapText="1"/>
    </xf>
    <xf numFmtId="0" fontId="87" fillId="0" borderId="0" xfId="0" applyFont="1"/>
    <xf numFmtId="165" fontId="87" fillId="0" borderId="0" xfId="4" applyNumberFormat="1" applyFont="1"/>
    <xf numFmtId="165" fontId="87" fillId="0" borderId="0" xfId="0" applyNumberFormat="1" applyFont="1"/>
    <xf numFmtId="165" fontId="87" fillId="0" borderId="0" xfId="4" applyNumberFormat="1" applyFont="1" applyFill="1"/>
    <xf numFmtId="43" fontId="87" fillId="0" borderId="0" xfId="0" applyNumberFormat="1" applyFont="1"/>
    <xf numFmtId="164" fontId="32" fillId="17" borderId="0" xfId="3" applyNumberFormat="1" applyFont="1" applyFill="1"/>
    <xf numFmtId="165" fontId="88" fillId="0" borderId="0" xfId="0" applyNumberFormat="1" applyFont="1"/>
    <xf numFmtId="165" fontId="63" fillId="0" borderId="0" xfId="4" applyNumberFormat="1" applyFont="1" applyFill="1"/>
    <xf numFmtId="43" fontId="63" fillId="0" borderId="0" xfId="0" applyNumberFormat="1" applyFont="1"/>
    <xf numFmtId="164" fontId="89" fillId="17" borderId="0" xfId="3" applyNumberFormat="1" applyFont="1" applyFill="1"/>
    <xf numFmtId="165" fontId="90" fillId="0" borderId="0" xfId="0" applyNumberFormat="1" applyFont="1"/>
    <xf numFmtId="9" fontId="90" fillId="0" borderId="0" xfId="3" applyFont="1"/>
    <xf numFmtId="165" fontId="89" fillId="17" borderId="0" xfId="4" applyNumberFormat="1" applyFont="1" applyFill="1" applyAlignment="1">
      <alignment horizontal="right" vertical="center" wrapText="1"/>
    </xf>
    <xf numFmtId="0" fontId="84" fillId="6" borderId="0" xfId="0" applyFont="1" applyFill="1"/>
    <xf numFmtId="0" fontId="91" fillId="0" borderId="0" xfId="0" applyFont="1"/>
    <xf numFmtId="0" fontId="91" fillId="6" borderId="0" xfId="0" applyFont="1" applyFill="1" applyAlignment="1">
      <alignment wrapText="1"/>
    </xf>
    <xf numFmtId="0" fontId="91" fillId="0" borderId="0" xfId="0" applyFont="1" applyAlignment="1">
      <alignment wrapText="1"/>
    </xf>
    <xf numFmtId="0" fontId="92" fillId="0" borderId="0" xfId="0" applyFont="1"/>
    <xf numFmtId="0" fontId="92" fillId="0" borderId="0" xfId="0" applyFont="1" applyAlignment="1">
      <alignment wrapText="1"/>
    </xf>
    <xf numFmtId="9" fontId="78" fillId="17" borderId="0" xfId="3" applyFont="1" applyFill="1" applyAlignment="1">
      <alignment horizontal="right" wrapText="1"/>
    </xf>
    <xf numFmtId="9" fontId="24" fillId="17" borderId="0" xfId="3" applyFont="1" applyFill="1" applyAlignment="1">
      <alignment horizontal="right" wrapText="1"/>
    </xf>
    <xf numFmtId="0" fontId="54" fillId="7" borderId="0" xfId="0" applyFont="1" applyFill="1" applyAlignment="1">
      <alignment vertical="center"/>
    </xf>
    <xf numFmtId="0" fontId="54" fillId="7" borderId="0" xfId="0" applyFont="1" applyFill="1"/>
    <xf numFmtId="0" fontId="61" fillId="7" borderId="0" xfId="0" applyFont="1" applyFill="1"/>
    <xf numFmtId="0" fontId="62" fillId="7" borderId="0" xfId="0" applyFont="1" applyFill="1"/>
    <xf numFmtId="0" fontId="60" fillId="7" borderId="0" xfId="0" applyFont="1" applyFill="1"/>
    <xf numFmtId="0" fontId="63" fillId="7" borderId="0" xfId="0" applyFont="1" applyFill="1"/>
    <xf numFmtId="0" fontId="91" fillId="7" borderId="0" xfId="0" applyFont="1" applyFill="1"/>
    <xf numFmtId="0" fontId="92" fillId="7" borderId="0" xfId="0" applyFont="1" applyFill="1"/>
    <xf numFmtId="0" fontId="79" fillId="18" borderId="0" xfId="0" applyFont="1" applyFill="1" applyAlignment="1">
      <alignment wrapText="1"/>
    </xf>
    <xf numFmtId="0" fontId="80" fillId="0" borderId="0" xfId="0" applyFont="1"/>
    <xf numFmtId="10" fontId="63" fillId="0" borderId="0" xfId="0" applyNumberFormat="1" applyFont="1"/>
    <xf numFmtId="10" fontId="59" fillId="0" borderId="0" xfId="0" applyNumberFormat="1" applyFont="1"/>
    <xf numFmtId="165" fontId="63" fillId="6" borderId="0" xfId="4" applyNumberFormat="1" applyFont="1" applyFill="1"/>
    <xf numFmtId="165" fontId="92" fillId="0" borderId="0" xfId="0" applyNumberFormat="1" applyFont="1"/>
    <xf numFmtId="0" fontId="23" fillId="17" borderId="0" xfId="0" applyFont="1" applyFill="1" applyAlignment="1">
      <alignment vertical="center" wrapText="1"/>
    </xf>
    <xf numFmtId="165" fontId="23" fillId="17" borderId="0" xfId="4" applyNumberFormat="1" applyFont="1" applyFill="1" applyAlignment="1">
      <alignment vertical="center" wrapText="1"/>
    </xf>
    <xf numFmtId="165" fontId="91" fillId="0" borderId="0" xfId="4" applyNumberFormat="1" applyFont="1"/>
    <xf numFmtId="165" fontId="91" fillId="0" borderId="0" xfId="0" applyNumberFormat="1" applyFont="1"/>
    <xf numFmtId="164" fontId="80" fillId="0" borderId="0" xfId="3" applyNumberFormat="1" applyFont="1" applyFill="1"/>
    <xf numFmtId="9" fontId="51" fillId="0" borderId="0" xfId="3" applyFont="1" applyFill="1"/>
    <xf numFmtId="165" fontId="80" fillId="0" borderId="0" xfId="4" applyNumberFormat="1" applyFont="1" applyFill="1" applyAlignment="1">
      <alignment horizontal="right" vertical="center" wrapText="1"/>
    </xf>
    <xf numFmtId="1" fontId="54" fillId="0" borderId="0" xfId="0" applyNumberFormat="1" applyFont="1"/>
    <xf numFmtId="43" fontId="54" fillId="0" borderId="0" xfId="0" applyNumberFormat="1" applyFont="1"/>
    <xf numFmtId="164" fontId="15" fillId="17" borderId="0" xfId="3" applyNumberFormat="1" applyFont="1" applyFill="1"/>
    <xf numFmtId="9" fontId="80" fillId="0" borderId="0" xfId="3" applyFont="1" applyFill="1" applyAlignment="1">
      <alignment horizontal="right" wrapText="1"/>
    </xf>
    <xf numFmtId="165" fontId="61" fillId="6" borderId="0" xfId="0" applyNumberFormat="1" applyFont="1" applyFill="1"/>
    <xf numFmtId="1" fontId="61" fillId="0" borderId="0" xfId="0" applyNumberFormat="1" applyFont="1"/>
    <xf numFmtId="9" fontId="30" fillId="0" borderId="0" xfId="3" applyFont="1"/>
    <xf numFmtId="1" fontId="91" fillId="0" borderId="0" xfId="0" applyNumberFormat="1" applyFont="1"/>
    <xf numFmtId="165" fontId="91" fillId="0" borderId="0" xfId="4" applyNumberFormat="1" applyFont="1" applyFill="1"/>
    <xf numFmtId="43" fontId="91" fillId="0" borderId="0" xfId="0" applyNumberFormat="1" applyFont="1"/>
    <xf numFmtId="164" fontId="93" fillId="17" borderId="0" xfId="3" applyNumberFormat="1" applyFont="1" applyFill="1"/>
    <xf numFmtId="165" fontId="94" fillId="0" borderId="0" xfId="0" applyNumberFormat="1" applyFont="1"/>
    <xf numFmtId="9" fontId="94" fillId="0" borderId="0" xfId="3" applyFont="1"/>
    <xf numFmtId="165" fontId="93" fillId="17" borderId="0" xfId="4" applyNumberFormat="1" applyFont="1" applyFill="1" applyAlignment="1">
      <alignment horizontal="right" vertical="center" wrapText="1"/>
    </xf>
    <xf numFmtId="165" fontId="91" fillId="6" borderId="0" xfId="4" applyNumberFormat="1" applyFont="1" applyFill="1"/>
    <xf numFmtId="165" fontId="91" fillId="6" borderId="0" xfId="0" applyNumberFormat="1" applyFont="1" applyFill="1"/>
    <xf numFmtId="43" fontId="62" fillId="0" borderId="0" xfId="0" applyNumberFormat="1" applyFont="1"/>
    <xf numFmtId="164" fontId="78" fillId="17" borderId="0" xfId="3" applyNumberFormat="1" applyFont="1" applyFill="1"/>
    <xf numFmtId="0" fontId="62" fillId="6" borderId="0" xfId="0" applyFont="1" applyFill="1"/>
    <xf numFmtId="10" fontId="62" fillId="0" borderId="0" xfId="0" applyNumberFormat="1" applyFont="1"/>
    <xf numFmtId="164" fontId="62" fillId="0" borderId="0" xfId="0" applyNumberFormat="1" applyFont="1" applyAlignment="1">
      <alignment horizontal="right"/>
    </xf>
    <xf numFmtId="9" fontId="31" fillId="17" borderId="0" xfId="3" applyFont="1" applyFill="1" applyAlignment="1">
      <alignment horizontal="right" wrapText="1"/>
    </xf>
    <xf numFmtId="164" fontId="24" fillId="0" borderId="0" xfId="3" applyNumberFormat="1" applyFont="1" applyFill="1"/>
    <xf numFmtId="9" fontId="50" fillId="0" borderId="0" xfId="3" applyFont="1" applyFill="1"/>
    <xf numFmtId="165" fontId="24" fillId="0" borderId="0" xfId="4" applyNumberFormat="1" applyFont="1" applyFill="1" applyAlignment="1">
      <alignment horizontal="right" vertical="center" wrapText="1"/>
    </xf>
    <xf numFmtId="164" fontId="78" fillId="0" borderId="0" xfId="3" applyNumberFormat="1" applyFont="1" applyFill="1"/>
    <xf numFmtId="165" fontId="52" fillId="0" borderId="0" xfId="4" applyNumberFormat="1" applyFont="1" applyFill="1"/>
    <xf numFmtId="164" fontId="89" fillId="0" borderId="0" xfId="3" applyNumberFormat="1" applyFont="1" applyFill="1"/>
    <xf numFmtId="9" fontId="90" fillId="0" borderId="0" xfId="3" applyFont="1" applyFill="1"/>
    <xf numFmtId="165" fontId="89" fillId="0" borderId="0" xfId="4" applyNumberFormat="1" applyFont="1" applyFill="1" applyAlignment="1">
      <alignment horizontal="right" vertical="center" wrapText="1"/>
    </xf>
    <xf numFmtId="165" fontId="31" fillId="0" borderId="0" xfId="4" applyNumberFormat="1" applyFont="1" applyFill="1" applyAlignment="1">
      <alignment horizontal="right" vertical="center" wrapText="1"/>
    </xf>
    <xf numFmtId="164" fontId="93" fillId="0" borderId="0" xfId="3" applyNumberFormat="1" applyFont="1" applyFill="1"/>
    <xf numFmtId="9" fontId="94" fillId="0" borderId="0" xfId="3" applyFont="1" applyFill="1"/>
    <xf numFmtId="165" fontId="93" fillId="0" borderId="0" xfId="4" applyNumberFormat="1" applyFont="1" applyFill="1" applyAlignment="1">
      <alignment horizontal="right" vertical="center" wrapText="1"/>
    </xf>
    <xf numFmtId="9" fontId="30" fillId="0" borderId="0" xfId="3" applyFont="1" applyFill="1"/>
    <xf numFmtId="9" fontId="24" fillId="0" borderId="0" xfId="3" applyFont="1" applyFill="1" applyAlignment="1">
      <alignment horizontal="right" wrapText="1"/>
    </xf>
    <xf numFmtId="0" fontId="15" fillId="17" borderId="0" xfId="0" applyFont="1" applyFill="1" applyAlignment="1">
      <alignment horizontal="right" wrapText="1"/>
    </xf>
    <xf numFmtId="9" fontId="15" fillId="17" borderId="0" xfId="3" applyFont="1" applyFill="1" applyAlignment="1">
      <alignment horizontal="right" wrapText="1"/>
    </xf>
    <xf numFmtId="9" fontId="78" fillId="0" borderId="0" xfId="3" applyFont="1" applyFill="1" applyAlignment="1">
      <alignment horizontal="right" wrapText="1"/>
    </xf>
    <xf numFmtId="9" fontId="85" fillId="17" borderId="0" xfId="3" applyFont="1" applyFill="1" applyAlignment="1">
      <alignment horizontal="right" wrapText="1"/>
    </xf>
    <xf numFmtId="9" fontId="32" fillId="17" borderId="0" xfId="3" applyFont="1" applyFill="1" applyAlignment="1">
      <alignment horizontal="right" wrapText="1"/>
    </xf>
    <xf numFmtId="9" fontId="89" fillId="17" borderId="0" xfId="3" applyFont="1" applyFill="1" applyAlignment="1">
      <alignment horizontal="right" wrapText="1"/>
    </xf>
    <xf numFmtId="9" fontId="89" fillId="0" borderId="0" xfId="3" applyFont="1" applyFill="1" applyAlignment="1">
      <alignment horizontal="right" wrapText="1"/>
    </xf>
    <xf numFmtId="9" fontId="31" fillId="0" borderId="0" xfId="3" applyFont="1" applyFill="1" applyAlignment="1">
      <alignment horizontal="right" wrapText="1"/>
    </xf>
    <xf numFmtId="9" fontId="93" fillId="17" borderId="0" xfId="3" applyFont="1" applyFill="1" applyAlignment="1">
      <alignment horizontal="right" wrapText="1"/>
    </xf>
    <xf numFmtId="9" fontId="93" fillId="0" borderId="0" xfId="3" applyFont="1" applyFill="1" applyAlignment="1">
      <alignment horizontal="right" wrapText="1"/>
    </xf>
    <xf numFmtId="9" fontId="80" fillId="17" borderId="0" xfId="3" applyFont="1" applyFill="1" applyAlignment="1">
      <alignment horizontal="right" wrapText="1"/>
    </xf>
    <xf numFmtId="164" fontId="15" fillId="0" borderId="0" xfId="3" applyNumberFormat="1" applyFont="1" applyFill="1"/>
    <xf numFmtId="9" fontId="15" fillId="0" borderId="0" xfId="3" applyFont="1" applyFill="1" applyAlignment="1">
      <alignment horizontal="right" wrapText="1"/>
    </xf>
    <xf numFmtId="9" fontId="13" fillId="0" borderId="0" xfId="3" applyFont="1" applyFill="1"/>
    <xf numFmtId="165" fontId="15" fillId="0" borderId="0" xfId="4" applyNumberFormat="1" applyFont="1" applyFill="1" applyAlignment="1">
      <alignment horizontal="right" vertical="center" wrapText="1"/>
    </xf>
    <xf numFmtId="165" fontId="63" fillId="6" borderId="0" xfId="0" applyNumberFormat="1" applyFont="1" applyFill="1"/>
    <xf numFmtId="0" fontId="95" fillId="6" borderId="0" xfId="0" applyFont="1" applyFill="1" applyAlignment="1">
      <alignment horizontal="left" wrapText="1"/>
    </xf>
    <xf numFmtId="165" fontId="95" fillId="6" borderId="0" xfId="0" applyNumberFormat="1" applyFont="1" applyFill="1"/>
    <xf numFmtId="165" fontId="34" fillId="23" borderId="0" xfId="4" applyNumberFormat="1" applyFont="1" applyFill="1"/>
    <xf numFmtId="165" fontId="34" fillId="27" borderId="0" xfId="4" applyNumberFormat="1" applyFont="1" applyFill="1"/>
    <xf numFmtId="0" fontId="15" fillId="18" borderId="0" xfId="0" applyFont="1" applyFill="1" applyAlignment="1">
      <alignment horizontal="right"/>
    </xf>
    <xf numFmtId="9" fontId="0" fillId="18" borderId="0" xfId="0" applyNumberFormat="1" applyFill="1" applyAlignment="1">
      <alignment horizontal="right" vertical="center"/>
    </xf>
    <xf numFmtId="9" fontId="15" fillId="18" borderId="0" xfId="3" applyFont="1" applyFill="1" applyAlignment="1">
      <alignment horizontal="right" vertical="center"/>
    </xf>
    <xf numFmtId="0" fontId="15" fillId="23" borderId="0" xfId="0" applyFont="1" applyFill="1" applyAlignment="1">
      <alignment horizontal="right"/>
    </xf>
    <xf numFmtId="9" fontId="23" fillId="7" borderId="0" xfId="3" applyFont="1" applyFill="1"/>
    <xf numFmtId="0" fontId="1" fillId="0" borderId="0" xfId="0" applyFont="1" applyAlignment="1">
      <alignment horizontal="left"/>
    </xf>
    <xf numFmtId="0" fontId="1" fillId="0" borderId="0" xfId="0" applyFont="1" applyAlignment="1">
      <alignment horizontal="center"/>
    </xf>
    <xf numFmtId="0" fontId="13" fillId="0" borderId="0" xfId="0" applyFont="1" applyAlignment="1">
      <alignment wrapText="1"/>
    </xf>
    <xf numFmtId="165" fontId="73" fillId="0" borderId="0" xfId="0" applyNumberFormat="1" applyFont="1" applyAlignment="1">
      <alignment vertical="top"/>
    </xf>
    <xf numFmtId="3" fontId="65" fillId="0" borderId="0" xfId="0" applyNumberFormat="1" applyFont="1" applyAlignment="1">
      <alignment vertical="top"/>
    </xf>
    <xf numFmtId="10" fontId="75" fillId="6" borderId="0" xfId="3" applyNumberFormat="1" applyFont="1" applyFill="1" applyAlignment="1">
      <alignment vertical="top"/>
    </xf>
    <xf numFmtId="49" fontId="54" fillId="0" borderId="40" xfId="0" applyNumberFormat="1" applyFont="1" applyBorder="1" applyAlignment="1">
      <alignment horizontal="center" vertical="center"/>
    </xf>
    <xf numFmtId="49" fontId="54" fillId="0" borderId="45" xfId="0" applyNumberFormat="1" applyFont="1" applyBorder="1" applyAlignment="1">
      <alignment horizontal="center" vertical="center"/>
    </xf>
    <xf numFmtId="0" fontId="52" fillId="0" borderId="37" xfId="0" applyFont="1" applyBorder="1" applyAlignment="1">
      <alignment horizontal="center" vertical="center"/>
    </xf>
    <xf numFmtId="0" fontId="52" fillId="0" borderId="38" xfId="0" applyFont="1" applyBorder="1" applyAlignment="1">
      <alignment horizontal="center" vertical="center"/>
    </xf>
    <xf numFmtId="0" fontId="52" fillId="0" borderId="42" xfId="0" applyFont="1" applyBorder="1" applyAlignment="1">
      <alignment horizontal="center" vertical="center"/>
    </xf>
    <xf numFmtId="0" fontId="52" fillId="0" borderId="43" xfId="0" applyFont="1" applyBorder="1" applyAlignment="1">
      <alignment horizontal="center" vertical="center"/>
    </xf>
    <xf numFmtId="165" fontId="54" fillId="0" borderId="40" xfId="4" applyNumberFormat="1" applyFont="1" applyBorder="1" applyAlignment="1">
      <alignment horizontal="center" vertical="center"/>
    </xf>
    <xf numFmtId="165" fontId="54" fillId="0" borderId="45" xfId="4" applyNumberFormat="1" applyFont="1" applyBorder="1" applyAlignment="1">
      <alignment horizontal="center" vertical="center"/>
    </xf>
    <xf numFmtId="0" fontId="52" fillId="19" borderId="37" xfId="0" applyFont="1" applyFill="1" applyBorder="1" applyAlignment="1">
      <alignment horizontal="center" vertical="center" wrapText="1"/>
    </xf>
    <xf numFmtId="0" fontId="52" fillId="19" borderId="38" xfId="0" applyFont="1" applyFill="1" applyBorder="1" applyAlignment="1">
      <alignment horizontal="center" vertical="center" wrapText="1"/>
    </xf>
    <xf numFmtId="0" fontId="52" fillId="19" borderId="42" xfId="0" applyFont="1" applyFill="1" applyBorder="1" applyAlignment="1">
      <alignment horizontal="center" vertical="center" wrapText="1"/>
    </xf>
    <xf numFmtId="0" fontId="52" fillId="19" borderId="43" xfId="0" applyFont="1" applyFill="1" applyBorder="1" applyAlignment="1">
      <alignment horizontal="center" vertical="center" wrapText="1"/>
    </xf>
    <xf numFmtId="0" fontId="55" fillId="0" borderId="37" xfId="0" applyFont="1" applyBorder="1" applyAlignment="1">
      <alignment horizontal="center" vertical="center" wrapText="1"/>
    </xf>
    <xf numFmtId="0" fontId="55" fillId="0" borderId="38" xfId="0" applyFont="1" applyBorder="1" applyAlignment="1">
      <alignment horizontal="center" vertical="center" wrapText="1"/>
    </xf>
    <xf numFmtId="0" fontId="55" fillId="0" borderId="42" xfId="0" applyFont="1" applyBorder="1" applyAlignment="1">
      <alignment horizontal="center" vertical="center" wrapText="1"/>
    </xf>
    <xf numFmtId="0" fontId="55" fillId="0" borderId="43" xfId="0" applyFont="1" applyBorder="1" applyAlignment="1">
      <alignment horizontal="center" vertical="center" wrapText="1"/>
    </xf>
    <xf numFmtId="0" fontId="55" fillId="0" borderId="37" xfId="0" applyFont="1" applyBorder="1" applyAlignment="1">
      <alignment horizontal="center" vertical="center"/>
    </xf>
    <xf numFmtId="0" fontId="55" fillId="0" borderId="38" xfId="0" applyFont="1" applyBorder="1" applyAlignment="1">
      <alignment horizontal="center" vertical="center"/>
    </xf>
    <xf numFmtId="0" fontId="55" fillId="0" borderId="42" xfId="0" applyFont="1" applyBorder="1" applyAlignment="1">
      <alignment horizontal="center" vertical="center"/>
    </xf>
    <xf numFmtId="0" fontId="55" fillId="0" borderId="43" xfId="0" applyFont="1" applyBorder="1" applyAlignment="1">
      <alignment horizontal="center" vertical="center"/>
    </xf>
    <xf numFmtId="0" fontId="52" fillId="0" borderId="37" xfId="0" applyFont="1" applyBorder="1" applyAlignment="1">
      <alignment horizontal="center" vertical="center" wrapText="1"/>
    </xf>
    <xf numFmtId="0" fontId="52" fillId="0" borderId="38" xfId="0" applyFont="1" applyBorder="1" applyAlignment="1">
      <alignment horizontal="center" vertical="center" wrapText="1"/>
    </xf>
    <xf numFmtId="0" fontId="52" fillId="0" borderId="42" xfId="0" applyFont="1" applyBorder="1" applyAlignment="1">
      <alignment horizontal="center" vertical="center" wrapText="1"/>
    </xf>
    <xf numFmtId="0" fontId="52" fillId="0" borderId="43" xfId="0" applyFont="1" applyBorder="1" applyAlignment="1">
      <alignment horizontal="center" vertical="center" wrapText="1"/>
    </xf>
    <xf numFmtId="0" fontId="52" fillId="19" borderId="46" xfId="0" applyFont="1" applyFill="1" applyBorder="1" applyAlignment="1">
      <alignment horizontal="center" vertical="center" wrapText="1"/>
    </xf>
    <xf numFmtId="0" fontId="52" fillId="19" borderId="39" xfId="0" applyFont="1" applyFill="1" applyBorder="1" applyAlignment="1">
      <alignment horizontal="center" vertical="center" wrapText="1"/>
    </xf>
    <xf numFmtId="0" fontId="52" fillId="19" borderId="37" xfId="0" applyFont="1" applyFill="1" applyBorder="1" applyAlignment="1">
      <alignment horizontal="center" vertical="center"/>
    </xf>
    <xf numFmtId="0" fontId="52" fillId="19" borderId="38" xfId="0" applyFont="1" applyFill="1" applyBorder="1" applyAlignment="1">
      <alignment horizontal="center" vertical="center"/>
    </xf>
    <xf numFmtId="0" fontId="52" fillId="19" borderId="42" xfId="0" applyFont="1" applyFill="1" applyBorder="1" applyAlignment="1">
      <alignment horizontal="center" vertical="center"/>
    </xf>
    <xf numFmtId="0" fontId="52" fillId="19" borderId="43" xfId="0" applyFont="1" applyFill="1" applyBorder="1" applyAlignment="1">
      <alignment horizontal="center" vertical="center"/>
    </xf>
    <xf numFmtId="0" fontId="52" fillId="17" borderId="37" xfId="0" applyFont="1" applyFill="1" applyBorder="1" applyAlignment="1">
      <alignment horizontal="center" vertical="center"/>
    </xf>
    <xf numFmtId="0" fontId="52" fillId="17" borderId="38" xfId="0" applyFont="1" applyFill="1" applyBorder="1" applyAlignment="1">
      <alignment horizontal="center" vertical="center"/>
    </xf>
    <xf numFmtId="0" fontId="52" fillId="17" borderId="42" xfId="0" applyFont="1" applyFill="1" applyBorder="1" applyAlignment="1">
      <alignment horizontal="center" vertical="center"/>
    </xf>
    <xf numFmtId="0" fontId="52" fillId="17" borderId="43" xfId="0" applyFont="1" applyFill="1" applyBorder="1" applyAlignment="1">
      <alignment horizontal="center" vertical="center"/>
    </xf>
    <xf numFmtId="0" fontId="52" fillId="17" borderId="37" xfId="0" applyFont="1" applyFill="1" applyBorder="1" applyAlignment="1">
      <alignment horizontal="center" vertical="center" wrapText="1"/>
    </xf>
    <xf numFmtId="0" fontId="52" fillId="17" borderId="38" xfId="0" applyFont="1" applyFill="1" applyBorder="1" applyAlignment="1">
      <alignment horizontal="center" vertical="center" wrapText="1"/>
    </xf>
    <xf numFmtId="0" fontId="52" fillId="17" borderId="42" xfId="0" applyFont="1" applyFill="1" applyBorder="1" applyAlignment="1">
      <alignment horizontal="center" vertical="center" wrapText="1"/>
    </xf>
    <xf numFmtId="0" fontId="52" fillId="17" borderId="43" xfId="0" applyFont="1" applyFill="1" applyBorder="1" applyAlignment="1">
      <alignment horizontal="center" vertical="center" wrapText="1"/>
    </xf>
    <xf numFmtId="0" fontId="53" fillId="17" borderId="37" xfId="0" applyFont="1" applyFill="1" applyBorder="1" applyAlignment="1">
      <alignment horizontal="center" vertical="center" wrapText="1"/>
    </xf>
    <xf numFmtId="0" fontId="53" fillId="17" borderId="38" xfId="0" applyFont="1" applyFill="1" applyBorder="1" applyAlignment="1">
      <alignment horizontal="center" vertical="center" wrapText="1"/>
    </xf>
    <xf numFmtId="0" fontId="53" fillId="17" borderId="42" xfId="0" applyFont="1" applyFill="1" applyBorder="1" applyAlignment="1">
      <alignment horizontal="center" vertical="center" wrapText="1"/>
    </xf>
    <xf numFmtId="0" fontId="53" fillId="17" borderId="43" xfId="0" applyFont="1" applyFill="1" applyBorder="1" applyAlignment="1">
      <alignment horizontal="center" vertical="center" wrapText="1"/>
    </xf>
    <xf numFmtId="0" fontId="52" fillId="17" borderId="41" xfId="0" applyFont="1" applyFill="1" applyBorder="1" applyAlignment="1">
      <alignment horizontal="center" vertical="center" wrapText="1"/>
    </xf>
    <xf numFmtId="0" fontId="52" fillId="17" borderId="44" xfId="0" applyFont="1" applyFill="1" applyBorder="1" applyAlignment="1">
      <alignment horizontal="center" vertical="center" wrapText="1"/>
    </xf>
    <xf numFmtId="0" fontId="52" fillId="17" borderId="49" xfId="0" applyFont="1" applyFill="1" applyBorder="1" applyAlignment="1">
      <alignment horizontal="center" vertical="center" wrapText="1"/>
    </xf>
    <xf numFmtId="0" fontId="52" fillId="13" borderId="37" xfId="0" applyFont="1" applyFill="1" applyBorder="1" applyAlignment="1">
      <alignment horizontal="center" vertical="center" wrapText="1"/>
    </xf>
    <xf numFmtId="0" fontId="52" fillId="13" borderId="38" xfId="0" applyFont="1" applyFill="1" applyBorder="1" applyAlignment="1">
      <alignment horizontal="center" vertical="center" wrapText="1"/>
    </xf>
    <xf numFmtId="0" fontId="52" fillId="13" borderId="42" xfId="0" applyFont="1" applyFill="1" applyBorder="1" applyAlignment="1">
      <alignment horizontal="center" vertical="center" wrapText="1"/>
    </xf>
    <xf numFmtId="0" fontId="52" fillId="13" borderId="43" xfId="0" applyFont="1" applyFill="1" applyBorder="1" applyAlignment="1">
      <alignment horizontal="center" vertical="center" wrapText="1"/>
    </xf>
    <xf numFmtId="49" fontId="54" fillId="0" borderId="41" xfId="0" applyNumberFormat="1" applyFont="1" applyBorder="1" applyAlignment="1">
      <alignment horizontal="center" vertical="center"/>
    </xf>
    <xf numFmtId="0" fontId="53" fillId="6" borderId="37" xfId="0" applyFont="1" applyFill="1" applyBorder="1" applyAlignment="1">
      <alignment horizontal="center" vertical="center" wrapText="1"/>
    </xf>
    <xf numFmtId="0" fontId="53" fillId="6" borderId="38" xfId="0" applyFont="1" applyFill="1" applyBorder="1" applyAlignment="1">
      <alignment horizontal="center" vertical="center" wrapText="1"/>
    </xf>
    <xf numFmtId="0" fontId="53" fillId="6" borderId="42" xfId="0" applyFont="1" applyFill="1" applyBorder="1" applyAlignment="1">
      <alignment horizontal="center" vertical="center" wrapText="1"/>
    </xf>
    <xf numFmtId="0" fontId="53" fillId="6" borderId="43" xfId="0" applyFont="1" applyFill="1" applyBorder="1" applyAlignment="1">
      <alignment horizontal="center" vertical="center" wrapText="1"/>
    </xf>
    <xf numFmtId="0" fontId="52" fillId="19" borderId="0" xfId="0" applyFont="1" applyFill="1" applyAlignment="1">
      <alignment horizontal="center" vertical="center"/>
    </xf>
    <xf numFmtId="0" fontId="52" fillId="0" borderId="37" xfId="0" applyFont="1" applyBorder="1" applyAlignment="1">
      <alignment horizontal="left" vertical="center"/>
    </xf>
    <xf numFmtId="0" fontId="52" fillId="0" borderId="38" xfId="0" applyFont="1" applyBorder="1" applyAlignment="1">
      <alignment horizontal="left" vertical="center"/>
    </xf>
    <xf numFmtId="0" fontId="52" fillId="0" borderId="42" xfId="0" applyFont="1" applyBorder="1" applyAlignment="1">
      <alignment horizontal="left" vertical="center"/>
    </xf>
    <xf numFmtId="0" fontId="52" fillId="0" borderId="43" xfId="0" applyFont="1" applyBorder="1" applyAlignment="1">
      <alignment horizontal="left" vertical="center"/>
    </xf>
    <xf numFmtId="0" fontId="52" fillId="19" borderId="41" xfId="0" applyFont="1" applyFill="1" applyBorder="1" applyAlignment="1">
      <alignment horizontal="center" vertical="center" wrapText="1"/>
    </xf>
    <xf numFmtId="0" fontId="53" fillId="0" borderId="37" xfId="0" applyFont="1" applyBorder="1" applyAlignment="1">
      <alignment horizontal="center" vertical="center"/>
    </xf>
    <xf numFmtId="0" fontId="53" fillId="0" borderId="38" xfId="0" applyFont="1" applyBorder="1" applyAlignment="1">
      <alignment horizontal="center" vertical="center"/>
    </xf>
    <xf numFmtId="0" fontId="53" fillId="0" borderId="42" xfId="0" applyFont="1" applyBorder="1" applyAlignment="1">
      <alignment horizontal="center" vertical="center"/>
    </xf>
    <xf numFmtId="0" fontId="53" fillId="0" borderId="43" xfId="0" applyFont="1" applyBorder="1" applyAlignment="1">
      <alignment horizontal="center" vertical="center"/>
    </xf>
    <xf numFmtId="0" fontId="52" fillId="8" borderId="41" xfId="0" applyFont="1" applyFill="1" applyBorder="1" applyAlignment="1">
      <alignment horizontal="center" vertical="center" wrapText="1"/>
    </xf>
    <xf numFmtId="0" fontId="52" fillId="19" borderId="44" xfId="0" applyFont="1" applyFill="1" applyBorder="1" applyAlignment="1">
      <alignment horizontal="center" vertical="center" wrapText="1"/>
    </xf>
    <xf numFmtId="0" fontId="52" fillId="19" borderId="49" xfId="0" applyFont="1" applyFill="1" applyBorder="1" applyAlignment="1">
      <alignment horizontal="center" vertical="center" wrapText="1"/>
    </xf>
    <xf numFmtId="0" fontId="52" fillId="0" borderId="40" xfId="0" applyFont="1" applyBorder="1" applyAlignment="1">
      <alignment horizontal="center"/>
    </xf>
    <xf numFmtId="0" fontId="52" fillId="0" borderId="45" xfId="0" applyFont="1" applyBorder="1" applyAlignment="1">
      <alignment horizontal="center"/>
    </xf>
    <xf numFmtId="0" fontId="52" fillId="22" borderId="37" xfId="0" applyFont="1" applyFill="1" applyBorder="1" applyAlignment="1">
      <alignment horizontal="center" vertical="center"/>
    </xf>
    <xf numFmtId="0" fontId="52" fillId="22" borderId="38" xfId="0" applyFont="1" applyFill="1" applyBorder="1" applyAlignment="1">
      <alignment horizontal="center" vertical="center"/>
    </xf>
    <xf numFmtId="0" fontId="52" fillId="22" borderId="42" xfId="0" applyFont="1" applyFill="1" applyBorder="1" applyAlignment="1">
      <alignment horizontal="center" vertical="center"/>
    </xf>
    <xf numFmtId="0" fontId="52" fillId="22" borderId="43" xfId="0" applyFont="1" applyFill="1" applyBorder="1" applyAlignment="1">
      <alignment horizontal="center" vertical="center"/>
    </xf>
    <xf numFmtId="0" fontId="52" fillId="13" borderId="48" xfId="0" applyFont="1" applyFill="1" applyBorder="1" applyAlignment="1">
      <alignment horizontal="center" vertical="center" wrapText="1"/>
    </xf>
    <xf numFmtId="0" fontId="52" fillId="13" borderId="41" xfId="0" applyFont="1" applyFill="1" applyBorder="1" applyAlignment="1">
      <alignment horizontal="center" vertical="center" wrapText="1"/>
    </xf>
    <xf numFmtId="165" fontId="53" fillId="20" borderId="40" xfId="4" applyNumberFormat="1" applyFont="1" applyFill="1" applyBorder="1" applyAlignment="1">
      <alignment horizontal="center" vertical="center"/>
    </xf>
    <xf numFmtId="165" fontId="53" fillId="20" borderId="45" xfId="4" applyNumberFormat="1" applyFont="1" applyFill="1" applyBorder="1" applyAlignment="1">
      <alignment horizontal="center" vertical="center"/>
    </xf>
    <xf numFmtId="0" fontId="52" fillId="8" borderId="37" xfId="0" applyFont="1" applyFill="1" applyBorder="1" applyAlignment="1">
      <alignment horizontal="center" wrapText="1"/>
    </xf>
    <xf numFmtId="0" fontId="52" fillId="8" borderId="38" xfId="0" applyFont="1" applyFill="1" applyBorder="1" applyAlignment="1">
      <alignment horizontal="center" wrapText="1"/>
    </xf>
    <xf numFmtId="0" fontId="52" fillId="8" borderId="42" xfId="0" applyFont="1" applyFill="1" applyBorder="1" applyAlignment="1">
      <alignment horizontal="center" wrapText="1"/>
    </xf>
    <xf numFmtId="0" fontId="52" fillId="8" borderId="43" xfId="0" applyFont="1" applyFill="1" applyBorder="1" applyAlignment="1">
      <alignment horizontal="center" wrapText="1"/>
    </xf>
    <xf numFmtId="0" fontId="52" fillId="7" borderId="37" xfId="0" applyFont="1" applyFill="1" applyBorder="1" applyAlignment="1">
      <alignment horizontal="center" vertical="center" wrapText="1"/>
    </xf>
    <xf numFmtId="0" fontId="52" fillId="7" borderId="38" xfId="0" applyFont="1" applyFill="1" applyBorder="1" applyAlignment="1">
      <alignment horizontal="center" vertical="center" wrapText="1"/>
    </xf>
    <xf numFmtId="0" fontId="52" fillId="7" borderId="42" xfId="0" applyFont="1" applyFill="1" applyBorder="1" applyAlignment="1">
      <alignment horizontal="center" vertical="center" wrapText="1"/>
    </xf>
    <xf numFmtId="0" fontId="52" fillId="7" borderId="43" xfId="0" applyFont="1" applyFill="1" applyBorder="1" applyAlignment="1">
      <alignment horizontal="center" vertical="center" wrapText="1"/>
    </xf>
    <xf numFmtId="0" fontId="52" fillId="19" borderId="0" xfId="0" applyFont="1" applyFill="1" applyAlignment="1">
      <alignment horizontal="center" vertical="center" wrapText="1"/>
    </xf>
    <xf numFmtId="49" fontId="54" fillId="0" borderId="46" xfId="0" applyNumberFormat="1" applyFont="1" applyBorder="1" applyAlignment="1">
      <alignment horizontal="center" vertical="center"/>
    </xf>
    <xf numFmtId="49" fontId="54" fillId="0" borderId="0" xfId="0" applyNumberFormat="1" applyFont="1" applyAlignment="1">
      <alignment horizontal="center" vertical="center"/>
    </xf>
    <xf numFmtId="0" fontId="53" fillId="0" borderId="37" xfId="0" applyFont="1" applyBorder="1" applyAlignment="1">
      <alignment horizontal="center" vertical="center" wrapText="1"/>
    </xf>
    <xf numFmtId="0" fontId="53" fillId="0" borderId="38" xfId="0" applyFont="1" applyBorder="1" applyAlignment="1">
      <alignment horizontal="center" vertical="center" wrapText="1"/>
    </xf>
    <xf numFmtId="0" fontId="53" fillId="0" borderId="42" xfId="0" applyFont="1" applyBorder="1" applyAlignment="1">
      <alignment horizontal="center" vertical="center" wrapText="1"/>
    </xf>
    <xf numFmtId="0" fontId="53" fillId="0" borderId="43" xfId="0" applyFont="1" applyBorder="1" applyAlignment="1">
      <alignment horizontal="center" vertical="center" wrapText="1"/>
    </xf>
    <xf numFmtId="0" fontId="52" fillId="8" borderId="46" xfId="0" applyFont="1" applyFill="1" applyBorder="1" applyAlignment="1">
      <alignment horizontal="center"/>
    </xf>
    <xf numFmtId="0" fontId="52" fillId="11" borderId="37" xfId="0" applyFont="1" applyFill="1" applyBorder="1" applyAlignment="1">
      <alignment horizontal="center" vertical="center"/>
    </xf>
    <xf numFmtId="0" fontId="52" fillId="11" borderId="38" xfId="0" applyFont="1" applyFill="1" applyBorder="1" applyAlignment="1">
      <alignment horizontal="center" vertical="center"/>
    </xf>
    <xf numFmtId="0" fontId="52" fillId="11" borderId="42" xfId="0" applyFont="1" applyFill="1" applyBorder="1" applyAlignment="1">
      <alignment horizontal="center" vertical="center"/>
    </xf>
    <xf numFmtId="0" fontId="52" fillId="11" borderId="43" xfId="0" applyFont="1" applyFill="1" applyBorder="1" applyAlignment="1">
      <alignment horizontal="center" vertical="center"/>
    </xf>
    <xf numFmtId="165" fontId="15" fillId="17" borderId="0" xfId="4" applyNumberFormat="1" applyFont="1" applyFill="1" applyAlignment="1">
      <alignment horizontal="center" vertical="center" wrapText="1"/>
    </xf>
    <xf numFmtId="49" fontId="54" fillId="0" borderId="37" xfId="0" applyNumberFormat="1" applyFont="1" applyBorder="1" applyAlignment="1">
      <alignment horizontal="center" vertical="center"/>
    </xf>
    <xf numFmtId="49" fontId="54" fillId="0" borderId="42" xfId="0" applyNumberFormat="1" applyFont="1" applyBorder="1" applyAlignment="1">
      <alignment horizontal="center" vertical="center"/>
    </xf>
    <xf numFmtId="0" fontId="1" fillId="0" borderId="0" xfId="0" applyFont="1" applyAlignment="1">
      <alignment horizontal="left"/>
    </xf>
    <xf numFmtId="9" fontId="65" fillId="0" borderId="53" xfId="3" applyFont="1" applyFill="1" applyBorder="1" applyAlignment="1">
      <alignment horizontal="center" vertical="top" wrapText="1"/>
    </xf>
    <xf numFmtId="9" fontId="65" fillId="0" borderId="54" xfId="3" applyFont="1" applyFill="1" applyBorder="1" applyAlignment="1">
      <alignment horizontal="center" vertical="top" wrapText="1"/>
    </xf>
    <xf numFmtId="0" fontId="67" fillId="0" borderId="0" xfId="0" applyFont="1" applyAlignment="1">
      <alignment horizontal="center" vertical="center"/>
    </xf>
    <xf numFmtId="0" fontId="68" fillId="0" borderId="0" xfId="0" applyFont="1" applyAlignment="1">
      <alignment horizontal="center" vertical="center" wrapText="1"/>
    </xf>
    <xf numFmtId="165" fontId="65" fillId="0" borderId="0" xfId="4" applyNumberFormat="1" applyFont="1" applyAlignment="1">
      <alignment horizontal="center" vertical="center"/>
    </xf>
    <xf numFmtId="0" fontId="67" fillId="20" borderId="6" xfId="0" applyFont="1" applyFill="1" applyBorder="1" applyAlignment="1">
      <alignment horizontal="center" vertical="center" wrapText="1"/>
    </xf>
    <xf numFmtId="9" fontId="65" fillId="0" borderId="53" xfId="3" applyFont="1" applyFill="1" applyBorder="1" applyAlignment="1">
      <alignment horizontal="left" vertical="center" wrapText="1"/>
    </xf>
    <xf numFmtId="9" fontId="65" fillId="0" borderId="5" xfId="3" applyFont="1" applyFill="1" applyBorder="1" applyAlignment="1">
      <alignment horizontal="left" vertical="center" wrapText="1"/>
    </xf>
    <xf numFmtId="9" fontId="65" fillId="0" borderId="54" xfId="3" applyFont="1" applyFill="1" applyBorder="1" applyAlignment="1">
      <alignment horizontal="left" vertical="center" wrapText="1"/>
    </xf>
    <xf numFmtId="0" fontId="42" fillId="6" borderId="36" xfId="0" applyFont="1" applyFill="1" applyBorder="1" applyAlignment="1">
      <alignment horizontal="center" vertical="center"/>
    </xf>
    <xf numFmtId="0" fontId="40" fillId="0" borderId="13" xfId="0" applyFont="1" applyBorder="1" applyAlignment="1">
      <alignment horizontal="center" vertical="center"/>
    </xf>
    <xf numFmtId="0" fontId="40" fillId="0" borderId="14" xfId="0" applyFont="1" applyBorder="1" applyAlignment="1">
      <alignment horizontal="center" vertical="center"/>
    </xf>
    <xf numFmtId="0" fontId="40" fillId="0" borderId="15" xfId="0" applyFont="1" applyBorder="1" applyAlignment="1">
      <alignment horizontal="center" vertical="center"/>
    </xf>
    <xf numFmtId="0" fontId="41" fillId="0" borderId="16" xfId="0" applyFont="1" applyBorder="1" applyAlignment="1">
      <alignment horizontal="center" vertical="center"/>
    </xf>
    <xf numFmtId="0" fontId="41" fillId="0" borderId="0" xfId="0" applyFont="1" applyAlignment="1">
      <alignment horizontal="center" vertical="center"/>
    </xf>
    <xf numFmtId="0" fontId="41" fillId="0" borderId="17" xfId="0" applyFont="1" applyBorder="1" applyAlignment="1">
      <alignment horizontal="center" vertical="center"/>
    </xf>
    <xf numFmtId="0" fontId="43" fillId="5" borderId="18" xfId="5" applyFont="1" applyFill="1" applyBorder="1" applyAlignment="1">
      <alignment horizontal="center" vertical="center" wrapText="1"/>
    </xf>
    <xf numFmtId="0" fontId="43" fillId="5" borderId="22" xfId="5" applyFont="1" applyFill="1" applyBorder="1" applyAlignment="1">
      <alignment horizontal="center" vertical="center" wrapText="1"/>
    </xf>
    <xf numFmtId="0" fontId="43" fillId="5" borderId="7" xfId="5" applyFont="1" applyFill="1" applyBorder="1" applyAlignment="1">
      <alignment horizontal="center" vertical="center" wrapText="1"/>
    </xf>
    <xf numFmtId="0" fontId="43" fillId="5" borderId="23" xfId="5" applyFont="1" applyFill="1" applyBorder="1" applyAlignment="1">
      <alignment horizontal="center" vertical="center" wrapText="1"/>
    </xf>
    <xf numFmtId="0" fontId="43" fillId="5" borderId="19" xfId="5" applyFont="1" applyFill="1" applyBorder="1" applyAlignment="1">
      <alignment horizontal="center" vertical="center" wrapText="1"/>
    </xf>
    <xf numFmtId="0" fontId="43" fillId="5" borderId="20" xfId="5" applyFont="1" applyFill="1" applyBorder="1" applyAlignment="1">
      <alignment horizontal="center" vertical="center" wrapText="1"/>
    </xf>
    <xf numFmtId="0" fontId="43" fillId="5" borderId="7" xfId="0" applyFont="1" applyFill="1" applyBorder="1" applyAlignment="1">
      <alignment horizontal="center" vertical="center" wrapText="1"/>
    </xf>
    <xf numFmtId="0" fontId="43" fillId="5" borderId="23" xfId="0" applyFont="1" applyFill="1" applyBorder="1" applyAlignment="1">
      <alignment horizontal="center" vertical="center" wrapText="1"/>
    </xf>
    <xf numFmtId="0" fontId="43" fillId="5" borderId="21" xfId="0" applyFont="1" applyFill="1" applyBorder="1" applyAlignment="1">
      <alignment horizontal="center" vertical="center" wrapText="1"/>
    </xf>
    <xf numFmtId="0" fontId="43" fillId="5" borderId="24" xfId="0" applyFont="1" applyFill="1" applyBorder="1" applyAlignment="1">
      <alignment horizontal="center" vertical="center" wrapText="1"/>
    </xf>
    <xf numFmtId="0" fontId="2" fillId="23" borderId="0" xfId="0" applyFont="1" applyFill="1" applyAlignment="1">
      <alignment horizontal="center" vertical="center"/>
    </xf>
    <xf numFmtId="49" fontId="2" fillId="15" borderId="0" xfId="0" applyNumberFormat="1" applyFont="1" applyFill="1" applyAlignment="1">
      <alignment horizontal="center" vertical="center" wrapText="1"/>
    </xf>
    <xf numFmtId="0" fontId="59" fillId="0" borderId="0" xfId="0" applyFont="1" applyAlignment="1">
      <alignment horizontal="center" vertical="center" wrapText="1"/>
    </xf>
    <xf numFmtId="0" fontId="63"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20" borderId="0" xfId="0" applyFont="1" applyFill="1" applyAlignment="1">
      <alignment horizontal="center" vertical="center" wrapText="1"/>
    </xf>
    <xf numFmtId="0" fontId="1" fillId="25" borderId="0" xfId="0" applyFont="1" applyFill="1" applyAlignment="1">
      <alignment horizontal="center" vertical="center" wrapText="1"/>
    </xf>
    <xf numFmtId="0" fontId="1" fillId="9" borderId="0" xfId="0" applyFont="1" applyFill="1" applyAlignment="1">
      <alignment horizontal="center" vertical="center" wrapText="1"/>
    </xf>
    <xf numFmtId="0" fontId="1" fillId="6" borderId="0" xfId="0" applyFont="1" applyFill="1" applyAlignment="1">
      <alignment horizontal="center" vertical="center" wrapText="1"/>
    </xf>
    <xf numFmtId="0" fontId="1" fillId="17" borderId="0" xfId="0" applyFont="1" applyFill="1" applyAlignment="1">
      <alignment horizontal="center" vertical="center" wrapText="1"/>
    </xf>
    <xf numFmtId="49" fontId="54" fillId="0" borderId="47" xfId="0" applyNumberFormat="1" applyFont="1" applyBorder="1" applyAlignment="1">
      <alignment horizontal="center" vertical="center"/>
    </xf>
    <xf numFmtId="49" fontId="54" fillId="0" borderId="48" xfId="0" applyNumberFormat="1" applyFont="1" applyBorder="1" applyAlignment="1">
      <alignment horizontal="center" vertical="center"/>
    </xf>
    <xf numFmtId="165" fontId="6" fillId="0" borderId="0" xfId="4" applyNumberFormat="1"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wrapText="1"/>
    </xf>
    <xf numFmtId="0" fontId="23" fillId="0" borderId="0" xfId="0" applyFont="1" applyAlignment="1">
      <alignment horizontal="center" wrapText="1"/>
    </xf>
    <xf numFmtId="0" fontId="1" fillId="6" borderId="0" xfId="0" applyFont="1" applyFill="1" applyAlignment="1">
      <alignment horizontal="center"/>
    </xf>
    <xf numFmtId="0" fontId="0" fillId="0" borderId="0" xfId="0" applyAlignment="1">
      <alignment horizontal="center"/>
    </xf>
    <xf numFmtId="164" fontId="23" fillId="6" borderId="0" xfId="0" applyNumberFormat="1" applyFont="1" applyFill="1" applyAlignment="1">
      <alignment horizontal="center" vertical="top"/>
    </xf>
  </cellXfs>
  <cellStyles count="7">
    <cellStyle name="Comma" xfId="4" builtinId="3"/>
    <cellStyle name="Hyperlink" xfId="1" builtinId="8"/>
    <cellStyle name="Normal" xfId="0" builtinId="0"/>
    <cellStyle name="Normal 2" xfId="2" xr:uid="{33046587-3366-44BD-9479-DA24C6F595B3}"/>
    <cellStyle name="Normal 3" xfId="5" xr:uid="{2A200B21-7B4F-45C8-93CF-C34EE8E6499F}"/>
    <cellStyle name="Normal 4" xfId="6" xr:uid="{E2EF1529-87E5-4B1B-822E-B669F3B6EFE8}"/>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0.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41.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iSS01G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408695652173914"/>
          <c:w val="0.75475634761530896"/>
          <c:h val="0.78124006238350641"/>
        </c:manualLayout>
      </c:layout>
      <c:barChart>
        <c:barDir val="col"/>
        <c:grouping val="percentStacked"/>
        <c:varyColors val="0"/>
        <c:ser>
          <c:idx val="0"/>
          <c:order val="0"/>
          <c:tx>
            <c:strRef>
              <c:f>Chart!$BE$46</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EED09341-07BB-4BB2-9E15-C0C45927FAC7}" type="CELLRANGE">
                      <a:rPr lang="en-US" sz="1200" baseline="0"/>
                      <a:pPr>
                        <a:defRPr sz="1200" b="1">
                          <a:solidFill>
                            <a:schemeClr val="bg1"/>
                          </a:solidFill>
                        </a:defRPr>
                      </a:pPr>
                      <a:t>[CELLRANGE]</a:t>
                    </a:fld>
                    <a:r>
                      <a:rPr lang="en-US" sz="1200" baseline="0"/>
                      <a:t>, </a:t>
                    </a:r>
                    <a:fld id="{A3C70DE8-5391-46DB-A8E6-8FBBB8A12074}" type="SERIESNAME">
                      <a:rPr lang="en-US" sz="1200" baseline="0"/>
                      <a:pPr>
                        <a:defRPr sz="1200" b="1">
                          <a:solidFill>
                            <a:schemeClr val="bg1"/>
                          </a:solidFill>
                        </a:defRPr>
                      </a:pPr>
                      <a:t>[SERIES NAME]</a:t>
                    </a:fld>
                    <a:r>
                      <a:rPr lang="en-US" sz="1200" baseline="0"/>
                      <a:t>, </a:t>
                    </a:r>
                    <a:fld id="{50D3C790-073A-411A-95C4-F1ADD2D9E2EC}" type="VALUE">
                      <a:rPr lang="en-US" sz="1200" baseline="0"/>
                      <a:pPr>
                        <a:defRPr sz="1200" b="1">
                          <a:solidFill>
                            <a:schemeClr val="bg1"/>
                          </a:solidFill>
                        </a:defRPr>
                      </a:pPr>
                      <a:t>[VALUE]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2823654061635328"/>
                      <c:h val="0.10119548099965765"/>
                    </c:manualLayout>
                  </c15:layout>
                  <c15:dlblFieldTable/>
                  <c15:showDataLabelsRange val="1"/>
                </c:ext>
                <c:ext xmlns:c16="http://schemas.microsoft.com/office/drawing/2014/chart" uri="{C3380CC4-5D6E-409C-BE32-E72D297353CC}">
                  <c16:uniqueId val="{00000007-831C-4BF1-BB64-1CFCCD487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Chart!$BF$46</c:f>
              <c:numCache>
                <c:formatCode>_(* #,##0_);_(* \(#,##0\);_(* "-"??_);_(@_)</c:formatCode>
                <c:ptCount val="1"/>
                <c:pt idx="0">
                  <c:v>584.25002356238429</c:v>
                </c:pt>
              </c:numCache>
            </c:numRef>
          </c:val>
          <c:extLst>
            <c:ext xmlns:c15="http://schemas.microsoft.com/office/drawing/2012/chart" uri="{02D57815-91ED-43cb-92C2-25804820EDAC}">
              <c15:datalabelsRange>
                <c15:f>Chart!$BG$46</c15:f>
                <c15:dlblRangeCache>
                  <c:ptCount val="1"/>
                  <c:pt idx="0">
                    <c:v>46%</c:v>
                  </c:pt>
                </c15:dlblRangeCache>
              </c15:datalabelsRange>
            </c:ext>
            <c:ext xmlns:c16="http://schemas.microsoft.com/office/drawing/2014/chart" uri="{C3380CC4-5D6E-409C-BE32-E72D297353CC}">
              <c16:uniqueId val="{00000000-831C-4BF1-BB64-1CFCCD487185}"/>
            </c:ext>
          </c:extLst>
        </c:ser>
        <c:ser>
          <c:idx val="1"/>
          <c:order val="1"/>
          <c:tx>
            <c:strRef>
              <c:f>Chart!$BE$47</c:f>
              <c:strCache>
                <c:ptCount val="1"/>
                <c:pt idx="0">
                  <c:v>Chi phí sản xuất</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5A993A91-ED8F-4350-9FD1-9387735EC50C}" type="CELLRANGE">
                      <a:rPr lang="en-US" sz="1200" b="1" baseline="0"/>
                      <a:pPr>
                        <a:defRPr sz="1200" b="1">
                          <a:solidFill>
                            <a:schemeClr val="bg1"/>
                          </a:solidFill>
                        </a:defRPr>
                      </a:pPr>
                      <a:t>[CELLRANGE]</a:t>
                    </a:fld>
                    <a:r>
                      <a:rPr lang="en-US" sz="1200" b="1" baseline="0"/>
                      <a:t>, </a:t>
                    </a:r>
                    <a:fld id="{5CD1EF1E-55D1-45FF-ABFB-52CF5A9E3592}" type="SERIESNAME">
                      <a:rPr lang="en-US" sz="1200" b="1" baseline="0"/>
                      <a:pPr>
                        <a:defRPr sz="1200" b="1">
                          <a:solidFill>
                            <a:schemeClr val="bg1"/>
                          </a:solidFill>
                        </a:defRPr>
                      </a:pPr>
                      <a:t>[SERIES NAME]</a:t>
                    </a:fld>
                    <a:r>
                      <a:rPr lang="en-US" sz="1200" b="1" baseline="0"/>
                      <a:t>, </a:t>
                    </a:r>
                    <a:fld id="{704D8956-233C-47FB-9751-88F23131BAE6}"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11606741316089"/>
                      <c:h val="0.10119548099965765"/>
                    </c:manualLayout>
                  </c15:layout>
                  <c15:dlblFieldTable/>
                  <c15:showDataLabelsRange val="1"/>
                </c:ext>
                <c:ext xmlns:c16="http://schemas.microsoft.com/office/drawing/2014/chart" uri="{C3380CC4-5D6E-409C-BE32-E72D297353CC}">
                  <c16:uniqueId val="{00000008-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Chart!$BF$47</c:f>
              <c:numCache>
                <c:formatCode>_(* #,##0_);_(* \(#,##0\);_(* "-"??_);_(@_)</c:formatCode>
                <c:ptCount val="1"/>
                <c:pt idx="0">
                  <c:v>437.97215413372527</c:v>
                </c:pt>
              </c:numCache>
            </c:numRef>
          </c:val>
          <c:extLst>
            <c:ext xmlns:c15="http://schemas.microsoft.com/office/drawing/2012/chart" uri="{02D57815-91ED-43cb-92C2-25804820EDAC}">
              <c15:datalabelsRange>
                <c15:f>Chart!$BG$47</c15:f>
                <c15:dlblRangeCache>
                  <c:ptCount val="1"/>
                  <c:pt idx="0">
                    <c:v>35%</c:v>
                  </c:pt>
                </c15:dlblRangeCache>
              </c15:datalabelsRange>
            </c:ext>
            <c:ext xmlns:c16="http://schemas.microsoft.com/office/drawing/2014/chart" uri="{C3380CC4-5D6E-409C-BE32-E72D297353CC}">
              <c16:uniqueId val="{00000001-831C-4BF1-BB64-1CFCCD487185}"/>
            </c:ext>
          </c:extLst>
        </c:ser>
        <c:ser>
          <c:idx val="2"/>
          <c:order val="2"/>
          <c:tx>
            <c:strRef>
              <c:f>Chart!$BE$48</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FE4AC553-C847-4BAE-BA73-5A4ED8E1B16A}" type="CELLRANGE">
                      <a:rPr lang="en-US" b="1" baseline="0">
                        <a:solidFill>
                          <a:schemeClr val="bg1"/>
                        </a:solidFill>
                      </a:rPr>
                      <a:pPr>
                        <a:defRPr b="1">
                          <a:solidFill>
                            <a:schemeClr val="bg1"/>
                          </a:solidFill>
                        </a:defRPr>
                      </a:pPr>
                      <a:t>[CELLRANGE]</a:t>
                    </a:fld>
                    <a:r>
                      <a:rPr lang="en-US" b="1" baseline="0">
                        <a:solidFill>
                          <a:schemeClr val="bg1"/>
                        </a:solidFill>
                      </a:rPr>
                      <a:t>, </a:t>
                    </a:r>
                    <a:fld id="{E0C3E4F4-FEB7-4C6D-B75F-ADA1F80FE1B7}" type="SERIESNAME">
                      <a:rPr lang="en-US" b="1" baseline="0">
                        <a:solidFill>
                          <a:schemeClr val="bg1"/>
                        </a:solidFill>
                      </a:rPr>
                      <a:pPr>
                        <a:defRPr b="1">
                          <a:solidFill>
                            <a:schemeClr val="bg1"/>
                          </a:solidFill>
                        </a:defRPr>
                      </a:pPr>
                      <a:t>[SERIES NAME]</a:t>
                    </a:fld>
                    <a:r>
                      <a:rPr lang="en-US" b="1" baseline="0">
                        <a:solidFill>
                          <a:schemeClr val="bg1"/>
                        </a:solidFill>
                      </a:rPr>
                      <a:t>, </a:t>
                    </a:r>
                    <a:fld id="{4D7DEB1A-F05F-4546-83AA-F899710F83C1}"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175654609048596"/>
                      <c:h val="7.4733812949640294E-2"/>
                    </c:manualLayout>
                  </c15:layout>
                  <c15:dlblFieldTable/>
                  <c15:showDataLabelsRange val="1"/>
                </c:ext>
                <c:ext xmlns:c16="http://schemas.microsoft.com/office/drawing/2014/chart" uri="{C3380CC4-5D6E-409C-BE32-E72D297353CC}">
                  <c16:uniqueId val="{0000000C-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Chart!$BF$48</c:f>
              <c:numCache>
                <c:formatCode>_(* #,##0_);_(* \(#,##0\);_(* "-"??_);_(@_)</c:formatCode>
                <c:ptCount val="1"/>
                <c:pt idx="0">
                  <c:v>30.439850080353754</c:v>
                </c:pt>
              </c:numCache>
            </c:numRef>
          </c:val>
          <c:extLst>
            <c:ext xmlns:c15="http://schemas.microsoft.com/office/drawing/2012/chart" uri="{02D57815-91ED-43cb-92C2-25804820EDAC}">
              <c15:datalabelsRange>
                <c15:f>Chart!$BG$48</c15:f>
                <c15:dlblRangeCache>
                  <c:ptCount val="1"/>
                  <c:pt idx="0">
                    <c:v>2%</c:v>
                  </c:pt>
                </c15:dlblRangeCache>
              </c15:datalabelsRange>
            </c:ext>
            <c:ext xmlns:c16="http://schemas.microsoft.com/office/drawing/2014/chart" uri="{C3380CC4-5D6E-409C-BE32-E72D297353CC}">
              <c16:uniqueId val="{00000002-831C-4BF1-BB64-1CFCCD487185}"/>
            </c:ext>
          </c:extLst>
        </c:ser>
        <c:ser>
          <c:idx val="3"/>
          <c:order val="3"/>
          <c:tx>
            <c:strRef>
              <c:f>Chart!$BE$49</c:f>
              <c:strCache>
                <c:ptCount val="1"/>
                <c:pt idx="0">
                  <c:v>CP QL + bán hàng + lãi vay</c:v>
                </c:pt>
              </c:strCache>
            </c:strRef>
          </c:tx>
          <c:spPr>
            <a:solidFill>
              <a:schemeClr val="accent4"/>
            </a:solidFill>
            <a:ln>
              <a:noFill/>
            </a:ln>
            <a:effectLst/>
          </c:spPr>
          <c:invertIfNegative val="0"/>
          <c:dLbls>
            <c:dLbl>
              <c:idx val="0"/>
              <c:tx>
                <c:rich>
                  <a:bodyPr/>
                  <a:lstStyle/>
                  <a:p>
                    <a:fld id="{A9D39399-CE70-4769-A07E-0A0DF96DC19A}" type="CELLRANGE">
                      <a:rPr lang="en-US" baseline="0"/>
                      <a:pPr/>
                      <a:t>[CELLRANGE]</a:t>
                    </a:fld>
                    <a:r>
                      <a:rPr lang="en-US" baseline="0"/>
                      <a:t>, </a:t>
                    </a:r>
                    <a:fld id="{B030B467-C7E9-40FD-ABDC-A1DB5500729D}" type="SERIESNAME">
                      <a:rPr lang="en-US" baseline="0"/>
                      <a:pPr/>
                      <a:t>[SERIES NAME]</a:t>
                    </a:fld>
                    <a:r>
                      <a:rPr lang="en-US" baseline="0"/>
                      <a:t>, </a:t>
                    </a:r>
                    <a:fld id="{C64DB750-F20C-49A5-8B64-E3ACD97DEA6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5808294776318488"/>
                      <c:h val="0.13158294343641824"/>
                    </c:manualLayout>
                  </c15:layout>
                  <c15:dlblFieldTable/>
                  <c15:showDataLabelsRange val="1"/>
                </c:ext>
                <c:ext xmlns:c16="http://schemas.microsoft.com/office/drawing/2014/chart" uri="{C3380CC4-5D6E-409C-BE32-E72D297353CC}">
                  <c16:uniqueId val="{00000009-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Chart!$BF$49</c:f>
              <c:numCache>
                <c:formatCode>_(* #,##0_);_(* \(#,##0\);_(* "-"??_);_(@_)</c:formatCode>
                <c:ptCount val="1"/>
                <c:pt idx="0">
                  <c:v>140</c:v>
                </c:pt>
              </c:numCache>
            </c:numRef>
          </c:val>
          <c:extLst>
            <c:ext xmlns:c15="http://schemas.microsoft.com/office/drawing/2012/chart" uri="{02D57815-91ED-43cb-92C2-25804820EDAC}">
              <c15:datalabelsRange>
                <c15:f>Chart!$BG$49</c15:f>
                <c15:dlblRangeCache>
                  <c:ptCount val="1"/>
                  <c:pt idx="0">
                    <c:v>11%</c:v>
                  </c:pt>
                </c15:dlblRangeCache>
              </c15:datalabelsRange>
            </c:ext>
            <c:ext xmlns:c16="http://schemas.microsoft.com/office/drawing/2014/chart" uri="{C3380CC4-5D6E-409C-BE32-E72D297353CC}">
              <c16:uniqueId val="{00000003-831C-4BF1-BB64-1CFCCD487185}"/>
            </c:ext>
          </c:extLst>
        </c:ser>
        <c:ser>
          <c:idx val="4"/>
          <c:order val="4"/>
          <c:tx>
            <c:strRef>
              <c:f>Chart!$BE$50</c:f>
              <c:strCache>
                <c:ptCount val="1"/>
                <c:pt idx="0">
                  <c:v>Lợi nhuận MM</c:v>
                </c:pt>
              </c:strCache>
            </c:strRef>
          </c:tx>
          <c:spPr>
            <a:solidFill>
              <a:schemeClr val="accent5"/>
            </a:solidFill>
            <a:ln>
              <a:noFill/>
            </a:ln>
            <a:effectLst/>
          </c:spPr>
          <c:invertIfNegative val="0"/>
          <c:dLbls>
            <c:dLbl>
              <c:idx val="0"/>
              <c:tx>
                <c:rich>
                  <a:bodyPr/>
                  <a:lstStyle/>
                  <a:p>
                    <a:fld id="{8D65DAEE-04A4-47C5-8742-A904667C68F1}" type="CELLRANGE">
                      <a:rPr lang="en-US" baseline="0"/>
                      <a:pPr/>
                      <a:t>[CELLRANGE]</a:t>
                    </a:fld>
                    <a:r>
                      <a:rPr lang="en-US" baseline="0"/>
                      <a:t>, </a:t>
                    </a:r>
                    <a:fld id="{7BCCC66E-0DC9-4F01-82B3-671CA5BEA56E}" type="SERIESNAME">
                      <a:rPr lang="en-US" baseline="0"/>
                      <a:pPr/>
                      <a:t>[SERIES NAME]</a:t>
                    </a:fld>
                    <a:r>
                      <a:rPr lang="en-US" baseline="0"/>
                      <a:t>, </a:t>
                    </a:r>
                    <a:fld id="{83443425-5EC4-4FC5-A9CB-46960970370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1454703447645032"/>
                      <c:h val="9.1381490357183612E-2"/>
                    </c:manualLayout>
                  </c15:layout>
                  <c15:dlblFieldTable/>
                  <c15:showDataLabelsRange val="1"/>
                </c:ext>
                <c:ext xmlns:c16="http://schemas.microsoft.com/office/drawing/2014/chart" uri="{C3380CC4-5D6E-409C-BE32-E72D297353CC}">
                  <c16:uniqueId val="{0000000A-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Chart!$BF$50</c:f>
              <c:numCache>
                <c:formatCode>_(* #,##0_);_(* \(#,##0\);_(* "-"??_);_(@_)</c:formatCode>
                <c:ptCount val="1"/>
                <c:pt idx="0">
                  <c:v>70</c:v>
                </c:pt>
              </c:numCache>
            </c:numRef>
          </c:val>
          <c:extLst>
            <c:ext xmlns:c15="http://schemas.microsoft.com/office/drawing/2012/chart" uri="{02D57815-91ED-43cb-92C2-25804820EDAC}">
              <c15:datalabelsRange>
                <c15:f>Chart!$BG$50</c15:f>
                <c15:dlblRangeCache>
                  <c:ptCount val="1"/>
                  <c:pt idx="0">
                    <c:v>6%</c:v>
                  </c:pt>
                </c15:dlblRangeCache>
              </c15:datalabelsRange>
            </c:ext>
            <c:ext xmlns:c16="http://schemas.microsoft.com/office/drawing/2014/chart" uri="{C3380CC4-5D6E-409C-BE32-E72D297353CC}">
              <c16:uniqueId val="{00000004-831C-4BF1-BB64-1CFCCD487185}"/>
            </c:ext>
          </c:extLst>
        </c:ser>
        <c:ser>
          <c:idx val="5"/>
          <c:order val="5"/>
          <c:tx>
            <c:strRef>
              <c:f>Chart!$BE$51</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2C1DCF8-2340-46DD-A0B9-0264A246875C}" type="CELLRANGE">
                      <a:rPr lang="en-US" baseline="0">
                        <a:solidFill>
                          <a:schemeClr val="bg1"/>
                        </a:solidFill>
                      </a:rPr>
                      <a:pPr>
                        <a:defRPr>
                          <a:solidFill>
                            <a:schemeClr val="bg1"/>
                          </a:solidFill>
                        </a:defRPr>
                      </a:pPr>
                      <a:t>[CELLRANGE]</a:t>
                    </a:fld>
                    <a:r>
                      <a:rPr lang="en-US" baseline="0">
                        <a:solidFill>
                          <a:schemeClr val="bg1"/>
                        </a:solidFill>
                      </a:rPr>
                      <a:t>, </a:t>
                    </a:r>
                    <a:fld id="{28D1B168-458D-4AC3-BB76-1814AEFE2649}" type="SERIESNAME">
                      <a:rPr lang="en-US" baseline="0">
                        <a:solidFill>
                          <a:schemeClr val="bg1"/>
                        </a:solidFill>
                      </a:rPr>
                      <a:pPr>
                        <a:defRPr>
                          <a:solidFill>
                            <a:schemeClr val="bg1"/>
                          </a:solidFill>
                        </a:defRPr>
                      </a:pPr>
                      <a:t>[SERIES NAME]</a:t>
                    </a:fld>
                    <a:r>
                      <a:rPr lang="en-US" baseline="0">
                        <a:solidFill>
                          <a:schemeClr val="bg1"/>
                        </a:solidFill>
                      </a:rPr>
                      <a:t>, </a:t>
                    </a:r>
                    <a:fld id="{DD4D78A3-9A00-4082-BF1E-F274941C9CDC}"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4851521826954593"/>
                      <c:h val="5.8180227471566051E-2"/>
                    </c:manualLayout>
                  </c15:layout>
                  <c15:dlblFieldTable/>
                  <c15:showDataLabelsRange val="1"/>
                </c:ext>
                <c:ext xmlns:c16="http://schemas.microsoft.com/office/drawing/2014/chart" uri="{C3380CC4-5D6E-409C-BE32-E72D297353CC}">
                  <c16:uniqueId val="{0000000D-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Chart!$BF$51</c:f>
              <c:numCache>
                <c:formatCode>_(* #,##0_);_(* \(#,##0\);_(* "-"??_);_(@_)</c:formatCode>
                <c:ptCount val="1"/>
                <c:pt idx="0">
                  <c:v>14</c:v>
                </c:pt>
              </c:numCache>
            </c:numRef>
          </c:val>
          <c:extLst>
            <c:ext xmlns:c15="http://schemas.microsoft.com/office/drawing/2012/chart" uri="{02D57815-91ED-43cb-92C2-25804820EDAC}">
              <c15:datalabelsRange>
                <c15:f>Chart!$BG$51</c15:f>
                <c15:dlblRangeCache>
                  <c:ptCount val="1"/>
                  <c:pt idx="0">
                    <c:v>1%</c:v>
                  </c:pt>
                </c15:dlblRangeCache>
              </c15:datalabelsRange>
            </c:ext>
            <c:ext xmlns:c16="http://schemas.microsoft.com/office/drawing/2014/chart" uri="{C3380CC4-5D6E-409C-BE32-E72D297353CC}">
              <c16:uniqueId val="{00000005-831C-4BF1-BB64-1CFCCD487185}"/>
            </c:ext>
          </c:extLst>
        </c:ser>
        <c:ser>
          <c:idx val="6"/>
          <c:order val="6"/>
          <c:tx>
            <c:strRef>
              <c:f>Chart!$BE$52</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B-831C-4BF1-BB64-1CFCCD487185}"/>
              </c:ext>
            </c:extLst>
          </c:dPt>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B26E4A0D-05F4-4DB3-A503-565BE577D088}" type="CELLRANGE">
                      <a:rPr lang="en-US" b="1" baseline="0">
                        <a:solidFill>
                          <a:schemeClr val="bg1"/>
                        </a:solidFill>
                      </a:rPr>
                      <a:pPr>
                        <a:defRPr b="1">
                          <a:solidFill>
                            <a:schemeClr val="bg1"/>
                          </a:solidFill>
                        </a:defRPr>
                      </a:pPr>
                      <a:t>[CELLRANGE]</a:t>
                    </a:fld>
                    <a:r>
                      <a:rPr lang="en-US" b="1" baseline="0">
                        <a:solidFill>
                          <a:schemeClr val="bg1"/>
                        </a:solidFill>
                      </a:rPr>
                      <a:t>, </a:t>
                    </a:r>
                    <a:fld id="{A1D3DE2A-F774-4DB2-B35E-C4C3D7A22476}" type="SERIESNAME">
                      <a:rPr lang="en-US" b="1" baseline="0">
                        <a:solidFill>
                          <a:schemeClr val="bg1"/>
                        </a:solidFill>
                      </a:rPr>
                      <a:pPr>
                        <a:defRPr b="1">
                          <a:solidFill>
                            <a:schemeClr val="bg1"/>
                          </a:solidFill>
                        </a:defRPr>
                      </a:pPr>
                      <a:t>[SERIES NAME]</a:t>
                    </a:fld>
                    <a:r>
                      <a:rPr lang="en-US" b="1" baseline="0">
                        <a:solidFill>
                          <a:schemeClr val="bg1"/>
                        </a:solidFill>
                      </a:rPr>
                      <a:t>, </a:t>
                    </a:r>
                    <a:fld id="{D8F1C3E4-8E63-4F6A-BA7E-89C53B4AB5AC}"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80180805085717"/>
                      <c:h val="7.2310395983110801E-2"/>
                    </c:manualLayout>
                  </c15:layout>
                  <c15:dlblFieldTable/>
                  <c15:showDataLabelsRange val="1"/>
                </c:ext>
                <c:ext xmlns:c16="http://schemas.microsoft.com/office/drawing/2014/chart" uri="{C3380CC4-5D6E-409C-BE32-E72D297353CC}">
                  <c16:uniqueId val="{0000000B-831C-4BF1-BB64-1CFCCD4871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Chart!$BF$52</c:f>
              <c:numCache>
                <c:formatCode>_(* #,##0_);_(* \(#,##0\);_(* "-"??_);_(@_)</c:formatCode>
                <c:ptCount val="1"/>
                <c:pt idx="0">
                  <c:v>56</c:v>
                </c:pt>
              </c:numCache>
            </c:numRef>
          </c:val>
          <c:extLst>
            <c:ext xmlns:c15="http://schemas.microsoft.com/office/drawing/2012/chart" uri="{02D57815-91ED-43cb-92C2-25804820EDAC}">
              <c15:datalabelsRange>
                <c15:f>Chart!$BG$52</c15:f>
                <c15:dlblRangeCache>
                  <c:ptCount val="1"/>
                  <c:pt idx="0">
                    <c:v>4%</c:v>
                  </c:pt>
                </c15:dlblRangeCache>
              </c15:datalabelsRange>
            </c:ext>
            <c:ext xmlns:c16="http://schemas.microsoft.com/office/drawing/2014/chart" uri="{C3380CC4-5D6E-409C-BE32-E72D297353CC}">
              <c16:uniqueId val="{00000006-831C-4BF1-BB64-1CFCCD487185}"/>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iSS1084G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Chart!$BE$7</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fld id="{2231EFF7-F9C2-4849-9B41-417FED98DC65}" type="CELLRANGE">
                      <a:rPr lang="en-US" sz="1200" b="1" baseline="0"/>
                      <a:pPr>
                        <a:defRPr sz="1200" b="1">
                          <a:solidFill>
                            <a:schemeClr val="bg1"/>
                          </a:solidFill>
                        </a:defRPr>
                      </a:pPr>
                      <a:t>[CELLRANGE]</a:t>
                    </a:fld>
                    <a:r>
                      <a:rPr lang="en-US" sz="1200" b="1" baseline="0"/>
                      <a:t>, </a:t>
                    </a:r>
                    <a:fld id="{87C78DF1-3975-4F3D-8A55-71A0DDA05F62}" type="SERIESNAME">
                      <a:rPr lang="en-US" sz="1200" b="1" baseline="0"/>
                      <a:pPr>
                        <a:defRPr sz="1200" b="1">
                          <a:solidFill>
                            <a:schemeClr val="bg1"/>
                          </a:solidFill>
                        </a:defRPr>
                      </a:pPr>
                      <a:t>[SERIES NAME]</a:t>
                    </a:fld>
                    <a:r>
                      <a:rPr lang="en-US" sz="1200" b="1" baseline="0"/>
                      <a:t>, </a:t>
                    </a:r>
                    <a:fld id="{BFA967A6-C2B5-4531-BB70-B95014F514E7}"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991362190837259"/>
                      <c:h val="3.8558528232298092E-2"/>
                    </c:manualLayout>
                  </c15:layout>
                  <c15:dlblFieldTable/>
                  <c15:showDataLabelsRange val="1"/>
                </c:ext>
                <c:ext xmlns:c16="http://schemas.microsoft.com/office/drawing/2014/chart" uri="{C3380CC4-5D6E-409C-BE32-E72D297353CC}">
                  <c16:uniqueId val="{00000000-CEEC-49F0-87F1-316675A32C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Chart!$BF$7</c:f>
              <c:numCache>
                <c:formatCode>_(* #,##0_);_(* \(#,##0\);_(* "-"??_);_(@_)</c:formatCode>
                <c:ptCount val="1"/>
                <c:pt idx="0">
                  <c:v>597.18341139173708</c:v>
                </c:pt>
              </c:numCache>
            </c:numRef>
          </c:val>
          <c:extLst>
            <c:ext xmlns:c15="http://schemas.microsoft.com/office/drawing/2012/chart" uri="{02D57815-91ED-43cb-92C2-25804820EDAC}">
              <c15:datalabelsRange>
                <c15:f>Chart!$BG$7</c15:f>
                <c15:dlblRangeCache>
                  <c:ptCount val="1"/>
                  <c:pt idx="0">
                    <c:v>45%</c:v>
                  </c:pt>
                </c15:dlblRangeCache>
              </c15:datalabelsRange>
            </c:ext>
            <c:ext xmlns:c16="http://schemas.microsoft.com/office/drawing/2014/chart" uri="{C3380CC4-5D6E-409C-BE32-E72D297353CC}">
              <c16:uniqueId val="{00000001-CEEC-49F0-87F1-316675A32C6C}"/>
            </c:ext>
          </c:extLst>
        </c:ser>
        <c:ser>
          <c:idx val="1"/>
          <c:order val="1"/>
          <c:tx>
            <c:strRef>
              <c:f>Chart!$BE$8</c:f>
              <c:strCache>
                <c:ptCount val="1"/>
                <c:pt idx="0">
                  <c:v>Chi phí sản xuất</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CEEC-49F0-87F1-316675A32C6C}"/>
              </c:ext>
            </c:extLst>
          </c:dPt>
          <c:dLbls>
            <c:dLbl>
              <c:idx val="0"/>
              <c:tx>
                <c:rich>
                  <a:bodyPr/>
                  <a:lstStyle/>
                  <a:p>
                    <a:fld id="{92E708CF-F90E-4538-8EE3-B95EE2416DB3}" type="CELLRANGE">
                      <a:rPr lang="en-US" baseline="0"/>
                      <a:pPr/>
                      <a:t>[CELLRANGE]</a:t>
                    </a:fld>
                    <a:r>
                      <a:rPr lang="en-US" baseline="0"/>
                      <a:t>, </a:t>
                    </a:r>
                    <a:fld id="{8526CD14-2EEE-4470-85F5-0DC424D65D6D}" type="SERIESNAME">
                      <a:rPr lang="en-US" baseline="0"/>
                      <a:pPr/>
                      <a:t>[SERIES NAME]</a:t>
                    </a:fld>
                    <a:r>
                      <a:rPr lang="en-US" baseline="0"/>
                      <a:t>, </a:t>
                    </a:r>
                    <a:fld id="{A19F1381-3465-4B7A-B571-6DE717977E9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727672929772665"/>
                      <c:h val="5.6685595527324883E-2"/>
                    </c:manualLayout>
                  </c15:layout>
                  <c15:dlblFieldTable/>
                  <c15:showDataLabelsRange val="1"/>
                </c:ext>
                <c:ext xmlns:c16="http://schemas.microsoft.com/office/drawing/2014/chart" uri="{C3380CC4-5D6E-409C-BE32-E72D297353CC}">
                  <c16:uniqueId val="{00000002-CEEC-49F0-87F1-316675A32C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c:f>
              <c:numCache>
                <c:formatCode>_(* #,##0_);_(* \(#,##0\);_(* "-"??_);_(@_)</c:formatCode>
                <c:ptCount val="1"/>
                <c:pt idx="0">
                  <c:v>444.04791320121774</c:v>
                </c:pt>
              </c:numCache>
            </c:numRef>
          </c:val>
          <c:extLst>
            <c:ext xmlns:c15="http://schemas.microsoft.com/office/drawing/2012/chart" uri="{02D57815-91ED-43cb-92C2-25804820EDAC}">
              <c15:datalabelsRange>
                <c15:f>Chart!$BG$8</c15:f>
                <c15:dlblRangeCache>
                  <c:ptCount val="1"/>
                  <c:pt idx="0">
                    <c:v>34%</c:v>
                  </c:pt>
                </c15:dlblRangeCache>
              </c15:datalabelsRange>
            </c:ext>
            <c:ext xmlns:c16="http://schemas.microsoft.com/office/drawing/2014/chart" uri="{C3380CC4-5D6E-409C-BE32-E72D297353CC}">
              <c16:uniqueId val="{00000003-CEEC-49F0-87F1-316675A32C6C}"/>
            </c:ext>
          </c:extLst>
        </c:ser>
        <c:ser>
          <c:idx val="2"/>
          <c:order val="2"/>
          <c:tx>
            <c:strRef>
              <c:f>Chart!$BE$9</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40E6729-DD40-4B46-8C16-DDDD4EE6BA54}" type="CELLRANGE">
                      <a:rPr lang="en-US" b="1" baseline="0">
                        <a:solidFill>
                          <a:schemeClr val="bg1"/>
                        </a:solidFill>
                      </a:rPr>
                      <a:pPr>
                        <a:defRPr b="1">
                          <a:solidFill>
                            <a:schemeClr val="bg1"/>
                          </a:solidFill>
                        </a:defRPr>
                      </a:pPr>
                      <a:t>[CELLRANGE]</a:t>
                    </a:fld>
                    <a:r>
                      <a:rPr lang="en-US" b="1" baseline="0">
                        <a:solidFill>
                          <a:schemeClr val="bg1"/>
                        </a:solidFill>
                      </a:rPr>
                      <a:t>, </a:t>
                    </a:r>
                    <a:fld id="{91369C4B-1D36-4513-A6CE-0F7D4CABC776}" type="SERIESNAME">
                      <a:rPr lang="en-US" b="1" baseline="0">
                        <a:solidFill>
                          <a:schemeClr val="bg1"/>
                        </a:solidFill>
                      </a:rPr>
                      <a:pPr>
                        <a:defRPr b="1">
                          <a:solidFill>
                            <a:schemeClr val="bg1"/>
                          </a:solidFill>
                        </a:defRPr>
                      </a:pPr>
                      <a:t>[SERIES NAME]</a:t>
                    </a:fld>
                    <a:r>
                      <a:rPr lang="en-US" b="1" baseline="0">
                        <a:solidFill>
                          <a:schemeClr val="bg1"/>
                        </a:solidFill>
                      </a:rPr>
                      <a:t>, </a:t>
                    </a:r>
                    <a:fld id="{10B158D6-FC8F-41C5-BAA5-E195796B7675}"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9797814207650273"/>
                      <c:h val="5.6685584562996598E-2"/>
                    </c:manualLayout>
                  </c15:layout>
                  <c15:dlblFieldTable/>
                  <c15:showDataLabelsRange val="1"/>
                </c:ext>
                <c:ext xmlns:c16="http://schemas.microsoft.com/office/drawing/2014/chart" uri="{C3380CC4-5D6E-409C-BE32-E72D297353CC}">
                  <c16:uniqueId val="{00000004-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Chart!$BF$9</c:f>
              <c:numCache>
                <c:formatCode>_(* #,##0_);_(* \(#,##0\);_(* "-"??_);_(@_)</c:formatCode>
                <c:ptCount val="1"/>
                <c:pt idx="0">
                  <c:v>31.382513561719055</c:v>
                </c:pt>
              </c:numCache>
            </c:numRef>
          </c:val>
          <c:extLst>
            <c:ext xmlns:c15="http://schemas.microsoft.com/office/drawing/2012/chart" uri="{02D57815-91ED-43cb-92C2-25804820EDAC}">
              <c15:datalabelsRange>
                <c15:f>Chart!$BG$9</c15:f>
                <c15:dlblRangeCache>
                  <c:ptCount val="1"/>
                  <c:pt idx="0">
                    <c:v>2%</c:v>
                  </c:pt>
                </c15:dlblRangeCache>
              </c15:datalabelsRange>
            </c:ext>
            <c:ext xmlns:c16="http://schemas.microsoft.com/office/drawing/2014/chart" uri="{C3380CC4-5D6E-409C-BE32-E72D297353CC}">
              <c16:uniqueId val="{00000005-CEEC-49F0-87F1-316675A32C6C}"/>
            </c:ext>
          </c:extLst>
        </c:ser>
        <c:ser>
          <c:idx val="3"/>
          <c:order val="3"/>
          <c:tx>
            <c:strRef>
              <c:f>Chart!$BE$10</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A21A3ABA-BA6A-4B13-8D97-8515B0896B07}" type="CELLRANGE">
                      <a:rPr lang="en-US" sz="1100" baseline="0">
                        <a:solidFill>
                          <a:schemeClr val="bg1"/>
                        </a:solidFill>
                      </a:rPr>
                      <a:pPr>
                        <a:defRPr sz="1100" b="1">
                          <a:solidFill>
                            <a:schemeClr val="bg1"/>
                          </a:solidFill>
                        </a:defRPr>
                      </a:pPr>
                      <a:t>[CELLRANGE]</a:t>
                    </a:fld>
                    <a:r>
                      <a:rPr lang="en-US" sz="1100" baseline="0">
                        <a:solidFill>
                          <a:schemeClr val="bg1"/>
                        </a:solidFill>
                      </a:rPr>
                      <a:t>, </a:t>
                    </a:r>
                    <a:fld id="{E4A3973C-5450-41E5-9AB0-AED7FEA48DE5}" type="SERIESNAME">
                      <a:rPr lang="en-US" sz="1100" baseline="0">
                        <a:solidFill>
                          <a:schemeClr val="bg1"/>
                        </a:solidFill>
                      </a:rPr>
                      <a:pPr>
                        <a:defRPr sz="1100" b="1">
                          <a:solidFill>
                            <a:schemeClr val="bg1"/>
                          </a:solidFill>
                        </a:defRPr>
                      </a:pPr>
                      <a:t>[SERIES NAME]</a:t>
                    </a:fld>
                    <a:r>
                      <a:rPr lang="en-US" sz="1100" baseline="0">
                        <a:solidFill>
                          <a:schemeClr val="bg1"/>
                        </a:solidFill>
                      </a:rPr>
                      <a:t>, </a:t>
                    </a:r>
                    <a:fld id="{94A2ED73-3174-4F64-9792-088BD9C564F6}" type="VALUE">
                      <a:rPr lang="en-US" sz="1100" baseline="0">
                        <a:solidFill>
                          <a:schemeClr val="bg1"/>
                        </a:solidFill>
                      </a:rPr>
                      <a:pPr>
                        <a:defRPr sz="1100" b="1">
                          <a:solidFill>
                            <a:schemeClr val="bg1"/>
                          </a:solidFill>
                        </a:defRPr>
                      </a:pPr>
                      <a:t>[VALUE]</a:t>
                    </a:fld>
                    <a:endParaRPr lang="en-US" sz="11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474121290394257"/>
                      <c:h val="5.6685595527324883E-2"/>
                    </c:manualLayout>
                  </c15:layout>
                  <c15:dlblFieldTable/>
                  <c15:showDataLabelsRange val="1"/>
                </c:ext>
                <c:ext xmlns:c16="http://schemas.microsoft.com/office/drawing/2014/chart" uri="{C3380CC4-5D6E-409C-BE32-E72D297353CC}">
                  <c16:uniqueId val="{00000006-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Chart!$BF$10</c:f>
              <c:numCache>
                <c:formatCode>_(* #,##0_);_(* \(#,##0\);_(* "-"??_);_(@_)</c:formatCode>
                <c:ptCount val="1"/>
                <c:pt idx="0">
                  <c:v>140</c:v>
                </c:pt>
              </c:numCache>
            </c:numRef>
          </c:val>
          <c:extLst>
            <c:ext xmlns:c15="http://schemas.microsoft.com/office/drawing/2012/chart" uri="{02D57815-91ED-43cb-92C2-25804820EDAC}">
              <c15:datalabelsRange>
                <c15:f>Chart!$BG$10</c15:f>
                <c15:dlblRangeCache>
                  <c:ptCount val="1"/>
                  <c:pt idx="0">
                    <c:v>11%</c:v>
                  </c:pt>
                </c15:dlblRangeCache>
              </c15:datalabelsRange>
            </c:ext>
            <c:ext xmlns:c16="http://schemas.microsoft.com/office/drawing/2014/chart" uri="{C3380CC4-5D6E-409C-BE32-E72D297353CC}">
              <c16:uniqueId val="{00000007-CEEC-49F0-87F1-316675A32C6C}"/>
            </c:ext>
          </c:extLst>
        </c:ser>
        <c:ser>
          <c:idx val="4"/>
          <c:order val="4"/>
          <c:tx>
            <c:strRef>
              <c:f>Chart!$BE$11</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BF47924-5EC0-4623-BB5A-6A8ADB1D149D}" type="CELLRANGE">
                      <a:rPr lang="en-US" b="1" baseline="0">
                        <a:solidFill>
                          <a:schemeClr val="bg1"/>
                        </a:solidFill>
                      </a:rPr>
                      <a:pPr>
                        <a:defRPr b="1">
                          <a:solidFill>
                            <a:schemeClr val="bg1"/>
                          </a:solidFill>
                        </a:defRPr>
                      </a:pPr>
                      <a:t>[CELLRANGE]</a:t>
                    </a:fld>
                    <a:r>
                      <a:rPr lang="en-US" b="1" baseline="0">
                        <a:solidFill>
                          <a:schemeClr val="bg1"/>
                        </a:solidFill>
                      </a:rPr>
                      <a:t>, </a:t>
                    </a:r>
                    <a:fld id="{7489C738-14A9-4901-9843-4F20B23FF624}" type="SERIESNAME">
                      <a:rPr lang="en-US" b="1" baseline="0">
                        <a:solidFill>
                          <a:schemeClr val="bg1"/>
                        </a:solidFill>
                      </a:rPr>
                      <a:pPr>
                        <a:defRPr b="1">
                          <a:solidFill>
                            <a:schemeClr val="bg1"/>
                          </a:solidFill>
                        </a:defRPr>
                      </a:pPr>
                      <a:t>[SERIES NAME]</a:t>
                    </a:fld>
                    <a:r>
                      <a:rPr lang="en-US" b="1" baseline="0">
                        <a:solidFill>
                          <a:schemeClr val="bg1"/>
                        </a:solidFill>
                      </a:rPr>
                      <a:t>, </a:t>
                    </a:r>
                    <a:fld id="{0EC7B6A3-A742-455C-AD1A-258E47689125}"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5826491975388325"/>
                      <c:h val="5.6685584562996598E-2"/>
                    </c:manualLayout>
                  </c15:layout>
                  <c15:dlblFieldTable/>
                  <c15:showDataLabelsRange val="1"/>
                </c:ext>
                <c:ext xmlns:c16="http://schemas.microsoft.com/office/drawing/2014/chart" uri="{C3380CC4-5D6E-409C-BE32-E72D297353CC}">
                  <c16:uniqueId val="{00000008-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Chart!$BF$11</c:f>
              <c:numCache>
                <c:formatCode>_(* #,##0_);_(* \(#,##0\);_(* "-"??_);_(@_)</c:formatCode>
                <c:ptCount val="1"/>
                <c:pt idx="0">
                  <c:v>100</c:v>
                </c:pt>
              </c:numCache>
            </c:numRef>
          </c:val>
          <c:extLst>
            <c:ext xmlns:c15="http://schemas.microsoft.com/office/drawing/2012/chart" uri="{02D57815-91ED-43cb-92C2-25804820EDAC}">
              <c15:datalabelsRange>
                <c15:f>Chart!$BG$11</c15:f>
                <c15:dlblRangeCache>
                  <c:ptCount val="1"/>
                  <c:pt idx="0">
                    <c:v>8%</c:v>
                  </c:pt>
                </c15:dlblRangeCache>
              </c15:datalabelsRange>
            </c:ext>
            <c:ext xmlns:c16="http://schemas.microsoft.com/office/drawing/2014/chart" uri="{C3380CC4-5D6E-409C-BE32-E72D297353CC}">
              <c16:uniqueId val="{00000009-CEEC-49F0-87F1-316675A32C6C}"/>
            </c:ext>
          </c:extLst>
        </c:ser>
        <c:ser>
          <c:idx val="5"/>
          <c:order val="5"/>
          <c:tx>
            <c:strRef>
              <c:f>Chart!$BE$12</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F3D2422-70D6-4718-8D27-EC040B6E883F}" type="CELLRANGE">
                      <a:rPr lang="en-US" baseline="0">
                        <a:solidFill>
                          <a:schemeClr val="bg1"/>
                        </a:solidFill>
                      </a:rPr>
                      <a:pPr>
                        <a:defRPr>
                          <a:solidFill>
                            <a:schemeClr val="bg1"/>
                          </a:solidFill>
                        </a:defRPr>
                      </a:pPr>
                      <a:t>[CELLRANGE]</a:t>
                    </a:fld>
                    <a:r>
                      <a:rPr lang="en-US" baseline="0">
                        <a:solidFill>
                          <a:schemeClr val="bg1"/>
                        </a:solidFill>
                      </a:rPr>
                      <a:t>, </a:t>
                    </a:r>
                    <a:fld id="{791F8C9E-F5FD-4563-BAD2-58B95B71FC9D}" type="SERIESNAME">
                      <a:rPr lang="en-US" baseline="0">
                        <a:solidFill>
                          <a:schemeClr val="bg1"/>
                        </a:solidFill>
                      </a:rPr>
                      <a:pPr>
                        <a:defRPr>
                          <a:solidFill>
                            <a:schemeClr val="bg1"/>
                          </a:solidFill>
                        </a:defRPr>
                      </a:pPr>
                      <a:t>[SERIES NAME]</a:t>
                    </a:fld>
                    <a:r>
                      <a:rPr lang="en-US" baseline="0">
                        <a:solidFill>
                          <a:schemeClr val="bg1"/>
                        </a:solidFill>
                      </a:rPr>
                      <a:t>, </a:t>
                    </a:r>
                    <a:fld id="{C611D930-9B3A-4092-8AEB-52877998F563}"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4188524590163932"/>
                      <c:h val="3.1748102996773525E-2"/>
                    </c:manualLayout>
                  </c15:layout>
                  <c15:dlblFieldTable/>
                  <c15:showDataLabelsRange val="1"/>
                </c:ext>
                <c:ext xmlns:c16="http://schemas.microsoft.com/office/drawing/2014/chart" uri="{C3380CC4-5D6E-409C-BE32-E72D297353CC}">
                  <c16:uniqueId val="{0000000A-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Chart!$BF$12</c:f>
              <c:numCache>
                <c:formatCode>_(* #,##0_);_(* \(#,##0\);_(* "-"??_);_(@_)</c:formatCode>
                <c:ptCount val="1"/>
                <c:pt idx="0">
                  <c:v>20</c:v>
                </c:pt>
              </c:numCache>
            </c:numRef>
          </c:val>
          <c:extLst>
            <c:ext xmlns:c15="http://schemas.microsoft.com/office/drawing/2012/chart" uri="{02D57815-91ED-43cb-92C2-25804820EDAC}">
              <c15:datalabelsRange>
                <c15:f>Chart!$BG$12</c15:f>
                <c15:dlblRangeCache>
                  <c:ptCount val="1"/>
                  <c:pt idx="0">
                    <c:v>2%</c:v>
                  </c:pt>
                </c15:dlblRangeCache>
              </c15:datalabelsRange>
            </c:ext>
            <c:ext xmlns:c16="http://schemas.microsoft.com/office/drawing/2014/chart" uri="{C3380CC4-5D6E-409C-BE32-E72D297353CC}">
              <c16:uniqueId val="{0000000B-CEEC-49F0-87F1-316675A32C6C}"/>
            </c:ext>
          </c:extLst>
        </c:ser>
        <c:ser>
          <c:idx val="6"/>
          <c:order val="6"/>
          <c:tx>
            <c:strRef>
              <c:f>Chart!$BE$13</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C-CEEC-49F0-87F1-316675A32C6C}"/>
              </c:ext>
            </c:extLst>
          </c:dPt>
          <c:dLbls>
            <c:dLbl>
              <c:idx val="0"/>
              <c:tx>
                <c:rich>
                  <a:bodyPr/>
                  <a:lstStyle/>
                  <a:p>
                    <a:fld id="{8497B254-4E0A-4D68-9080-C02881EB4A03}" type="CELLRANGE">
                      <a:rPr lang="en-US" baseline="0">
                        <a:solidFill>
                          <a:schemeClr val="bg1"/>
                        </a:solidFill>
                      </a:rPr>
                      <a:pPr/>
                      <a:t>[CELLRANGE]</a:t>
                    </a:fld>
                    <a:r>
                      <a:rPr lang="en-US" baseline="0">
                        <a:solidFill>
                          <a:schemeClr val="bg1"/>
                        </a:solidFill>
                      </a:rPr>
                      <a:t>, </a:t>
                    </a:r>
                    <a:fld id="{A6E867E7-889B-436F-858B-2E3B9D7B9249}" type="SERIESNAME">
                      <a:rPr lang="en-US" baseline="0">
                        <a:solidFill>
                          <a:schemeClr val="bg1"/>
                        </a:solidFill>
                      </a:rPr>
                      <a:pPr/>
                      <a:t>[SERIES NAME]</a:t>
                    </a:fld>
                    <a:r>
                      <a:rPr lang="en-US" baseline="0">
                        <a:solidFill>
                          <a:schemeClr val="bg1"/>
                        </a:solidFill>
                      </a:rPr>
                      <a:t>, </a:t>
                    </a:r>
                    <a:fld id="{7B1CF2C6-2B45-4887-8089-949E7658379D}" type="VALUE">
                      <a:rPr lang="en-US" baseline="0">
                        <a:solidFill>
                          <a:schemeClr val="bg1"/>
                        </a:solidFill>
                      </a:rPr>
                      <a:pPr/>
                      <a:t>[VALUE]</a:t>
                    </a:fld>
                    <a:endParaRPr lang="en-US" baseline="0">
                      <a:solidFill>
                        <a:schemeClr val="bg1"/>
                      </a:solidFill>
                    </a:endParaRPr>
                  </a:p>
                </c:rich>
              </c:tx>
              <c:showLegendKey val="0"/>
              <c:showVal val="1"/>
              <c:showCatName val="0"/>
              <c:showSerName val="1"/>
              <c:showPercent val="0"/>
              <c:showBubbleSize val="0"/>
              <c:extLst>
                <c:ext xmlns:c15="http://schemas.microsoft.com/office/drawing/2012/chart" uri="{CE6537A1-D6FC-4f65-9D91-7224C49458BB}">
                  <c15:layout>
                    <c:manualLayout>
                      <c:w val="0.46349484092266247"/>
                      <c:h val="5.6685595527324883E-2"/>
                    </c:manualLayout>
                  </c15:layout>
                  <c15:dlblFieldTable/>
                  <c15:showDataLabelsRange val="1"/>
                </c:ext>
                <c:ext xmlns:c16="http://schemas.microsoft.com/office/drawing/2014/chart" uri="{C3380CC4-5D6E-409C-BE32-E72D297353CC}">
                  <c16:uniqueId val="{0000000C-CEEC-49F0-87F1-316675A32C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Chart!$BF$13</c:f>
              <c:numCache>
                <c:formatCode>_(* #,##0_);_(* \(#,##0\);_(* "-"??_);_(@_)</c:formatCode>
                <c:ptCount val="1"/>
                <c:pt idx="0">
                  <c:v>80</c:v>
                </c:pt>
              </c:numCache>
            </c:numRef>
          </c:val>
          <c:extLst>
            <c:ext xmlns:c15="http://schemas.microsoft.com/office/drawing/2012/chart" uri="{02D57815-91ED-43cb-92C2-25804820EDAC}">
              <c15:datalabelsRange>
                <c15:f>Chart!$BG$52</c15:f>
                <c15:dlblRangeCache>
                  <c:ptCount val="1"/>
                  <c:pt idx="0">
                    <c:v>4%</c:v>
                  </c:pt>
                </c15:dlblRangeCache>
              </c15:datalabelsRange>
            </c:ext>
            <c:ext xmlns:c16="http://schemas.microsoft.com/office/drawing/2014/chart" uri="{C3380CC4-5D6E-409C-BE32-E72D297353CC}">
              <c16:uniqueId val="{0000000D-CEEC-49F0-87F1-316675A32C6C}"/>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WSS03G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213920163766633"/>
          <c:w val="0.80896738343331476"/>
          <c:h val="0.78053578768365317"/>
        </c:manualLayout>
      </c:layout>
      <c:barChart>
        <c:barDir val="col"/>
        <c:grouping val="percentStacked"/>
        <c:varyColors val="0"/>
        <c:ser>
          <c:idx val="0"/>
          <c:order val="0"/>
          <c:tx>
            <c:strRef>
              <c:f>Chart!$BE$127</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DDBE15AA-DA4D-4EAE-A3D7-C97CF926A84A}"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784ABDDA-AC0F-482D-A0C6-74C4511CE374}"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62F86503-0E46-4B0E-B4FC-F7A6453E5B13}"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126830346593902"/>
                      <c:h val="2.8628535046220548E-2"/>
                    </c:manualLayout>
                  </c15:layout>
                  <c15:dlblFieldTable/>
                  <c15:showDataLabelsRange val="1"/>
                </c:ext>
                <c:ext xmlns:c16="http://schemas.microsoft.com/office/drawing/2014/chart" uri="{C3380CC4-5D6E-409C-BE32-E72D297353CC}">
                  <c16:uniqueId val="{00000007-A3D9-491C-A0B9-CDE1BC4CDF2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Chart!$BF$127</c:f>
              <c:numCache>
                <c:formatCode>_(* #,##0_);_(* \(#,##0\);_(* "-"??_);_(@_)</c:formatCode>
                <c:ptCount val="1"/>
                <c:pt idx="0">
                  <c:v>554.7920391810876</c:v>
                </c:pt>
              </c:numCache>
            </c:numRef>
          </c:val>
          <c:extLst>
            <c:ext xmlns:c15="http://schemas.microsoft.com/office/drawing/2012/chart" uri="{02D57815-91ED-43cb-92C2-25804820EDAC}">
              <c15:datalabelsRange>
                <c15:f>Chart!$BG$127</c15:f>
                <c15:dlblRangeCache>
                  <c:ptCount val="1"/>
                  <c:pt idx="0">
                    <c:v>48%</c:v>
                  </c:pt>
                </c15:dlblRangeCache>
              </c15:datalabelsRange>
            </c:ext>
            <c:ext xmlns:c16="http://schemas.microsoft.com/office/drawing/2014/chart" uri="{C3380CC4-5D6E-409C-BE32-E72D297353CC}">
              <c16:uniqueId val="{00000000-A3D9-491C-A0B9-CDE1BC4CDF2E}"/>
            </c:ext>
          </c:extLst>
        </c:ser>
        <c:ser>
          <c:idx val="1"/>
          <c:order val="1"/>
          <c:tx>
            <c:strRef>
              <c:f>Chart!$BE$128</c:f>
              <c:strCache>
                <c:ptCount val="1"/>
                <c:pt idx="0">
                  <c:v>Chi phí sản xuất</c:v>
                </c:pt>
              </c:strCache>
            </c:strRef>
          </c:tx>
          <c:spPr>
            <a:solidFill>
              <a:srgbClr val="FFC000"/>
            </a:solidFill>
            <a:ln>
              <a:noFill/>
            </a:ln>
            <a:effectLst/>
          </c:spPr>
          <c:invertIfNegative val="0"/>
          <c:dLbls>
            <c:dLbl>
              <c:idx val="0"/>
              <c:tx>
                <c:rich>
                  <a:bodyPr/>
                  <a:lstStyle/>
                  <a:p>
                    <a:fld id="{812A6363-CBA5-4C3A-9905-50325F4DB557}" type="CELLRANGE">
                      <a:rPr lang="en-US" baseline="0"/>
                      <a:pPr/>
                      <a:t>[CELLRANGE]</a:t>
                    </a:fld>
                    <a:r>
                      <a:rPr lang="en-US" baseline="0"/>
                      <a:t>, </a:t>
                    </a:r>
                    <a:fld id="{7ED9119F-BB94-46EC-A152-1161A741AEE1}" type="SERIESNAME">
                      <a:rPr lang="en-US" baseline="0"/>
                      <a:pPr/>
                      <a:t>[SERIES NAME]</a:t>
                    </a:fld>
                    <a:r>
                      <a:rPr lang="en-US" baseline="0"/>
                      <a:t>, </a:t>
                    </a:r>
                    <a:fld id="{98AFF90F-409A-4A5E-B6E9-F3D26DC25BA7}"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0849966842237657"/>
                      <c:h val="7.3602946509884831E-2"/>
                    </c:manualLayout>
                  </c15:layout>
                  <c15:dlblFieldTable/>
                  <c15:showDataLabelsRange val="1"/>
                </c:ext>
                <c:ext xmlns:c16="http://schemas.microsoft.com/office/drawing/2014/chart" uri="{C3380CC4-5D6E-409C-BE32-E72D297353CC}">
                  <c16:uniqueId val="{00000008-A3D9-491C-A0B9-CDE1BC4CDF2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Chart!$BF$128</c:f>
              <c:numCache>
                <c:formatCode>_(* #,##0_);_(* \(#,##0\);_(* "-"??_);_(@_)</c:formatCode>
                <c:ptCount val="1"/>
                <c:pt idx="0">
                  <c:v>388.06046319877612</c:v>
                </c:pt>
              </c:numCache>
            </c:numRef>
          </c:val>
          <c:extLst>
            <c:ext xmlns:c15="http://schemas.microsoft.com/office/drawing/2012/chart" uri="{02D57815-91ED-43cb-92C2-25804820EDAC}">
              <c15:datalabelsRange>
                <c15:f>Chart!$BG$128</c15:f>
                <c15:dlblRangeCache>
                  <c:ptCount val="1"/>
                  <c:pt idx="0">
                    <c:v>33%</c:v>
                  </c:pt>
                </c15:dlblRangeCache>
              </c15:datalabelsRange>
            </c:ext>
            <c:ext xmlns:c16="http://schemas.microsoft.com/office/drawing/2014/chart" uri="{C3380CC4-5D6E-409C-BE32-E72D297353CC}">
              <c16:uniqueId val="{00000001-A3D9-491C-A0B9-CDE1BC4CDF2E}"/>
            </c:ext>
          </c:extLst>
        </c:ser>
        <c:ser>
          <c:idx val="2"/>
          <c:order val="2"/>
          <c:tx>
            <c:strRef>
              <c:f>Chart!$BE$129</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E800F09C-B999-439F-9178-94897166F286}" type="CELLRANGE">
                      <a:rPr lang="en-US" b="1" baseline="0">
                        <a:solidFill>
                          <a:schemeClr val="bg1"/>
                        </a:solidFill>
                      </a:rPr>
                      <a:pPr>
                        <a:defRPr b="1">
                          <a:solidFill>
                            <a:schemeClr val="bg1"/>
                          </a:solidFill>
                        </a:defRPr>
                      </a:pPr>
                      <a:t>[CELLRANGE]</a:t>
                    </a:fld>
                    <a:r>
                      <a:rPr lang="en-US" b="1" baseline="0">
                        <a:solidFill>
                          <a:schemeClr val="bg1"/>
                        </a:solidFill>
                      </a:rPr>
                      <a:t>, </a:t>
                    </a:r>
                    <a:fld id="{83298852-098E-49A7-A2B0-FF4C511A5318}" type="SERIESNAME">
                      <a:rPr lang="en-US" b="1" baseline="0">
                        <a:solidFill>
                          <a:schemeClr val="bg1"/>
                        </a:solidFill>
                      </a:rPr>
                      <a:pPr>
                        <a:defRPr b="1">
                          <a:solidFill>
                            <a:schemeClr val="bg1"/>
                          </a:solidFill>
                        </a:defRPr>
                      </a:pPr>
                      <a:t>[SERIES NAME]</a:t>
                    </a:fld>
                    <a:r>
                      <a:rPr lang="en-US" b="1" baseline="0">
                        <a:solidFill>
                          <a:schemeClr val="bg1"/>
                        </a:solidFill>
                      </a:rPr>
                      <a:t>, </a:t>
                    </a:r>
                    <a:fld id="{90339661-0179-4477-A579-067A08DC2F23}"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5314632863534848"/>
                      <c:h val="4.9068577277379732E-2"/>
                    </c:manualLayout>
                  </c15:layout>
                  <c15:dlblFieldTable/>
                  <c15:showDataLabelsRange val="1"/>
                </c:ext>
                <c:ext xmlns:c16="http://schemas.microsoft.com/office/drawing/2014/chart" uri="{C3380CC4-5D6E-409C-BE32-E72D297353CC}">
                  <c16:uniqueId val="{00000009-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Chart!$BF$129</c:f>
              <c:numCache>
                <c:formatCode>_(* #,##0_);_(* \(#,##0\);_(* "-"??_);_(@_)</c:formatCode>
                <c:ptCount val="1"/>
                <c:pt idx="0">
                  <c:v>28.292774118720978</c:v>
                </c:pt>
              </c:numCache>
            </c:numRef>
          </c:val>
          <c:extLst>
            <c:ext xmlns:c15="http://schemas.microsoft.com/office/drawing/2012/chart" uri="{02D57815-91ED-43cb-92C2-25804820EDAC}">
              <c15:datalabelsRange>
                <c15:f>Chart!$BG$129</c15:f>
                <c15:dlblRangeCache>
                  <c:ptCount val="1"/>
                  <c:pt idx="0">
                    <c:v>2%</c:v>
                  </c:pt>
                </c15:dlblRangeCache>
              </c15:datalabelsRange>
            </c:ext>
            <c:ext xmlns:c16="http://schemas.microsoft.com/office/drawing/2014/chart" uri="{C3380CC4-5D6E-409C-BE32-E72D297353CC}">
              <c16:uniqueId val="{00000002-A3D9-491C-A0B9-CDE1BC4CDF2E}"/>
            </c:ext>
          </c:extLst>
        </c:ser>
        <c:ser>
          <c:idx val="3"/>
          <c:order val="3"/>
          <c:tx>
            <c:strRef>
              <c:f>Chart!$BE$130</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D5A1ECC5-F871-4652-A8F3-1D14636B36FB}"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0F115872-C0FF-453A-95FB-DC4D224A9421}"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AD9E1B2D-1562-4821-9BB3-92FF7AC9BC51}"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066810985509675"/>
                      <c:h val="2.8628535046220548E-2"/>
                    </c:manualLayout>
                  </c15:layout>
                  <c15:dlblFieldTable/>
                  <c15:showDataLabelsRange val="1"/>
                </c:ext>
                <c:ext xmlns:c16="http://schemas.microsoft.com/office/drawing/2014/chart" uri="{C3380CC4-5D6E-409C-BE32-E72D297353CC}">
                  <c16:uniqueId val="{0000000A-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Chart!$BF$130</c:f>
              <c:numCache>
                <c:formatCode>_(* #,##0_);_(* \(#,##0\);_(* "-"??_);_(@_)</c:formatCode>
                <c:ptCount val="1"/>
                <c:pt idx="0">
                  <c:v>140</c:v>
                </c:pt>
              </c:numCache>
            </c:numRef>
          </c:val>
          <c:extLst>
            <c:ext xmlns:c15="http://schemas.microsoft.com/office/drawing/2012/chart" uri="{02D57815-91ED-43cb-92C2-25804820EDAC}">
              <c15:datalabelsRange>
                <c15:f>Chart!$BG$130</c15:f>
                <c15:dlblRangeCache>
                  <c:ptCount val="1"/>
                  <c:pt idx="0">
                    <c:v>12%</c:v>
                  </c:pt>
                </c15:dlblRangeCache>
              </c15:datalabelsRange>
            </c:ext>
            <c:ext xmlns:c16="http://schemas.microsoft.com/office/drawing/2014/chart" uri="{C3380CC4-5D6E-409C-BE32-E72D297353CC}">
              <c16:uniqueId val="{00000003-A3D9-491C-A0B9-CDE1BC4CDF2E}"/>
            </c:ext>
          </c:extLst>
        </c:ser>
        <c:ser>
          <c:idx val="4"/>
          <c:order val="4"/>
          <c:tx>
            <c:strRef>
              <c:f>Chart!$BE$131</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A7B5FCF3-1A3F-42C6-9218-4B7675F28782}" type="CELLRANGE">
                      <a:rPr lang="en-US" baseline="0">
                        <a:solidFill>
                          <a:schemeClr val="bg1"/>
                        </a:solidFill>
                      </a:rPr>
                      <a:pPr>
                        <a:defRPr>
                          <a:solidFill>
                            <a:schemeClr val="bg1"/>
                          </a:solidFill>
                        </a:defRPr>
                      </a:pPr>
                      <a:t>[CELLRANGE]</a:t>
                    </a:fld>
                    <a:r>
                      <a:rPr lang="en-US" baseline="0">
                        <a:solidFill>
                          <a:schemeClr val="bg1"/>
                        </a:solidFill>
                      </a:rPr>
                      <a:t>, </a:t>
                    </a:r>
                    <a:fld id="{7BCBC7D7-7AE1-44DE-9590-C735F57C0FF9}" type="SERIESNAME">
                      <a:rPr lang="en-US" baseline="0">
                        <a:solidFill>
                          <a:schemeClr val="bg1"/>
                        </a:solidFill>
                      </a:rPr>
                      <a:pPr>
                        <a:defRPr>
                          <a:solidFill>
                            <a:schemeClr val="bg1"/>
                          </a:solidFill>
                        </a:defRPr>
                      </a:pPr>
                      <a:t>[SERIES NAME]</a:t>
                    </a:fld>
                    <a:r>
                      <a:rPr lang="en-US" baseline="0">
                        <a:solidFill>
                          <a:schemeClr val="bg1"/>
                        </a:solidFill>
                      </a:rPr>
                      <a:t>, </a:t>
                    </a:r>
                    <a:fld id="{960C9B64-628C-4C21-8CCC-D751A2588BA9}"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7165552515035331"/>
                      <c:h val="4.2958115394224637E-2"/>
                    </c:manualLayout>
                  </c15:layout>
                  <c15:dlblFieldTable/>
                  <c15:showDataLabelsRange val="1"/>
                </c:ext>
                <c:ext xmlns:c16="http://schemas.microsoft.com/office/drawing/2014/chart" uri="{C3380CC4-5D6E-409C-BE32-E72D297353CC}">
                  <c16:uniqueId val="{0000000B-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Chart!$BF$131</c:f>
              <c:numCache>
                <c:formatCode>_(* #,##0_);_(* \(#,##0\);_(* "-"??_);_(@_)</c:formatCode>
                <c:ptCount val="1"/>
                <c:pt idx="0">
                  <c:v>50</c:v>
                </c:pt>
              </c:numCache>
            </c:numRef>
          </c:val>
          <c:extLst>
            <c:ext xmlns:c15="http://schemas.microsoft.com/office/drawing/2012/chart" uri="{02D57815-91ED-43cb-92C2-25804820EDAC}">
              <c15:datalabelsRange>
                <c15:f>Chart!$BG$131</c15:f>
                <c15:dlblRangeCache>
                  <c:ptCount val="1"/>
                  <c:pt idx="0">
                    <c:v>4%</c:v>
                  </c:pt>
                </c15:dlblRangeCache>
              </c15:datalabelsRange>
            </c:ext>
            <c:ext xmlns:c16="http://schemas.microsoft.com/office/drawing/2014/chart" uri="{C3380CC4-5D6E-409C-BE32-E72D297353CC}">
              <c16:uniqueId val="{00000004-A3D9-491C-A0B9-CDE1BC4CDF2E}"/>
            </c:ext>
          </c:extLst>
        </c:ser>
        <c:ser>
          <c:idx val="5"/>
          <c:order val="5"/>
          <c:tx>
            <c:strRef>
              <c:f>Chart!$BE$132</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2935EE9-9385-4601-B729-806F67850000}" type="CELLRANGE">
                      <a:rPr lang="en-US" baseline="0">
                        <a:solidFill>
                          <a:schemeClr val="bg1"/>
                        </a:solidFill>
                      </a:rPr>
                      <a:pPr>
                        <a:defRPr>
                          <a:solidFill>
                            <a:schemeClr val="bg1"/>
                          </a:solidFill>
                        </a:defRPr>
                      </a:pPr>
                      <a:t>[CELLRANGE]</a:t>
                    </a:fld>
                    <a:r>
                      <a:rPr lang="en-US" baseline="0">
                        <a:solidFill>
                          <a:schemeClr val="bg1"/>
                        </a:solidFill>
                      </a:rPr>
                      <a:t>, </a:t>
                    </a:r>
                    <a:fld id="{4427CEFF-3556-4A19-A5BD-51D1CF64DEAE}" type="SERIESNAME">
                      <a:rPr lang="en-US" baseline="0">
                        <a:solidFill>
                          <a:schemeClr val="bg1"/>
                        </a:solidFill>
                      </a:rPr>
                      <a:pPr>
                        <a:defRPr>
                          <a:solidFill>
                            <a:schemeClr val="bg1"/>
                          </a:solidFill>
                        </a:defRPr>
                      </a:pPr>
                      <a:t>[SERIES NAME]</a:t>
                    </a:fld>
                    <a:r>
                      <a:rPr lang="en-US" baseline="0">
                        <a:solidFill>
                          <a:schemeClr val="bg1"/>
                        </a:solidFill>
                      </a:rPr>
                      <a:t>, </a:t>
                    </a:r>
                    <a:fld id="{AC9A4E91-F422-43CD-9602-D373EF29D261}"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9808340511163115"/>
                      <c:h val="2.8628535046220548E-2"/>
                    </c:manualLayout>
                  </c15:layout>
                  <c15:dlblFieldTable/>
                  <c15:showDataLabelsRange val="1"/>
                </c:ext>
                <c:ext xmlns:c16="http://schemas.microsoft.com/office/drawing/2014/chart" uri="{C3380CC4-5D6E-409C-BE32-E72D297353CC}">
                  <c16:uniqueId val="{0000000C-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Chart!$BF$132</c:f>
              <c:numCache>
                <c:formatCode>_(* #,##0_);_(* \(#,##0\);_(* "-"??_);_(@_)</c:formatCode>
                <c:ptCount val="1"/>
                <c:pt idx="0">
                  <c:v>10</c:v>
                </c:pt>
              </c:numCache>
            </c:numRef>
          </c:val>
          <c:extLst>
            <c:ext xmlns:c15="http://schemas.microsoft.com/office/drawing/2012/chart" uri="{02D57815-91ED-43cb-92C2-25804820EDAC}">
              <c15:datalabelsRange>
                <c15:f>Chart!$BG$132</c15:f>
                <c15:dlblRangeCache>
                  <c:ptCount val="1"/>
                  <c:pt idx="0">
                    <c:v>1%</c:v>
                  </c:pt>
                </c15:dlblRangeCache>
              </c15:datalabelsRange>
            </c:ext>
            <c:ext xmlns:c16="http://schemas.microsoft.com/office/drawing/2014/chart" uri="{C3380CC4-5D6E-409C-BE32-E72D297353CC}">
              <c16:uniqueId val="{00000005-A3D9-491C-A0B9-CDE1BC4CDF2E}"/>
            </c:ext>
          </c:extLst>
        </c:ser>
        <c:ser>
          <c:idx val="6"/>
          <c:order val="6"/>
          <c:tx>
            <c:strRef>
              <c:f>Chart!$BE$133</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D-A3D9-491C-A0B9-CDE1BC4CDF2E}"/>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72397DC-35AB-4CBD-934B-B40BC1B21B3A}" type="CELLRANGE">
                      <a:rPr lang="en-US" b="1" baseline="0">
                        <a:solidFill>
                          <a:schemeClr val="bg1"/>
                        </a:solidFill>
                      </a:rPr>
                      <a:pPr>
                        <a:defRPr b="1">
                          <a:solidFill>
                            <a:schemeClr val="bg1"/>
                          </a:solidFill>
                        </a:defRPr>
                      </a:pPr>
                      <a:t>[CELLRANGE]</a:t>
                    </a:fld>
                    <a:r>
                      <a:rPr lang="en-US" b="1" baseline="0">
                        <a:solidFill>
                          <a:schemeClr val="bg1"/>
                        </a:solidFill>
                      </a:rPr>
                      <a:t>, </a:t>
                    </a:r>
                    <a:fld id="{7A0BB6A2-17C7-468D-B759-5F9B81D97233}" type="SERIESNAME">
                      <a:rPr lang="en-US" b="1" baseline="0">
                        <a:solidFill>
                          <a:schemeClr val="bg1"/>
                        </a:solidFill>
                      </a:rPr>
                      <a:pPr>
                        <a:defRPr b="1">
                          <a:solidFill>
                            <a:schemeClr val="bg1"/>
                          </a:solidFill>
                        </a:defRPr>
                      </a:pPr>
                      <a:t>[SERIES NAME]</a:t>
                    </a:fld>
                    <a:r>
                      <a:rPr lang="en-US" b="1" baseline="0">
                        <a:solidFill>
                          <a:schemeClr val="bg1"/>
                        </a:solidFill>
                      </a:rPr>
                      <a:t>, </a:t>
                    </a:r>
                    <a:fld id="{83EE7DB9-7C54-45E2-AFFA-06415D7A837E}"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458872940979177"/>
                      <c:h val="2.8628535046220548E-2"/>
                    </c:manualLayout>
                  </c15:layout>
                  <c15:dlblFieldTable/>
                  <c15:showDataLabelsRange val="1"/>
                </c:ext>
                <c:ext xmlns:c16="http://schemas.microsoft.com/office/drawing/2014/chart" uri="{C3380CC4-5D6E-409C-BE32-E72D297353CC}">
                  <c16:uniqueId val="{0000000D-A3D9-491C-A0B9-CDE1BC4CD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Chart!$BF$133</c:f>
              <c:numCache>
                <c:formatCode>_(* #,##0_);_(* \(#,##0\);_(* "-"??_);_(@_)</c:formatCode>
                <c:ptCount val="1"/>
                <c:pt idx="0">
                  <c:v>40</c:v>
                </c:pt>
              </c:numCache>
            </c:numRef>
          </c:val>
          <c:extLst>
            <c:ext xmlns:c15="http://schemas.microsoft.com/office/drawing/2012/chart" uri="{02D57815-91ED-43cb-92C2-25804820EDAC}">
              <c15:datalabelsRange>
                <c15:f>Chart!$BG$133</c15:f>
                <c15:dlblRangeCache>
                  <c:ptCount val="1"/>
                  <c:pt idx="0">
                    <c:v>3%</c:v>
                  </c:pt>
                </c15:dlblRangeCache>
              </c15:datalabelsRange>
            </c:ext>
            <c:ext xmlns:c16="http://schemas.microsoft.com/office/drawing/2014/chart" uri="{C3380CC4-5D6E-409C-BE32-E72D297353CC}">
              <c16:uniqueId val="{00000006-A3D9-491C-A0B9-CDE1BC4CDF2E}"/>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WSS01G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385955654147184"/>
          <c:y val="0.15865590696190601"/>
          <c:w val="0.76477905174133931"/>
          <c:h val="0.79575919722741839"/>
        </c:manualLayout>
      </c:layout>
      <c:barChart>
        <c:barDir val="col"/>
        <c:grouping val="percentStacked"/>
        <c:varyColors val="0"/>
        <c:ser>
          <c:idx val="0"/>
          <c:order val="0"/>
          <c:tx>
            <c:strRef>
              <c:f>Chart!$BE$82</c:f>
              <c:strCache>
                <c:ptCount val="1"/>
                <c:pt idx="0">
                  <c:v>Chi phí NVL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0-1B45-4A53-9B01-8F0E2FE8FE2F}"/>
              </c:ext>
            </c:extLst>
          </c:dPt>
          <c:dLbls>
            <c:dLbl>
              <c:idx val="0"/>
              <c:layout>
                <c:manualLayout>
                  <c:x val="1.1764555122604639E-2"/>
                  <c:y val="0"/>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fld id="{3C334DC0-C446-4CC1-AA9A-8C34ADE5FE5D}"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E0E75E67-50FB-4FC4-9BF2-028F21B8878E}"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79CD6D51-053A-4F12-A783-F88795870EDD}"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117480042451753"/>
                      <c:h val="2.6581401081770855E-2"/>
                    </c:manualLayout>
                  </c15:layout>
                  <c15:dlblFieldTable/>
                  <c15:showDataLabelsRange val="1"/>
                </c:ext>
                <c:ext xmlns:c16="http://schemas.microsoft.com/office/drawing/2014/chart" uri="{C3380CC4-5D6E-409C-BE32-E72D297353CC}">
                  <c16:uniqueId val="{00000000-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Chart!$BF$82</c:f>
              <c:numCache>
                <c:formatCode>_(* #,##0_);_(* \(#,##0\);_(* "-"??_);_(@_)</c:formatCode>
                <c:ptCount val="1"/>
                <c:pt idx="0">
                  <c:v>569.52103137173594</c:v>
                </c:pt>
              </c:numCache>
            </c:numRef>
          </c:val>
          <c:extLst>
            <c:ext xmlns:c15="http://schemas.microsoft.com/office/drawing/2012/chart" uri="{02D57815-91ED-43cb-92C2-25804820EDAC}">
              <c15:datalabelsRange>
                <c15:f>Chart!$BG$82</c15:f>
                <c15:dlblRangeCache>
                  <c:ptCount val="1"/>
                  <c:pt idx="0">
                    <c:v>48%</c:v>
                  </c:pt>
                </c15:dlblRangeCache>
              </c15:datalabelsRange>
            </c:ext>
            <c:ext xmlns:c16="http://schemas.microsoft.com/office/drawing/2014/chart" uri="{C3380CC4-5D6E-409C-BE32-E72D297353CC}">
              <c16:uniqueId val="{00000001-1B45-4A53-9B01-8F0E2FE8FE2F}"/>
            </c:ext>
          </c:extLst>
        </c:ser>
        <c:ser>
          <c:idx val="1"/>
          <c:order val="1"/>
          <c:tx>
            <c:strRef>
              <c:f>Chart!$BE$83</c:f>
              <c:strCache>
                <c:ptCount val="1"/>
                <c:pt idx="0">
                  <c:v>Chi phí sản xuất</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319D73CD-FEEC-48AA-AEE6-479E8BB7D845}" type="CELLRANGE">
                      <a:rPr lang="en-US" sz="1200" baseline="0">
                        <a:solidFill>
                          <a:schemeClr val="bg1"/>
                        </a:solidFill>
                      </a:rPr>
                      <a:pPr>
                        <a:defRPr sz="1200" b="1">
                          <a:solidFill>
                            <a:schemeClr val="bg1"/>
                          </a:solidFill>
                        </a:defRPr>
                      </a:pPr>
                      <a:t>[CELLRANGE]</a:t>
                    </a:fld>
                    <a:r>
                      <a:rPr lang="en-US" sz="1200" baseline="0">
                        <a:solidFill>
                          <a:schemeClr val="bg1"/>
                        </a:solidFill>
                      </a:rPr>
                      <a:t>, </a:t>
                    </a:r>
                    <a:fld id="{7EAA9890-8293-4C18-88B6-979C63291438}" type="SERIESNAME">
                      <a:rPr lang="en-US" sz="1200" baseline="0">
                        <a:solidFill>
                          <a:schemeClr val="bg1"/>
                        </a:solidFill>
                      </a:rPr>
                      <a:pPr>
                        <a:defRPr sz="1200" b="1">
                          <a:solidFill>
                            <a:schemeClr val="bg1"/>
                          </a:solidFill>
                        </a:defRPr>
                      </a:pPr>
                      <a:t>[SERIES NAME]</a:t>
                    </a:fld>
                    <a:r>
                      <a:rPr lang="en-US" sz="1200" baseline="0">
                        <a:solidFill>
                          <a:schemeClr val="bg1"/>
                        </a:solidFill>
                      </a:rPr>
                      <a:t>, </a:t>
                    </a:r>
                    <a:fld id="{3851FD37-8230-46D1-9711-20D9EA91E250}" type="VALUE">
                      <a:rPr lang="en-US" sz="1200" baseline="0">
                        <a:solidFill>
                          <a:schemeClr val="bg1"/>
                        </a:solidFill>
                      </a:rPr>
                      <a:pPr>
                        <a:defRPr sz="1200" b="1">
                          <a:solidFill>
                            <a:schemeClr val="bg1"/>
                          </a:solidFill>
                        </a:defRPr>
                      </a:pPr>
                      <a:t>[VALUE]</a:t>
                    </a:fld>
                    <a:endParaRPr lang="en-US" sz="12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970900099089108"/>
                      <c:h val="2.8628500166760919E-2"/>
                    </c:manualLayout>
                  </c15:layout>
                  <c15:dlblFieldTable/>
                  <c15:showDataLabelsRange val="1"/>
                </c:ext>
                <c:ext xmlns:c16="http://schemas.microsoft.com/office/drawing/2014/chart" uri="{C3380CC4-5D6E-409C-BE32-E72D297353CC}">
                  <c16:uniqueId val="{00000002-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Chart!$BF$83</c:f>
              <c:numCache>
                <c:formatCode>_(* #,##0_);_(* \(#,##0\);_(* "-"??_);_(@_)</c:formatCode>
                <c:ptCount val="1"/>
                <c:pt idx="0">
                  <c:v>394.97974908412294</c:v>
                </c:pt>
              </c:numCache>
            </c:numRef>
          </c:val>
          <c:extLst>
            <c:ext xmlns:c15="http://schemas.microsoft.com/office/drawing/2012/chart" uri="{02D57815-91ED-43cb-92C2-25804820EDAC}">
              <c15:datalabelsRange>
                <c15:f>Chart!$BG$83</c15:f>
                <c15:dlblRangeCache>
                  <c:ptCount val="1"/>
                  <c:pt idx="0">
                    <c:v>33%</c:v>
                  </c:pt>
                </c15:dlblRangeCache>
              </c15:datalabelsRange>
            </c:ext>
            <c:ext xmlns:c16="http://schemas.microsoft.com/office/drawing/2014/chart" uri="{C3380CC4-5D6E-409C-BE32-E72D297353CC}">
              <c16:uniqueId val="{00000003-1B45-4A53-9B01-8F0E2FE8FE2F}"/>
            </c:ext>
          </c:extLst>
        </c:ser>
        <c:ser>
          <c:idx val="2"/>
          <c:order val="2"/>
          <c:tx>
            <c:strRef>
              <c:f>Chart!$BE$84</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A21762E-1075-4669-8B9E-F585535E4282}" type="CELLRANGE">
                      <a:rPr lang="en-US" b="1" baseline="0">
                        <a:solidFill>
                          <a:schemeClr val="bg1"/>
                        </a:solidFill>
                      </a:rPr>
                      <a:pPr>
                        <a:defRPr b="1">
                          <a:solidFill>
                            <a:schemeClr val="bg1"/>
                          </a:solidFill>
                        </a:defRPr>
                      </a:pPr>
                      <a:t>[CELLRANGE]</a:t>
                    </a:fld>
                    <a:r>
                      <a:rPr lang="en-US" b="1" baseline="0">
                        <a:solidFill>
                          <a:schemeClr val="bg1"/>
                        </a:solidFill>
                      </a:rPr>
                      <a:t>, </a:t>
                    </a:r>
                    <a:fld id="{B81D2DBC-DC44-42A1-8372-9898D32C63BB}" type="SERIESNAME">
                      <a:rPr lang="en-US" b="1" baseline="0">
                        <a:solidFill>
                          <a:schemeClr val="bg1"/>
                        </a:solidFill>
                      </a:rPr>
                      <a:pPr>
                        <a:defRPr b="1">
                          <a:solidFill>
                            <a:schemeClr val="bg1"/>
                          </a:solidFill>
                        </a:defRPr>
                      </a:pPr>
                      <a:t>[SERIES NAME]</a:t>
                    </a:fld>
                    <a:r>
                      <a:rPr lang="en-US" b="1" baseline="0">
                        <a:solidFill>
                          <a:schemeClr val="bg1"/>
                        </a:solidFill>
                      </a:rPr>
                      <a:t>, </a:t>
                    </a:r>
                    <a:fld id="{4004B5CE-FA37-4499-BFE9-D3DA1B526E47}"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0280750966148593"/>
                      <c:h val="5.1115660184237459E-2"/>
                    </c:manualLayout>
                  </c15:layout>
                  <c15:dlblFieldTable/>
                  <c15:showDataLabelsRange val="1"/>
                </c:ext>
                <c:ext xmlns:c16="http://schemas.microsoft.com/office/drawing/2014/chart" uri="{C3380CC4-5D6E-409C-BE32-E72D297353CC}">
                  <c16:uniqueId val="{00000004-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Chart!$BF$84</c:f>
              <c:numCache>
                <c:formatCode>_(* #,##0_);_(* \(#,##0\);_(* "-"??_);_(@_)</c:formatCode>
                <c:ptCount val="1"/>
                <c:pt idx="0">
                  <c:v>29.366312099537371</c:v>
                </c:pt>
              </c:numCache>
            </c:numRef>
          </c:val>
          <c:extLst>
            <c:ext xmlns:c15="http://schemas.microsoft.com/office/drawing/2012/chart" uri="{02D57815-91ED-43cb-92C2-25804820EDAC}">
              <c15:datalabelsRange>
                <c15:f>Chart!$BG$84</c15:f>
                <c15:dlblRangeCache>
                  <c:ptCount val="1"/>
                  <c:pt idx="0">
                    <c:v>2%</c:v>
                  </c:pt>
                </c15:dlblRangeCache>
              </c15:datalabelsRange>
            </c:ext>
            <c:ext xmlns:c16="http://schemas.microsoft.com/office/drawing/2014/chart" uri="{C3380CC4-5D6E-409C-BE32-E72D297353CC}">
              <c16:uniqueId val="{00000005-1B45-4A53-9B01-8F0E2FE8FE2F}"/>
            </c:ext>
          </c:extLst>
        </c:ser>
        <c:ser>
          <c:idx val="3"/>
          <c:order val="3"/>
          <c:tx>
            <c:strRef>
              <c:f>Chart!$BE$85</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43A52623-1875-4418-A648-5E1BEA8A22E6}" type="CELLRANGE">
                      <a:rPr lang="en-US" sz="1050" b="1" baseline="0">
                        <a:solidFill>
                          <a:schemeClr val="bg1"/>
                        </a:solidFill>
                      </a:rPr>
                      <a:pPr>
                        <a:defRPr sz="1050" b="1">
                          <a:solidFill>
                            <a:schemeClr val="bg1"/>
                          </a:solidFill>
                        </a:defRPr>
                      </a:pPr>
                      <a:t>[CELLRANGE]</a:t>
                    </a:fld>
                    <a:r>
                      <a:rPr lang="en-US" sz="1050" b="1" baseline="0">
                        <a:solidFill>
                          <a:schemeClr val="bg1"/>
                        </a:solidFill>
                      </a:rPr>
                      <a:t>, </a:t>
                    </a:r>
                    <a:fld id="{E0EE9D06-F427-413E-A08F-E73DB2C617A9}" type="SERIESNAME">
                      <a:rPr lang="en-US" sz="1050" b="1" baseline="0">
                        <a:solidFill>
                          <a:schemeClr val="bg1"/>
                        </a:solidFill>
                      </a:rPr>
                      <a:pPr>
                        <a:defRPr sz="1050" b="1">
                          <a:solidFill>
                            <a:schemeClr val="bg1"/>
                          </a:solidFill>
                        </a:defRPr>
                      </a:pPr>
                      <a:t>[SERIES NAME]</a:t>
                    </a:fld>
                    <a:r>
                      <a:rPr lang="en-US" sz="1050" b="1" baseline="0">
                        <a:solidFill>
                          <a:schemeClr val="bg1"/>
                        </a:solidFill>
                      </a:rPr>
                      <a:t>, </a:t>
                    </a:r>
                    <a:fld id="{6BB3541C-BCE2-4C4A-810D-EA422E773F97}" type="VALUE">
                      <a:rPr lang="en-US" sz="1050" b="1" baseline="0">
                        <a:solidFill>
                          <a:schemeClr val="bg1"/>
                        </a:solidFill>
                      </a:rPr>
                      <a:pPr>
                        <a:defRPr sz="1050" b="1">
                          <a:solidFill>
                            <a:schemeClr val="bg1"/>
                          </a:solidFill>
                        </a:defRPr>
                      </a:pPr>
                      <a:t>[VALUE]</a:t>
                    </a:fld>
                    <a:endParaRPr lang="en-US" sz="105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273572726130213"/>
                      <c:h val="2.8628500166760919E-2"/>
                    </c:manualLayout>
                  </c15:layout>
                  <c15:dlblFieldTable/>
                  <c15:showDataLabelsRange val="1"/>
                </c:ext>
                <c:ext xmlns:c16="http://schemas.microsoft.com/office/drawing/2014/chart" uri="{C3380CC4-5D6E-409C-BE32-E72D297353CC}">
                  <c16:uniqueId val="{00000006-1B45-4A53-9B01-8F0E2FE8FE2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Chart!$BF$85</c:f>
              <c:numCache>
                <c:formatCode>_(* #,##0_);_(* \(#,##0\);_(* "-"??_);_(@_)</c:formatCode>
                <c:ptCount val="1"/>
                <c:pt idx="0">
                  <c:v>140</c:v>
                </c:pt>
              </c:numCache>
            </c:numRef>
          </c:val>
          <c:extLst>
            <c:ext xmlns:c15="http://schemas.microsoft.com/office/drawing/2012/chart" uri="{02D57815-91ED-43cb-92C2-25804820EDAC}">
              <c15:datalabelsRange>
                <c15:f>Chart!$BG$85</c15:f>
                <c15:dlblRangeCache>
                  <c:ptCount val="1"/>
                  <c:pt idx="0">
                    <c:v>12%</c:v>
                  </c:pt>
                </c15:dlblRangeCache>
              </c15:datalabelsRange>
            </c:ext>
            <c:ext xmlns:c16="http://schemas.microsoft.com/office/drawing/2014/chart" uri="{C3380CC4-5D6E-409C-BE32-E72D297353CC}">
              <c16:uniqueId val="{00000007-1B45-4A53-9B01-8F0E2FE8FE2F}"/>
            </c:ext>
          </c:extLst>
        </c:ser>
        <c:ser>
          <c:idx val="4"/>
          <c:order val="4"/>
          <c:tx>
            <c:strRef>
              <c:f>Chart!$BE$86</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60629A6-940C-4F3E-B0BD-28553E3C452F}" type="CELLRANGE">
                      <a:rPr lang="en-US" baseline="0">
                        <a:solidFill>
                          <a:schemeClr val="bg1"/>
                        </a:solidFill>
                      </a:rPr>
                      <a:pPr>
                        <a:defRPr>
                          <a:solidFill>
                            <a:schemeClr val="bg1"/>
                          </a:solidFill>
                        </a:defRPr>
                      </a:pPr>
                      <a:t>[CELLRANGE]</a:t>
                    </a:fld>
                    <a:r>
                      <a:rPr lang="en-US" baseline="0">
                        <a:solidFill>
                          <a:schemeClr val="bg1"/>
                        </a:solidFill>
                      </a:rPr>
                      <a:t>, </a:t>
                    </a:r>
                    <a:fld id="{FEB7ADD2-B438-4EA9-B5C6-B21DAE58D6B3}" type="SERIESNAME">
                      <a:rPr lang="en-US" baseline="0">
                        <a:solidFill>
                          <a:schemeClr val="bg1"/>
                        </a:solidFill>
                      </a:rPr>
                      <a:pPr>
                        <a:defRPr>
                          <a:solidFill>
                            <a:schemeClr val="bg1"/>
                          </a:solidFill>
                        </a:defRPr>
                      </a:pPr>
                      <a:t>[SERIES NAME]</a:t>
                    </a:fld>
                    <a:r>
                      <a:rPr lang="en-US" baseline="0">
                        <a:solidFill>
                          <a:schemeClr val="bg1"/>
                        </a:solidFill>
                      </a:rPr>
                      <a:t>, </a:t>
                    </a:r>
                    <a:fld id="{01490187-5FB1-4BD0-823C-86D4E8C9FE89}"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872232089091479"/>
                      <c:h val="2.8628535046220548E-2"/>
                    </c:manualLayout>
                  </c15:layout>
                  <c15:dlblFieldTable/>
                  <c15:showDataLabelsRange val="1"/>
                </c:ext>
                <c:ext xmlns:c16="http://schemas.microsoft.com/office/drawing/2014/chart" uri="{C3380CC4-5D6E-409C-BE32-E72D297353CC}">
                  <c16:uniqueId val="{00000008-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Chart!$BF$86</c:f>
              <c:numCache>
                <c:formatCode>_(* #,##0_);_(* \(#,##0\);_(* "-"??_);_(@_)</c:formatCode>
                <c:ptCount val="1"/>
                <c:pt idx="0">
                  <c:v>50</c:v>
                </c:pt>
              </c:numCache>
            </c:numRef>
          </c:val>
          <c:extLst>
            <c:ext xmlns:c15="http://schemas.microsoft.com/office/drawing/2012/chart" uri="{02D57815-91ED-43cb-92C2-25804820EDAC}">
              <c15:datalabelsRange>
                <c15:f>Chart!$BG$86</c15:f>
                <c15:dlblRangeCache>
                  <c:ptCount val="1"/>
                  <c:pt idx="0">
                    <c:v>4%</c:v>
                  </c:pt>
                </c15:dlblRangeCache>
              </c15:datalabelsRange>
            </c:ext>
            <c:ext xmlns:c16="http://schemas.microsoft.com/office/drawing/2014/chart" uri="{C3380CC4-5D6E-409C-BE32-E72D297353CC}">
              <c16:uniqueId val="{00000009-1B45-4A53-9B01-8F0E2FE8FE2F}"/>
            </c:ext>
          </c:extLst>
        </c:ser>
        <c:ser>
          <c:idx val="5"/>
          <c:order val="5"/>
          <c:tx>
            <c:strRef>
              <c:f>Chart!$BE$87</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3798F42F-9C51-4A9B-ADCB-23DA3DAB7FB2}" type="CELLRANGE">
                      <a:rPr lang="en-US" baseline="0"/>
                      <a:pPr>
                        <a:defRPr>
                          <a:solidFill>
                            <a:schemeClr val="bg1"/>
                          </a:solidFill>
                        </a:defRPr>
                      </a:pPr>
                      <a:t>[CELLRANGE]</a:t>
                    </a:fld>
                    <a:r>
                      <a:rPr lang="en-US" baseline="0"/>
                      <a:t>, </a:t>
                    </a:r>
                    <a:fld id="{DE13400D-B074-4A64-8621-B27E0225D751}" type="SERIESNAME">
                      <a:rPr lang="en-US" baseline="0"/>
                      <a:pPr>
                        <a:defRPr>
                          <a:solidFill>
                            <a:schemeClr val="bg1"/>
                          </a:solidFill>
                        </a:defRPr>
                      </a:pPr>
                      <a:t>[SERIES NAME]</a:t>
                    </a:fld>
                    <a:r>
                      <a:rPr lang="en-US" baseline="0"/>
                      <a:t>, </a:t>
                    </a:r>
                    <a:fld id="{435131FB-F0B1-4716-AEB5-AC1C047132E6}"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3577163371055544"/>
                      <c:h val="3.0857876190890504E-2"/>
                    </c:manualLayout>
                  </c15:layout>
                  <c15:dlblFieldTable/>
                  <c15:showDataLabelsRange val="1"/>
                </c:ext>
                <c:ext xmlns:c16="http://schemas.microsoft.com/office/drawing/2014/chart" uri="{C3380CC4-5D6E-409C-BE32-E72D297353CC}">
                  <c16:uniqueId val="{0000000A-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Chart!$BF$87</c:f>
              <c:numCache>
                <c:formatCode>_(* #,##0_);_(* \(#,##0\);_(* "-"??_);_(@_)</c:formatCode>
                <c:ptCount val="1"/>
                <c:pt idx="0">
                  <c:v>10</c:v>
                </c:pt>
              </c:numCache>
            </c:numRef>
          </c:val>
          <c:extLst>
            <c:ext xmlns:c15="http://schemas.microsoft.com/office/drawing/2012/chart" uri="{02D57815-91ED-43cb-92C2-25804820EDAC}">
              <c15:datalabelsRange>
                <c15:f>Chart!$BG$87</c15:f>
                <c15:dlblRangeCache>
                  <c:ptCount val="1"/>
                  <c:pt idx="0">
                    <c:v>1%</c:v>
                  </c:pt>
                </c15:dlblRangeCache>
              </c15:datalabelsRange>
            </c:ext>
            <c:ext xmlns:c16="http://schemas.microsoft.com/office/drawing/2014/chart" uri="{C3380CC4-5D6E-409C-BE32-E72D297353CC}">
              <c16:uniqueId val="{0000000B-1B45-4A53-9B01-8F0E2FE8FE2F}"/>
            </c:ext>
          </c:extLst>
        </c:ser>
        <c:ser>
          <c:idx val="6"/>
          <c:order val="6"/>
          <c:tx>
            <c:strRef>
              <c:f>Chart!$BE$88</c:f>
              <c:strCache>
                <c:ptCount val="1"/>
                <c:pt idx="0">
                  <c:v>Lợi nhuận sau thuế</c:v>
                </c:pt>
              </c:strCache>
            </c:strRef>
          </c:tx>
          <c:spPr>
            <a:solidFill>
              <a:schemeClr val="accent1">
                <a:lumMod val="60000"/>
              </a:schemeClr>
            </a:solidFill>
            <a:ln>
              <a:noFill/>
            </a:ln>
            <a:effectLst/>
          </c:spPr>
          <c:invertIfNegative val="0"/>
          <c:dPt>
            <c:idx val="0"/>
            <c:invertIfNegative val="0"/>
            <c:bubble3D val="0"/>
            <c:spPr>
              <a:solidFill>
                <a:srgbClr val="0000FF"/>
              </a:solidFill>
              <a:ln>
                <a:noFill/>
              </a:ln>
              <a:effectLst/>
            </c:spPr>
            <c:extLst>
              <c:ext xmlns:c16="http://schemas.microsoft.com/office/drawing/2014/chart" uri="{C3380CC4-5D6E-409C-BE32-E72D297353CC}">
                <c16:uniqueId val="{0000000C-1B45-4A53-9B01-8F0E2FE8FE2F}"/>
              </c:ext>
            </c:extLst>
          </c:dPt>
          <c:dLbls>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66739293-92CA-4056-BE81-4C54551B4975}" type="CELLRANGE">
                      <a:rPr lang="en-US" sz="800" b="1" baseline="0">
                        <a:solidFill>
                          <a:schemeClr val="bg1"/>
                        </a:solidFill>
                      </a:rPr>
                      <a:pPr>
                        <a:defRPr sz="800" b="1">
                          <a:solidFill>
                            <a:schemeClr val="bg1"/>
                          </a:solidFill>
                        </a:defRPr>
                      </a:pPr>
                      <a:t>[CELLRANGE]</a:t>
                    </a:fld>
                    <a:r>
                      <a:rPr lang="en-US" sz="800" b="1" baseline="0">
                        <a:solidFill>
                          <a:schemeClr val="bg1"/>
                        </a:solidFill>
                      </a:rPr>
                      <a:t>, </a:t>
                    </a:r>
                    <a:fld id="{9A950730-E220-4BBB-B30B-869C9A6ED4CC}" type="SERIESNAME">
                      <a:rPr lang="en-US" sz="800" b="1" baseline="0">
                        <a:solidFill>
                          <a:schemeClr val="bg1"/>
                        </a:solidFill>
                      </a:rPr>
                      <a:pPr>
                        <a:defRPr sz="800" b="1">
                          <a:solidFill>
                            <a:schemeClr val="bg1"/>
                          </a:solidFill>
                        </a:defRPr>
                      </a:pPr>
                      <a:t>[SERIES NAME]</a:t>
                    </a:fld>
                    <a:r>
                      <a:rPr lang="en-US" sz="800" b="1" baseline="0">
                        <a:solidFill>
                          <a:schemeClr val="bg1"/>
                        </a:solidFill>
                      </a:rPr>
                      <a:t>, </a:t>
                    </a:r>
                    <a:fld id="{76123D9A-510B-4EF1-8206-3706B6511525}" type="VALUE">
                      <a:rPr lang="en-US" sz="800" b="1" baseline="0">
                        <a:solidFill>
                          <a:schemeClr val="bg1"/>
                        </a:solidFill>
                      </a:rPr>
                      <a:pPr>
                        <a:defRPr sz="800" b="1">
                          <a:solidFill>
                            <a:schemeClr val="bg1"/>
                          </a:solidFill>
                        </a:defRPr>
                      </a:pPr>
                      <a:t>[VALUE]</a:t>
                    </a:fld>
                    <a:endParaRPr lang="en-US" sz="800"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8009803307025878"/>
                      <c:h val="3.4928872841171098E-2"/>
                    </c:manualLayout>
                  </c15:layout>
                  <c15:dlblFieldTable/>
                  <c15:showDataLabelsRange val="1"/>
                </c:ext>
                <c:ext xmlns:c16="http://schemas.microsoft.com/office/drawing/2014/chart" uri="{C3380CC4-5D6E-409C-BE32-E72D297353CC}">
                  <c16:uniqueId val="{0000000C-1B45-4A53-9B01-8F0E2FE8F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Chart!$BF$88</c:f>
              <c:numCache>
                <c:formatCode>_(* #,##0_);_(* \(#,##0\);_(* "-"??_);_(@_)</c:formatCode>
                <c:ptCount val="1"/>
                <c:pt idx="0">
                  <c:v>40</c:v>
                </c:pt>
              </c:numCache>
            </c:numRef>
          </c:val>
          <c:extLst>
            <c:ext xmlns:c15="http://schemas.microsoft.com/office/drawing/2012/chart" uri="{02D57815-91ED-43cb-92C2-25804820EDAC}">
              <c15:datalabelsRange>
                <c15:f>Chart!$BG$88</c15:f>
                <c15:dlblRangeCache>
                  <c:ptCount val="1"/>
                  <c:pt idx="0">
                    <c:v>3%</c:v>
                  </c:pt>
                </c15:dlblRangeCache>
              </c15:datalabelsRange>
            </c:ext>
            <c:ext xmlns:c16="http://schemas.microsoft.com/office/drawing/2014/chart" uri="{C3380CC4-5D6E-409C-BE32-E72D297353CC}">
              <c16:uniqueId val="{0000000D-1B45-4A53-9B01-8F0E2FE8FE2F}"/>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B1_A1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Chart!$C$7</c:f>
              <c:strCache>
                <c:ptCount val="1"/>
                <c:pt idx="0">
                  <c:v>Chi phí NVL</c:v>
                </c:pt>
              </c:strCache>
            </c:strRef>
          </c:tx>
          <c:spPr>
            <a:solidFill>
              <a:schemeClr val="accent3">
                <a:lumMod val="60000"/>
                <a:lumOff val="40000"/>
              </a:schemeClr>
            </a:solidFill>
            <a:ln>
              <a:noFill/>
            </a:ln>
            <a:effectLst/>
          </c:spPr>
          <c:invertIfNegative val="0"/>
          <c:dLbls>
            <c:dLbl>
              <c:idx val="0"/>
              <c:tx>
                <c:rich>
                  <a:bodyPr/>
                  <a:lstStyle/>
                  <a:p>
                    <a:fld id="{3DE98700-1B75-4356-8AEC-2FCB9B8B1C9F}" type="CELLRANGE">
                      <a:rPr lang="en-US" sz="1200" baseline="0"/>
                      <a:pPr/>
                      <a:t>[CELLRANGE]</a:t>
                    </a:fld>
                    <a:r>
                      <a:rPr lang="en-US" sz="1200" baseline="0"/>
                      <a:t>, </a:t>
                    </a:r>
                    <a:fld id="{67DD000A-254E-4475-879E-3CB354F8A163}" type="SERIESNAME">
                      <a:rPr lang="en-US" sz="1200" baseline="0"/>
                      <a:pPr/>
                      <a:t>[SERIES NAME]</a:t>
                    </a:fld>
                    <a:r>
                      <a:rPr lang="en-US" sz="1200" baseline="0"/>
                      <a:t>, </a:t>
                    </a:r>
                    <a:fld id="{14A3CD99-1F70-4D84-B433-3053B74EB91C}" type="VALUE">
                      <a:rPr lang="en-US" sz="1200" baseline="0"/>
                      <a:pPr/>
                      <a:t>[VALUE]</a:t>
                    </a:fld>
                    <a:endParaRPr lang="en-US" sz="1200" baseline="0"/>
                  </a:p>
                </c:rich>
              </c:tx>
              <c:showLegendKey val="0"/>
              <c:showVal val="1"/>
              <c:showCatName val="0"/>
              <c:showSerName val="1"/>
              <c:showPercent val="0"/>
              <c:showBubbleSize val="0"/>
              <c:extLst>
                <c:ext xmlns:c15="http://schemas.microsoft.com/office/drawing/2012/chart" uri="{CE6537A1-D6FC-4f65-9D91-7224C49458BB}">
                  <c15:layout>
                    <c:manualLayout>
                      <c:w val="0.55161425728660951"/>
                      <c:h val="4.0310531388340669E-2"/>
                    </c:manualLayout>
                  </c15:layout>
                  <c15:dlblFieldTable/>
                  <c15:showDataLabelsRange val="1"/>
                </c:ext>
                <c:ext xmlns:c16="http://schemas.microsoft.com/office/drawing/2014/chart" uri="{C3380CC4-5D6E-409C-BE32-E72D297353CC}">
                  <c16:uniqueId val="{00000000-5BBB-41F9-90FD-791FCB04DC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Chart!$D$7</c:f>
              <c:numCache>
                <c:formatCode>_(* #,##0_);_(* \(#,##0\);_(* "-"??_);_(@_)</c:formatCode>
                <c:ptCount val="1"/>
                <c:pt idx="0">
                  <c:v>15239.822067011435</c:v>
                </c:pt>
              </c:numCache>
            </c:numRef>
          </c:val>
          <c:extLst>
            <c:ext xmlns:c15="http://schemas.microsoft.com/office/drawing/2012/chart" uri="{02D57815-91ED-43cb-92C2-25804820EDAC}">
              <c15:datalabelsRange>
                <c15:f>Chart!$E$7</c15:f>
                <c15:dlblRangeCache>
                  <c:ptCount val="1"/>
                  <c:pt idx="0">
                    <c:v>65%</c:v>
                  </c:pt>
                </c15:dlblRangeCache>
              </c15:datalabelsRange>
            </c:ext>
            <c:ext xmlns:c16="http://schemas.microsoft.com/office/drawing/2014/chart" uri="{C3380CC4-5D6E-409C-BE32-E72D297353CC}">
              <c16:uniqueId val="{00000001-5BBB-41F9-90FD-791FCB04DC04}"/>
            </c:ext>
          </c:extLst>
        </c:ser>
        <c:ser>
          <c:idx val="1"/>
          <c:order val="1"/>
          <c:tx>
            <c:strRef>
              <c:f>Chart!$C$8</c:f>
              <c:strCache>
                <c:ptCount val="1"/>
                <c:pt idx="0">
                  <c:v>Hao hụt về tiền</c:v>
                </c:pt>
              </c:strCache>
            </c:strRef>
          </c:tx>
          <c:spPr>
            <a:solidFill>
              <a:schemeClr val="accent2"/>
            </a:solidFill>
            <a:ln>
              <a:noFill/>
            </a:ln>
            <a:effectLst/>
          </c:spPr>
          <c:invertIfNegative val="0"/>
          <c:dLbls>
            <c:dLbl>
              <c:idx val="0"/>
              <c:tx>
                <c:rich>
                  <a:bodyPr/>
                  <a:lstStyle/>
                  <a:p>
                    <a:fld id="{17C63AA3-1F6F-4CAD-AF7C-78F7E0B8E26A}" type="CELLRANGE">
                      <a:rPr lang="en-US" sz="1200" baseline="0"/>
                      <a:pPr/>
                      <a:t>[CELLRANGE]</a:t>
                    </a:fld>
                    <a:r>
                      <a:rPr lang="en-US" sz="1200" baseline="0"/>
                      <a:t>, </a:t>
                    </a:r>
                    <a:fld id="{6BF1BAAE-43E6-4AAD-83DE-AFE6297D1187}" type="SERIESNAME">
                      <a:rPr lang="en-US" sz="1200" baseline="0"/>
                      <a:pPr/>
                      <a:t>[SERIES NAME]</a:t>
                    </a:fld>
                    <a:r>
                      <a:rPr lang="en-US" sz="1200" baseline="0"/>
                      <a:t>, </a:t>
                    </a:r>
                    <a:fld id="{6C1E56FC-8FDF-4265-BDC7-88BD32BBA9FB}" type="VALUE">
                      <a:rPr lang="en-US" sz="1200" baseline="0"/>
                      <a:pPr/>
                      <a:t>[VALUE]</a:t>
                    </a:fld>
                    <a:endParaRPr lang="en-US" sz="1200" baseline="0"/>
                  </a:p>
                </c:rich>
              </c:tx>
              <c:showLegendKey val="0"/>
              <c:showVal val="1"/>
              <c:showCatName val="0"/>
              <c:showSerName val="1"/>
              <c:showPercent val="0"/>
              <c:showBubbleSize val="0"/>
              <c:extLst>
                <c:ext xmlns:c15="http://schemas.microsoft.com/office/drawing/2012/chart" uri="{CE6537A1-D6FC-4f65-9D91-7224C49458BB}">
                  <c15:layout>
                    <c:manualLayout>
                      <c:w val="0.58268520862729511"/>
                      <c:h val="4.0310531388340669E-2"/>
                    </c:manualLayout>
                  </c15:layout>
                  <c15:dlblFieldTable/>
                  <c15:showDataLabelsRange val="1"/>
                </c:ext>
                <c:ext xmlns:c16="http://schemas.microsoft.com/office/drawing/2014/chart" uri="{C3380CC4-5D6E-409C-BE32-E72D297353CC}">
                  <c16:uniqueId val="{00000003-5BBB-41F9-90FD-791FCB04DC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Chart!$D$8</c:f>
              <c:numCache>
                <c:formatCode>_(* #,##0_);_(* \(#,##0\);_(* "-"??_);_(@_)</c:formatCode>
                <c:ptCount val="1"/>
                <c:pt idx="0">
                  <c:v>2123.8170112219323</c:v>
                </c:pt>
              </c:numCache>
            </c:numRef>
          </c:val>
          <c:extLst>
            <c:ext xmlns:c15="http://schemas.microsoft.com/office/drawing/2012/chart" uri="{02D57815-91ED-43cb-92C2-25804820EDAC}">
              <c15:datalabelsRange>
                <c15:f>Chart!$E$8</c15:f>
                <c15:dlblRangeCache>
                  <c:ptCount val="1"/>
                  <c:pt idx="0">
                    <c:v>9%</c:v>
                  </c:pt>
                </c15:dlblRangeCache>
              </c15:datalabelsRange>
            </c:ext>
            <c:ext xmlns:c16="http://schemas.microsoft.com/office/drawing/2014/chart" uri="{C3380CC4-5D6E-409C-BE32-E72D297353CC}">
              <c16:uniqueId val="{00000004-5BBB-41F9-90FD-791FCB04DC04}"/>
            </c:ext>
          </c:extLst>
        </c:ser>
        <c:ser>
          <c:idx val="2"/>
          <c:order val="2"/>
          <c:tx>
            <c:strRef>
              <c:f>Chart!$C$9</c:f>
              <c:strCache>
                <c:ptCount val="1"/>
                <c:pt idx="0">
                  <c:v>Chi phí sản xuất _Phân loại</c:v>
                </c:pt>
              </c:strCache>
            </c:strRef>
          </c:tx>
          <c:spPr>
            <a:solidFill>
              <a:schemeClr val="accent3"/>
            </a:solidFill>
            <a:ln>
              <a:noFill/>
            </a:ln>
            <a:effectLst/>
          </c:spPr>
          <c:invertIfNegative val="0"/>
          <c:dLbls>
            <c:dLbl>
              <c:idx val="0"/>
              <c:layout>
                <c:manualLayout>
                  <c:x val="-1.3744559559712277E-7"/>
                  <c:y val="0"/>
                </c:manualLayout>
              </c:layout>
              <c:tx>
                <c:rich>
                  <a:bodyPr/>
                  <a:lstStyle/>
                  <a:p>
                    <a:fld id="{5F173E0C-7968-4744-8396-6B1D5E57B465}" type="CELLRANGE">
                      <a:rPr lang="en-US" sz="1100" baseline="0"/>
                      <a:pPr/>
                      <a:t>[CELLRANGE]</a:t>
                    </a:fld>
                    <a:r>
                      <a:rPr lang="en-US" sz="1100" baseline="0"/>
                      <a:t>, </a:t>
                    </a:r>
                    <a:fld id="{C6FBD71D-17BB-4B3F-8585-BA4C8C0B53DC}" type="SERIESNAME">
                      <a:rPr lang="en-US" sz="1100" baseline="0"/>
                      <a:pPr/>
                      <a:t>[SERIES NAME]</a:t>
                    </a:fld>
                    <a:r>
                      <a:rPr lang="en-US" sz="1100" baseline="0"/>
                      <a:t>, </a:t>
                    </a:r>
                    <a:fld id="{9009F88A-7137-4EE1-B6E7-00A886E9410C}" type="VALUE">
                      <a:rPr lang="en-US" sz="1100" baseline="0"/>
                      <a:pPr/>
                      <a:t>[VALUE]</a:t>
                    </a:fld>
                    <a:endParaRPr lang="en-US" sz="1100" baseline="0"/>
                  </a:p>
                </c:rich>
              </c:tx>
              <c:showLegendKey val="0"/>
              <c:showVal val="1"/>
              <c:showCatName val="0"/>
              <c:showSerName val="1"/>
              <c:showPercent val="0"/>
              <c:showBubbleSize val="0"/>
              <c:extLst>
                <c:ext xmlns:c15="http://schemas.microsoft.com/office/drawing/2012/chart" uri="{CE6537A1-D6FC-4f65-9D91-7224C49458BB}">
                  <c15:layout>
                    <c:manualLayout>
                      <c:w val="0.7122056911822876"/>
                      <c:h val="7.5777987319531878E-2"/>
                    </c:manualLayout>
                  </c15:layout>
                  <c15:dlblFieldTable/>
                  <c15:showDataLabelsRange val="1"/>
                </c:ext>
                <c:ext xmlns:c16="http://schemas.microsoft.com/office/drawing/2014/chart" uri="{C3380CC4-5D6E-409C-BE32-E72D297353CC}">
                  <c16:uniqueId val="{00000005-5BBB-41F9-90FD-791FCB04DC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Chart!$D$9</c:f>
              <c:numCache>
                <c:formatCode>_(* #,##0_);_(* \(#,##0\);_(* "-"??_);_(@_)</c:formatCode>
                <c:ptCount val="1"/>
                <c:pt idx="0">
                  <c:v>3874.5310339859575</c:v>
                </c:pt>
              </c:numCache>
            </c:numRef>
          </c:val>
          <c:extLst>
            <c:ext xmlns:c15="http://schemas.microsoft.com/office/drawing/2012/chart" uri="{02D57815-91ED-43cb-92C2-25804820EDAC}">
              <c15:datalabelsRange>
                <c15:f>Chart!$E$9</c15:f>
                <c15:dlblRangeCache>
                  <c:ptCount val="1"/>
                  <c:pt idx="0">
                    <c:v>16%</c:v>
                  </c:pt>
                </c15:dlblRangeCache>
              </c15:datalabelsRange>
            </c:ext>
            <c:ext xmlns:c16="http://schemas.microsoft.com/office/drawing/2014/chart" uri="{C3380CC4-5D6E-409C-BE32-E72D297353CC}">
              <c16:uniqueId val="{00000006-5BBB-41F9-90FD-791FCB04DC04}"/>
            </c:ext>
          </c:extLst>
        </c:ser>
        <c:ser>
          <c:idx val="3"/>
          <c:order val="3"/>
          <c:tx>
            <c:strRef>
              <c:f>Chart!$C$10</c:f>
              <c:strCache>
                <c:ptCount val="1"/>
                <c:pt idx="0">
                  <c:v>Chi phí sản xuất _Băm</c:v>
                </c:pt>
              </c:strCache>
            </c:strRef>
          </c:tx>
          <c:spPr>
            <a:solidFill>
              <a:schemeClr val="accent4"/>
            </a:solidFill>
            <a:ln>
              <a:noFill/>
            </a:ln>
            <a:effectLst/>
          </c:spPr>
          <c:invertIfNegative val="0"/>
          <c:dLbls>
            <c:dLbl>
              <c:idx val="0"/>
              <c:tx>
                <c:rich>
                  <a:bodyPr/>
                  <a:lstStyle/>
                  <a:p>
                    <a:fld id="{258F83ED-C2F6-45F5-BA32-4540840616D1}" type="CELLRANGE">
                      <a:rPr lang="en-US" baseline="0"/>
                      <a:pPr/>
                      <a:t>[CELLRANGE]</a:t>
                    </a:fld>
                    <a:r>
                      <a:rPr lang="en-US" baseline="0"/>
                      <a:t>, </a:t>
                    </a:r>
                    <a:fld id="{1A0D7C33-8506-4886-AFE1-D72861FE8B97}" type="SERIESNAME">
                      <a:rPr lang="en-US" baseline="0"/>
                      <a:pPr/>
                      <a:t>[SERIES NAME]</a:t>
                    </a:fld>
                    <a:r>
                      <a:rPr lang="en-US" baseline="0"/>
                      <a:t>, </a:t>
                    </a:r>
                    <a:fld id="{B6CDD272-5843-44EB-B8C8-A85C8325559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7149603758092449"/>
                      <c:h val="5.8044322911356971E-2"/>
                    </c:manualLayout>
                  </c15:layout>
                  <c15:dlblFieldTable/>
                  <c15:showDataLabelsRange val="1"/>
                </c:ext>
                <c:ext xmlns:c16="http://schemas.microsoft.com/office/drawing/2014/chart" uri="{C3380CC4-5D6E-409C-BE32-E72D297353CC}">
                  <c16:uniqueId val="{00000007-5BBB-41F9-90FD-791FCB04DC0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Chart!$D$10</c:f>
              <c:numCache>
                <c:formatCode>_(* #,##0_);_(* \(#,##0\);_(* "-"??_);_(@_)</c:formatCode>
                <c:ptCount val="1"/>
                <c:pt idx="0">
                  <c:v>2010.8731903888172</c:v>
                </c:pt>
              </c:numCache>
            </c:numRef>
          </c:val>
          <c:extLst>
            <c:ext xmlns:c15="http://schemas.microsoft.com/office/drawing/2012/chart" uri="{02D57815-91ED-43cb-92C2-25804820EDAC}">
              <c15:datalabelsRange>
                <c15:f>Chart!$E$10</c15:f>
                <c15:dlblRangeCache>
                  <c:ptCount val="1"/>
                  <c:pt idx="0">
                    <c:v>9%</c:v>
                  </c:pt>
                </c15:dlblRangeCache>
              </c15:datalabelsRange>
            </c:ext>
            <c:ext xmlns:c16="http://schemas.microsoft.com/office/drawing/2014/chart" uri="{C3380CC4-5D6E-409C-BE32-E72D297353CC}">
              <c16:uniqueId val="{00000008-5BBB-41F9-90FD-791FCB04DC04}"/>
            </c:ext>
          </c:extLst>
        </c:ser>
        <c:ser>
          <c:idx val="4"/>
          <c:order val="4"/>
          <c:tx>
            <c:strRef>
              <c:f>Chart!$C$11</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55EC7B84-6A5B-4231-8788-44A379F0955B}" type="CELLRANGE">
                      <a:rPr lang="en-US" sz="1050" baseline="0"/>
                      <a:pPr>
                        <a:defRPr sz="1050" b="1">
                          <a:solidFill>
                            <a:schemeClr val="bg1"/>
                          </a:solidFill>
                        </a:defRPr>
                      </a:pPr>
                      <a:t>[CELLRANGE]</a:t>
                    </a:fld>
                    <a:r>
                      <a:rPr lang="en-US" sz="1050" baseline="0"/>
                      <a:t>, </a:t>
                    </a:r>
                    <a:fld id="{20392148-F877-43FF-AA33-022DC5B9569A}" type="SERIESNAME">
                      <a:rPr lang="en-US" sz="1050" baseline="0"/>
                      <a:pPr>
                        <a:defRPr sz="1050" b="1">
                          <a:solidFill>
                            <a:schemeClr val="bg1"/>
                          </a:solidFill>
                        </a:defRPr>
                      </a:pPr>
                      <a:t>[SERIES NAME]</a:t>
                    </a:fld>
                    <a:r>
                      <a:rPr lang="en-US" sz="1050" baseline="0"/>
                      <a:t>, </a:t>
                    </a:r>
                    <a:fld id="{F1420C03-801B-4666-B38F-24575417C053}" type="VALUE">
                      <a:rPr lang="en-US" sz="1050" baseline="0"/>
                      <a:pPr>
                        <a:defRPr sz="1050" b="1">
                          <a:solidFill>
                            <a:schemeClr val="bg1"/>
                          </a:solidFill>
                        </a:defRPr>
                      </a:pPr>
                      <a:t>[VALUE]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970543759516385"/>
                      <c:h val="5.8044322911356971E-2"/>
                    </c:manualLayout>
                  </c15:layout>
                  <c15:dlblFieldTable/>
                  <c15:showDataLabelsRange val="1"/>
                </c:ext>
                <c:ext xmlns:c16="http://schemas.microsoft.com/office/drawing/2014/chart" uri="{C3380CC4-5D6E-409C-BE32-E72D297353CC}">
                  <c16:uniqueId val="{00000009-5BBB-41F9-90FD-791FCB04DC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Chart!$D$11</c:f>
              <c:numCache>
                <c:formatCode>_(* #,##0_);_(* \(#,##0\);_(* "-"??_);_(@_)</c:formatCode>
                <c:ptCount val="1"/>
                <c:pt idx="0">
                  <c:v>1273.8558498087386</c:v>
                </c:pt>
              </c:numCache>
            </c:numRef>
          </c:val>
          <c:extLst>
            <c:ext xmlns:c15="http://schemas.microsoft.com/office/drawing/2012/chart" uri="{02D57815-91ED-43cb-92C2-25804820EDAC}">
              <c15:datalabelsRange>
                <c15:f>Chart!$E$11</c15:f>
                <c15:dlblRangeCache>
                  <c:ptCount val="1"/>
                  <c:pt idx="0">
                    <c:v>5%</c:v>
                  </c:pt>
                </c15:dlblRangeCache>
              </c15:datalabelsRange>
            </c:ext>
            <c:ext xmlns:c16="http://schemas.microsoft.com/office/drawing/2014/chart" uri="{C3380CC4-5D6E-409C-BE32-E72D297353CC}">
              <c16:uniqueId val="{0000000A-5BBB-41F9-90FD-791FCB04DC04}"/>
            </c:ext>
          </c:extLst>
        </c:ser>
        <c:ser>
          <c:idx val="5"/>
          <c:order val="5"/>
          <c:tx>
            <c:strRef>
              <c:f>Chart!$C$12</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749696BC-D9A6-4EA6-B16A-1366B7EA1086}" type="CELLRANGE">
                      <a:rPr lang="en-US" sz="1050" b="1" baseline="0">
                        <a:solidFill>
                          <a:schemeClr val="bg1"/>
                        </a:solidFill>
                      </a:rPr>
                      <a:pPr>
                        <a:defRPr sz="1050" b="1">
                          <a:solidFill>
                            <a:schemeClr val="bg1"/>
                          </a:solidFill>
                        </a:defRPr>
                      </a:pPr>
                      <a:t>[CELLRANGE]</a:t>
                    </a:fld>
                    <a:r>
                      <a:rPr lang="en-US" sz="1050" b="1" baseline="0">
                        <a:solidFill>
                          <a:schemeClr val="bg1"/>
                        </a:solidFill>
                      </a:rPr>
                      <a:t>, </a:t>
                    </a:r>
                    <a:fld id="{19331D5E-095B-408E-A138-7A6BF91CB485}" type="SERIESNAME">
                      <a:rPr lang="en-US" sz="1050" b="1" baseline="0">
                        <a:solidFill>
                          <a:schemeClr val="bg1"/>
                        </a:solidFill>
                      </a:rPr>
                      <a:pPr>
                        <a:defRPr sz="1050" b="1">
                          <a:solidFill>
                            <a:schemeClr val="bg1"/>
                          </a:solidFill>
                        </a:defRPr>
                      </a:pPr>
                      <a:t>[SERIES NAME]</a:t>
                    </a:fld>
                    <a:r>
                      <a:rPr lang="en-US" sz="1050" b="1" baseline="0">
                        <a:solidFill>
                          <a:schemeClr val="bg1"/>
                        </a:solidFill>
                      </a:rPr>
                      <a:t>, </a:t>
                    </a:r>
                    <a:fld id="{932C49F7-1DA0-489B-834A-EE057F437D70}" type="VALUE">
                      <a:rPr lang="en-US" sz="1050" b="1" baseline="0">
                        <a:solidFill>
                          <a:schemeClr val="bg1"/>
                        </a:solidFill>
                      </a:rPr>
                      <a:pPr>
                        <a:defRPr sz="1050" b="1">
                          <a:solidFill>
                            <a:schemeClr val="bg1"/>
                          </a:solidFill>
                        </a:defRPr>
                      </a:pPr>
                      <a:t>[VALUE]</a:t>
                    </a:fld>
                    <a:endParaRPr lang="en-US" sz="105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1078839666942463"/>
                      <c:h val="4.4027715667693548E-2"/>
                    </c:manualLayout>
                  </c15:layout>
                  <c15:dlblFieldTable/>
                  <c15:showDataLabelsRange val="1"/>
                </c:ext>
                <c:ext xmlns:c16="http://schemas.microsoft.com/office/drawing/2014/chart" uri="{C3380CC4-5D6E-409C-BE32-E72D297353CC}">
                  <c16:uniqueId val="{00000000-8CF5-4206-839F-8CD37BB7466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Chart!$D$12</c:f>
              <c:numCache>
                <c:formatCode>_(* #,##0_);_(* \(#,##0\);_(* "-"??_);_(@_)</c:formatCode>
                <c:ptCount val="1"/>
                <c:pt idx="0">
                  <c:v>-1013.0466612852859</c:v>
                </c:pt>
              </c:numCache>
            </c:numRef>
          </c:val>
          <c:extLst>
            <c:ext xmlns:c15="http://schemas.microsoft.com/office/drawing/2012/chart" uri="{02D57815-91ED-43cb-92C2-25804820EDAC}">
              <c15:datalabelsRange>
                <c15:f>Chart!$E$12</c15:f>
                <c15:dlblRangeCache>
                  <c:ptCount val="1"/>
                  <c:pt idx="0">
                    <c:v>-4%</c:v>
                  </c:pt>
                </c15:dlblRangeCache>
              </c15:datalabelsRange>
            </c:ext>
            <c:ext xmlns:c16="http://schemas.microsoft.com/office/drawing/2014/chart" uri="{C3380CC4-5D6E-409C-BE32-E72D297353CC}">
              <c16:uniqueId val="{0000000C-5BBB-41F9-90FD-791FCB04DC04}"/>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B2.2_A1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Chart!$C$46</c:f>
              <c:strCache>
                <c:ptCount val="1"/>
                <c:pt idx="0">
                  <c:v>Chi phí NVL</c:v>
                </c:pt>
              </c:strCache>
            </c:strRef>
          </c:tx>
          <c:spPr>
            <a:solidFill>
              <a:schemeClr val="accent1"/>
            </a:solidFill>
            <a:ln>
              <a:noFill/>
            </a:ln>
            <a:effectLst/>
          </c:spPr>
          <c:invertIfNegative val="0"/>
          <c:dLbls>
            <c:dLbl>
              <c:idx val="0"/>
              <c:tx>
                <c:rich>
                  <a:bodyPr/>
                  <a:lstStyle/>
                  <a:p>
                    <a:fld id="{1D3C3476-48DA-4079-A72B-90F5ADAC7BAB}" type="CELLRANGE">
                      <a:rPr lang="en-US" baseline="0"/>
                      <a:pPr/>
                      <a:t>[CELLRANGE]</a:t>
                    </a:fld>
                    <a:r>
                      <a:rPr lang="en-US" baseline="0"/>
                      <a:t>, </a:t>
                    </a:r>
                    <a:fld id="{A02F8824-4ECF-452D-A8E2-A15F0661538F}" type="SERIESNAME">
                      <a:rPr lang="en-US" baseline="0"/>
                      <a:pPr/>
                      <a:t>[SERIES NAME]</a:t>
                    </a:fld>
                    <a:r>
                      <a:rPr lang="en-US" baseline="0"/>
                      <a:t>, </a:t>
                    </a:r>
                    <a:fld id="{443250DA-2F44-413E-9057-572413245B47}"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9046718582617027"/>
                      <c:h val="7.5794130904389037E-2"/>
                    </c:manualLayout>
                  </c15:layout>
                  <c15:dlblFieldTable/>
                  <c15:showDataLabelsRange val="1"/>
                </c:ext>
                <c:ext xmlns:c16="http://schemas.microsoft.com/office/drawing/2014/chart" uri="{C3380CC4-5D6E-409C-BE32-E72D297353CC}">
                  <c16:uniqueId val="{00000000-6D5B-4163-BB12-B5D27B4832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Chart!$D$46</c:f>
              <c:numCache>
                <c:formatCode>_(* #,##0_);_(* \(#,##0\);_(* "-"??_);_(@_)</c:formatCode>
                <c:ptCount val="1"/>
                <c:pt idx="0">
                  <c:v>13079.217291965209</c:v>
                </c:pt>
              </c:numCache>
            </c:numRef>
          </c:val>
          <c:extLst>
            <c:ext xmlns:c15="http://schemas.microsoft.com/office/drawing/2012/chart" uri="{02D57815-91ED-43cb-92C2-25804820EDAC}">
              <c15:datalabelsRange>
                <c15:f>Chart!$E$46</c15:f>
                <c15:dlblRangeCache>
                  <c:ptCount val="1"/>
                  <c:pt idx="0">
                    <c:v>63%</c:v>
                  </c:pt>
                </c15:dlblRangeCache>
              </c15:datalabelsRange>
            </c:ext>
            <c:ext xmlns:c16="http://schemas.microsoft.com/office/drawing/2014/chart" uri="{C3380CC4-5D6E-409C-BE32-E72D297353CC}">
              <c16:uniqueId val="{00000001-6D5B-4163-BB12-B5D27B483267}"/>
            </c:ext>
          </c:extLst>
        </c:ser>
        <c:ser>
          <c:idx val="1"/>
          <c:order val="1"/>
          <c:tx>
            <c:strRef>
              <c:f>Chart!$C$47</c:f>
              <c:strCache>
                <c:ptCount val="1"/>
                <c:pt idx="0">
                  <c:v>Hao hụt về tiền</c:v>
                </c:pt>
              </c:strCache>
            </c:strRef>
          </c:tx>
          <c:spPr>
            <a:solidFill>
              <a:schemeClr val="accent2"/>
            </a:solidFill>
            <a:ln>
              <a:noFill/>
            </a:ln>
            <a:effectLst/>
          </c:spPr>
          <c:invertIfNegative val="0"/>
          <c:dLbls>
            <c:dLbl>
              <c:idx val="0"/>
              <c:tx>
                <c:rich>
                  <a:bodyPr/>
                  <a:lstStyle/>
                  <a:p>
                    <a:fld id="{31E45B22-CA47-4D87-B55C-5FD3F367F993}" type="CELLRANGE">
                      <a:rPr lang="en-US" sz="1200" baseline="0"/>
                      <a:pPr/>
                      <a:t>[CELLRANGE]</a:t>
                    </a:fld>
                    <a:r>
                      <a:rPr lang="en-US" sz="1200" baseline="0"/>
                      <a:t>, </a:t>
                    </a:r>
                    <a:fld id="{B41F657C-7778-4850-9AFC-B9BA36AE1D1C}" type="SERIESNAME">
                      <a:rPr lang="en-US" sz="1200" baseline="0"/>
                      <a:pPr/>
                      <a:t>[SERIES NAME]</a:t>
                    </a:fld>
                    <a:r>
                      <a:rPr lang="en-US" sz="1200" baseline="0"/>
                      <a:t>, </a:t>
                    </a:r>
                    <a:fld id="{A43C9A78-D650-47AA-B7D6-15F59AC361D9}" type="VALUE">
                      <a:rPr lang="en-US" sz="1200" baseline="0"/>
                      <a:pPr/>
                      <a:t>[VALUE]</a:t>
                    </a:fld>
                    <a:endParaRPr lang="en-US" sz="1200" baseline="0"/>
                  </a:p>
                </c:rich>
              </c:tx>
              <c:showLegendKey val="0"/>
              <c:showVal val="1"/>
              <c:showCatName val="0"/>
              <c:showSerName val="1"/>
              <c:showPercent val="0"/>
              <c:showBubbleSize val="0"/>
              <c:extLst>
                <c:ext xmlns:c15="http://schemas.microsoft.com/office/drawing/2012/chart" uri="{CE6537A1-D6FC-4f65-9D91-7224C49458BB}">
                  <c15:layout>
                    <c:manualLayout>
                      <c:w val="0.50974135463082582"/>
                      <c:h val="4.0310508950465049E-2"/>
                    </c:manualLayout>
                  </c15:layout>
                  <c15:dlblFieldTable/>
                  <c15:showDataLabelsRange val="1"/>
                </c:ext>
                <c:ext xmlns:c16="http://schemas.microsoft.com/office/drawing/2014/chart" uri="{C3380CC4-5D6E-409C-BE32-E72D297353CC}">
                  <c16:uniqueId val="{00000002-6D5B-4163-BB12-B5D27B4832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Chart!$D$47</c:f>
              <c:numCache>
                <c:formatCode>_(* #,##0_);_(* \(#,##0\);_(* "-"??_);_(@_)</c:formatCode>
                <c:ptCount val="1"/>
                <c:pt idx="0">
                  <c:v>1822.7157808011777</c:v>
                </c:pt>
              </c:numCache>
            </c:numRef>
          </c:val>
          <c:extLst>
            <c:ext xmlns:c15="http://schemas.microsoft.com/office/drawing/2012/chart" uri="{02D57815-91ED-43cb-92C2-25804820EDAC}">
              <c15:datalabelsRange>
                <c15:f>Chart!$E$47</c15:f>
                <c15:dlblRangeCache>
                  <c:ptCount val="1"/>
                  <c:pt idx="0">
                    <c:v>9%</c:v>
                  </c:pt>
                </c15:dlblRangeCache>
              </c15:datalabelsRange>
            </c:ext>
            <c:ext xmlns:c16="http://schemas.microsoft.com/office/drawing/2014/chart" uri="{C3380CC4-5D6E-409C-BE32-E72D297353CC}">
              <c16:uniqueId val="{00000003-6D5B-4163-BB12-B5D27B483267}"/>
            </c:ext>
          </c:extLst>
        </c:ser>
        <c:ser>
          <c:idx val="2"/>
          <c:order val="2"/>
          <c:tx>
            <c:strRef>
              <c:f>Chart!$C$48</c:f>
              <c:strCache>
                <c:ptCount val="1"/>
                <c:pt idx="0">
                  <c:v>Chi phí sản xuất _Phân loại</c:v>
                </c:pt>
              </c:strCache>
            </c:strRef>
          </c:tx>
          <c:spPr>
            <a:solidFill>
              <a:schemeClr val="accent3"/>
            </a:solidFill>
            <a:ln>
              <a:noFill/>
            </a:ln>
            <a:effectLst/>
          </c:spPr>
          <c:invertIfNegative val="0"/>
          <c:dLbls>
            <c:dLbl>
              <c:idx val="0"/>
              <c:tx>
                <c:rich>
                  <a:bodyPr/>
                  <a:lstStyle/>
                  <a:p>
                    <a:fld id="{A2206229-16A7-4B57-9334-530C07045D45}" type="CELLRANGE">
                      <a:rPr lang="en-US" sz="1200" b="1" baseline="0"/>
                      <a:pPr/>
                      <a:t>[CELLRANGE]</a:t>
                    </a:fld>
                    <a:r>
                      <a:rPr lang="en-US" sz="1200" b="1" baseline="0"/>
                      <a:t>, </a:t>
                    </a:r>
                    <a:fld id="{87743BD8-0E08-409A-9519-C4738BC764F5}" type="SERIESNAME">
                      <a:rPr lang="en-US" sz="1200" b="1" baseline="0"/>
                      <a:pPr/>
                      <a:t>[SERIES NAME]</a:t>
                    </a:fld>
                    <a:r>
                      <a:rPr lang="en-US" sz="1200" b="1" baseline="0"/>
                      <a:t>, </a:t>
                    </a:r>
                    <a:fld id="{98C77ED5-56FF-49EF-B2F6-4BB4884FDC5C}" type="VALUE">
                      <a:rPr lang="en-US" sz="1200" b="1" baseline="0"/>
                      <a:pPr/>
                      <a:t>[VALUE]</a:t>
                    </a:fld>
                    <a:endParaRPr lang="en-US" sz="1200" b="1" baseline="0"/>
                  </a:p>
                </c:rich>
              </c:tx>
              <c:showLegendKey val="0"/>
              <c:showVal val="1"/>
              <c:showCatName val="0"/>
              <c:showSerName val="1"/>
              <c:showPercent val="0"/>
              <c:showBubbleSize val="0"/>
              <c:extLst>
                <c:ext xmlns:c15="http://schemas.microsoft.com/office/drawing/2012/chart" uri="{CE6537A1-D6FC-4f65-9D91-7224C49458BB}">
                  <c15:layout>
                    <c:manualLayout>
                      <c:w val="0.72522021313012963"/>
                      <c:h val="7.7663505007322359E-2"/>
                    </c:manualLayout>
                  </c15:layout>
                  <c15:dlblFieldTable/>
                  <c15:showDataLabelsRange val="1"/>
                </c:ext>
                <c:ext xmlns:c16="http://schemas.microsoft.com/office/drawing/2014/chart" uri="{C3380CC4-5D6E-409C-BE32-E72D297353CC}">
                  <c16:uniqueId val="{00000004-6D5B-4163-BB12-B5D27B4832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Chart!$D$48</c:f>
              <c:numCache>
                <c:formatCode>_(* #,##0_);_(* \(#,##0\);_(* "-"??_);_(@_)</c:formatCode>
                <c:ptCount val="1"/>
                <c:pt idx="0">
                  <c:v>3325.2247352453919</c:v>
                </c:pt>
              </c:numCache>
            </c:numRef>
          </c:val>
          <c:extLst>
            <c:ext xmlns:c15="http://schemas.microsoft.com/office/drawing/2012/chart" uri="{02D57815-91ED-43cb-92C2-25804820EDAC}">
              <c15:datalabelsRange>
                <c15:f>Chart!$E$48</c15:f>
                <c15:dlblRangeCache>
                  <c:ptCount val="1"/>
                  <c:pt idx="0">
                    <c:v>16%</c:v>
                  </c:pt>
                </c15:dlblRangeCache>
              </c15:datalabelsRange>
            </c:ext>
            <c:ext xmlns:c16="http://schemas.microsoft.com/office/drawing/2014/chart" uri="{C3380CC4-5D6E-409C-BE32-E72D297353CC}">
              <c16:uniqueId val="{00000005-6D5B-4163-BB12-B5D27B483267}"/>
            </c:ext>
          </c:extLst>
        </c:ser>
        <c:ser>
          <c:idx val="3"/>
          <c:order val="3"/>
          <c:tx>
            <c:strRef>
              <c:f>Chart!$C$49</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891C0AAE-635D-4473-81B8-58E98389F447}"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396BC214-D663-4CDE-8099-A9092DC9FC93}"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99325650-2517-4912-AB4F-3FB1695007FB}"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4182950146252138"/>
                      <c:h val="5.9488612447956016E-2"/>
                    </c:manualLayout>
                  </c15:layout>
                  <c15:dlblFieldTable/>
                  <c15:showDataLabelsRange val="1"/>
                </c:ext>
                <c:ext xmlns:c16="http://schemas.microsoft.com/office/drawing/2014/chart" uri="{C3380CC4-5D6E-409C-BE32-E72D297353CC}">
                  <c16:uniqueId val="{00000006-6D5B-4163-BB12-B5D27B4832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Chart!$D$49</c:f>
              <c:numCache>
                <c:formatCode>_(* #,##0_);_(* \(#,##0\);_(* "-"??_);_(@_)</c:formatCode>
                <c:ptCount val="1"/>
                <c:pt idx="0">
                  <c:v>1983.3563574192092</c:v>
                </c:pt>
              </c:numCache>
            </c:numRef>
          </c:val>
          <c:extLst>
            <c:ext xmlns:c15="http://schemas.microsoft.com/office/drawing/2012/chart" uri="{02D57815-91ED-43cb-92C2-25804820EDAC}">
              <c15:datalabelsRange>
                <c15:f>Chart!$E$49</c15:f>
                <c15:dlblRangeCache>
                  <c:ptCount val="1"/>
                  <c:pt idx="0">
                    <c:v>10%</c:v>
                  </c:pt>
                </c15:dlblRangeCache>
              </c15:datalabelsRange>
            </c:ext>
            <c:ext xmlns:c16="http://schemas.microsoft.com/office/drawing/2014/chart" uri="{C3380CC4-5D6E-409C-BE32-E72D297353CC}">
              <c16:uniqueId val="{00000007-6D5B-4163-BB12-B5D27B483267}"/>
            </c:ext>
          </c:extLst>
        </c:ser>
        <c:ser>
          <c:idx val="4"/>
          <c:order val="4"/>
          <c:tx>
            <c:strRef>
              <c:f>Chart!$C$50</c:f>
              <c:strCache>
                <c:ptCount val="1"/>
                <c:pt idx="0">
                  <c:v>Chi phí sản xuất _Rữa</c:v>
                </c:pt>
              </c:strCache>
            </c:strRef>
          </c:tx>
          <c:spPr>
            <a:solidFill>
              <a:schemeClr val="accent5"/>
            </a:solidFill>
            <a:ln>
              <a:noFill/>
            </a:ln>
            <a:effectLst/>
          </c:spPr>
          <c:invertIfNegative val="0"/>
          <c:dLbls>
            <c:dLbl>
              <c:idx val="0"/>
              <c:tx>
                <c:rich>
                  <a:bodyPr/>
                  <a:lstStyle/>
                  <a:p>
                    <a:fld id="{FCEB83BC-6313-4793-B3CC-9BADFA80ACB2}" type="CELLRANGE">
                      <a:rPr lang="en-US" baseline="0"/>
                      <a:pPr/>
                      <a:t>[CELLRANGE]</a:t>
                    </a:fld>
                    <a:r>
                      <a:rPr lang="en-US" baseline="0"/>
                      <a:t>, </a:t>
                    </a:r>
                    <a:fld id="{697D2428-E406-4E42-9EE4-EF85FA9E6D4F}" type="SERIESNAME">
                      <a:rPr lang="en-US" baseline="0"/>
                      <a:pPr/>
                      <a:t>[SERIES NAME]</a:t>
                    </a:fld>
                    <a:r>
                      <a:rPr lang="en-US" baseline="0"/>
                      <a:t>, </a:t>
                    </a:r>
                    <a:fld id="{21099701-DC73-4C5A-B096-31DD3CED6AB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3235163966591612"/>
                      <c:h val="5.9488612447956016E-2"/>
                    </c:manualLayout>
                  </c15:layout>
                  <c15:dlblFieldTable/>
                  <c15:showDataLabelsRange val="1"/>
                </c:ext>
                <c:ext xmlns:c16="http://schemas.microsoft.com/office/drawing/2014/chart" uri="{C3380CC4-5D6E-409C-BE32-E72D297353CC}">
                  <c16:uniqueId val="{00000008-6D5B-4163-BB12-B5D27B4832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Chart!$D$50</c:f>
              <c:numCache>
                <c:formatCode>_(* #,##0_);_(* \(#,##0\);_(* "-"??_);_(@_)</c:formatCode>
                <c:ptCount val="1"/>
                <c:pt idx="0">
                  <c:v>1273.8558498087386</c:v>
                </c:pt>
              </c:numCache>
            </c:numRef>
          </c:val>
          <c:extLst>
            <c:ext xmlns:c15="http://schemas.microsoft.com/office/drawing/2012/chart" uri="{02D57815-91ED-43cb-92C2-25804820EDAC}">
              <c15:datalabelsRange>
                <c15:f>Chart!$E$50</c15:f>
                <c15:dlblRangeCache>
                  <c:ptCount val="1"/>
                  <c:pt idx="0">
                    <c:v>6%</c:v>
                  </c:pt>
                </c15:dlblRangeCache>
              </c15:datalabelsRange>
            </c:ext>
            <c:ext xmlns:c16="http://schemas.microsoft.com/office/drawing/2014/chart" uri="{C3380CC4-5D6E-409C-BE32-E72D297353CC}">
              <c16:uniqueId val="{00000009-6D5B-4163-BB12-B5D27B483267}"/>
            </c:ext>
          </c:extLst>
        </c:ser>
        <c:ser>
          <c:idx val="5"/>
          <c:order val="5"/>
          <c:tx>
            <c:strRef>
              <c:f>Chart!$C$51</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A078250D-0C19-4E02-916B-599349BE0739}" type="CELLRANGE">
                      <a:rPr lang="en-US" sz="1100" b="1" baseline="0"/>
                      <a:pPr>
                        <a:defRPr sz="1100" b="1">
                          <a:solidFill>
                            <a:schemeClr val="bg1"/>
                          </a:solidFill>
                        </a:defRPr>
                      </a:pPr>
                      <a:t>[CELLRANGE]</a:t>
                    </a:fld>
                    <a:r>
                      <a:rPr lang="en-US" sz="1100" b="1" baseline="0"/>
                      <a:t>, </a:t>
                    </a:r>
                    <a:fld id="{16AB308A-C0A1-4D76-A652-A870FF9C4904}" type="SERIESNAME">
                      <a:rPr lang="en-US" sz="1100" b="1" baseline="0"/>
                      <a:pPr>
                        <a:defRPr sz="1100" b="1">
                          <a:solidFill>
                            <a:schemeClr val="bg1"/>
                          </a:solidFill>
                        </a:defRPr>
                      </a:pPr>
                      <a:t>[SERIES NAME]</a:t>
                    </a:fld>
                    <a:r>
                      <a:rPr lang="en-US" sz="1100" b="1" baseline="0"/>
                      <a:t>, </a:t>
                    </a:r>
                    <a:fld id="{12241C3C-16C2-4766-9F8D-29CDFECF0D5F}"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6829140541441666"/>
                      <c:h val="4.4083233499804413E-2"/>
                    </c:manualLayout>
                  </c15:layout>
                  <c15:dlblFieldTable/>
                  <c15:showDataLabelsRange val="1"/>
                </c:ext>
                <c:ext xmlns:c16="http://schemas.microsoft.com/office/drawing/2014/chart" uri="{C3380CC4-5D6E-409C-BE32-E72D297353CC}">
                  <c16:uniqueId val="{00000000-A752-4A1D-B9DA-A03F3418E1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Chart!$D$51</c:f>
              <c:numCache>
                <c:formatCode>_(* #,##0_);_(* \(#,##0\);_(* "-"??_);_(@_)</c:formatCode>
                <c:ptCount val="1"/>
                <c:pt idx="0">
                  <c:v>-753.43571715705696</c:v>
                </c:pt>
              </c:numCache>
            </c:numRef>
          </c:val>
          <c:extLst>
            <c:ext xmlns:c15="http://schemas.microsoft.com/office/drawing/2012/chart" uri="{02D57815-91ED-43cb-92C2-25804820EDAC}">
              <c15:datalabelsRange>
                <c15:f>Chart!$E$51</c15:f>
                <c15:dlblRangeCache>
                  <c:ptCount val="1"/>
                  <c:pt idx="0">
                    <c:v>-4%</c:v>
                  </c:pt>
                </c15:dlblRangeCache>
              </c15:datalabelsRange>
            </c:ext>
            <c:ext xmlns:c16="http://schemas.microsoft.com/office/drawing/2014/chart" uri="{C3380CC4-5D6E-409C-BE32-E72D297353CC}">
              <c16:uniqueId val="{0000000A-6D5B-4163-BB12-B5D27B483267}"/>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B4_A1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Chart!$C$90</c:f>
              <c:strCache>
                <c:ptCount val="1"/>
                <c:pt idx="0">
                  <c:v>Chi phí NVL</c:v>
                </c:pt>
              </c:strCache>
            </c:strRef>
          </c:tx>
          <c:spPr>
            <a:solidFill>
              <a:schemeClr val="accent1"/>
            </a:solidFill>
            <a:ln>
              <a:noFill/>
            </a:ln>
            <a:effectLst/>
          </c:spPr>
          <c:invertIfNegative val="0"/>
          <c:dLbls>
            <c:dLbl>
              <c:idx val="0"/>
              <c:tx>
                <c:rich>
                  <a:bodyPr/>
                  <a:lstStyle/>
                  <a:p>
                    <a:fld id="{2654A313-2386-4AB7-85D5-5A6C8D0A954F}" type="CELLRANGE">
                      <a:rPr lang="en-US" sz="1200" baseline="0"/>
                      <a:pPr/>
                      <a:t>[CELLRANGE]</a:t>
                    </a:fld>
                    <a:r>
                      <a:rPr lang="en-US" sz="1200" baseline="0"/>
                      <a:t>, </a:t>
                    </a:r>
                    <a:fld id="{5E3A3D05-CF39-4CE0-A4A7-08EF908692B1}" type="SERIESNAME">
                      <a:rPr lang="en-US" sz="1200" baseline="0"/>
                      <a:pPr/>
                      <a:t>[SERIES NAME]</a:t>
                    </a:fld>
                    <a:r>
                      <a:rPr lang="en-US" sz="1200" baseline="0"/>
                      <a:t>, </a:t>
                    </a:r>
                    <a:fld id="{845AA899-35FF-4AA8-8B6F-AEAEC5F967C5}" type="VALUE">
                      <a:rPr lang="en-US" sz="1200" baseline="0"/>
                      <a:pPr/>
                      <a:t>[VALUE]</a:t>
                    </a:fld>
                    <a:endParaRPr lang="en-US" sz="1200" baseline="0"/>
                  </a:p>
                </c:rich>
              </c:tx>
              <c:showLegendKey val="0"/>
              <c:showVal val="1"/>
              <c:showCatName val="0"/>
              <c:showSerName val="1"/>
              <c:showPercent val="0"/>
              <c:showBubbleSize val="0"/>
              <c:extLst>
                <c:ext xmlns:c15="http://schemas.microsoft.com/office/drawing/2012/chart" uri="{CE6537A1-D6FC-4f65-9D91-7224C49458BB}">
                  <c15:layout>
                    <c:manualLayout>
                      <c:w val="0.58237658749188137"/>
                      <c:h val="4.1313500575113106E-2"/>
                    </c:manualLayout>
                  </c15:layout>
                  <c15:dlblFieldTable/>
                  <c15:showDataLabelsRange val="1"/>
                </c:ext>
                <c:ext xmlns:c16="http://schemas.microsoft.com/office/drawing/2014/chart" uri="{C3380CC4-5D6E-409C-BE32-E72D297353CC}">
                  <c16:uniqueId val="{00000000-A814-4C58-9A22-B24C8EAFD71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Chart!$D$90</c:f>
              <c:numCache>
                <c:formatCode>_(* #,##0_);_(* \(#,##0\);_(* "-"??_);_(@_)</c:formatCode>
                <c:ptCount val="1"/>
                <c:pt idx="0">
                  <c:v>12992.638114934616</c:v>
                </c:pt>
              </c:numCache>
            </c:numRef>
          </c:val>
          <c:extLst>
            <c:ext xmlns:c15="http://schemas.microsoft.com/office/drawing/2012/chart" uri="{02D57815-91ED-43cb-92C2-25804820EDAC}">
              <c15:datalabelsRange>
                <c15:f>Chart!$E$90</c15:f>
                <c15:dlblRangeCache>
                  <c:ptCount val="1"/>
                  <c:pt idx="0">
                    <c:v>64%</c:v>
                  </c:pt>
                </c15:dlblRangeCache>
              </c15:datalabelsRange>
            </c:ext>
            <c:ext xmlns:c16="http://schemas.microsoft.com/office/drawing/2014/chart" uri="{C3380CC4-5D6E-409C-BE32-E72D297353CC}">
              <c16:uniqueId val="{00000001-A814-4C58-9A22-B24C8EAFD71D}"/>
            </c:ext>
          </c:extLst>
        </c:ser>
        <c:ser>
          <c:idx val="1"/>
          <c:order val="1"/>
          <c:tx>
            <c:strRef>
              <c:f>Chart!$C$91</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A6A4D0E2-5C5F-461B-B95B-95CC7946CC50}"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00578243-EEF5-46F8-98C0-41AF82A9A13E}"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DD4798D1-BD99-4F91-8573-26073FB81994}"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0324180232780271"/>
                      <c:h val="4.1313516540180104E-2"/>
                    </c:manualLayout>
                  </c15:layout>
                  <c15:dlblFieldTable/>
                  <c15:showDataLabelsRange val="1"/>
                </c:ext>
                <c:ext xmlns:c16="http://schemas.microsoft.com/office/drawing/2014/chart" uri="{C3380CC4-5D6E-409C-BE32-E72D297353CC}">
                  <c16:uniqueId val="{00000002-A814-4C58-9A22-B24C8EAFD7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Chart!$D$91</c:f>
              <c:numCache>
                <c:formatCode>_(* #,##0_);_(* \(#,##0\);_(* "-"??_);_(@_)</c:formatCode>
                <c:ptCount val="1"/>
                <c:pt idx="0">
                  <c:v>1810.6501327780813</c:v>
                </c:pt>
              </c:numCache>
            </c:numRef>
          </c:val>
          <c:extLst>
            <c:ext xmlns:c15="http://schemas.microsoft.com/office/drawing/2012/chart" uri="{02D57815-91ED-43cb-92C2-25804820EDAC}">
              <c15:datalabelsRange>
                <c15:f>Chart!$E$91</c15:f>
                <c15:dlblRangeCache>
                  <c:ptCount val="1"/>
                  <c:pt idx="0">
                    <c:v>9%</c:v>
                  </c:pt>
                </c15:dlblRangeCache>
              </c15:datalabelsRange>
            </c:ext>
            <c:ext xmlns:c16="http://schemas.microsoft.com/office/drawing/2014/chart" uri="{C3380CC4-5D6E-409C-BE32-E72D297353CC}">
              <c16:uniqueId val="{00000003-A814-4C58-9A22-B24C8EAFD71D}"/>
            </c:ext>
          </c:extLst>
        </c:ser>
        <c:ser>
          <c:idx val="2"/>
          <c:order val="2"/>
          <c:tx>
            <c:strRef>
              <c:f>Chart!$C$92</c:f>
              <c:strCache>
                <c:ptCount val="1"/>
                <c:pt idx="0">
                  <c:v>Chi phí sản xuất _Phân loại</c:v>
                </c:pt>
              </c:strCache>
            </c:strRef>
          </c:tx>
          <c:spPr>
            <a:solidFill>
              <a:schemeClr val="accent3"/>
            </a:solidFill>
            <a:ln>
              <a:noFill/>
            </a:ln>
            <a:effectLst/>
          </c:spPr>
          <c:invertIfNegative val="0"/>
          <c:dLbls>
            <c:dLbl>
              <c:idx val="0"/>
              <c:tx>
                <c:rich>
                  <a:bodyPr/>
                  <a:lstStyle/>
                  <a:p>
                    <a:fld id="{C873B10C-274C-4342-BA8F-EBF65FC202C9}" type="CELLRANGE">
                      <a:rPr lang="en-US" sz="1200" b="1" baseline="0"/>
                      <a:pPr/>
                      <a:t>[CELLRANGE]</a:t>
                    </a:fld>
                    <a:r>
                      <a:rPr lang="en-US" sz="1200" b="1" baseline="0"/>
                      <a:t>, </a:t>
                    </a:r>
                    <a:fld id="{48E601D6-0043-401C-B183-A2A12B427D82}" type="SERIESNAME">
                      <a:rPr lang="en-US" sz="1200" b="1" baseline="0"/>
                      <a:pPr/>
                      <a:t>[SERIES NAME]</a:t>
                    </a:fld>
                    <a:r>
                      <a:rPr lang="en-US" sz="1200" b="1" baseline="0"/>
                      <a:t>, </a:t>
                    </a:r>
                    <a:fld id="{D07AF266-D5B0-4251-995B-A002D00B757F}" type="VALUE">
                      <a:rPr lang="en-US" sz="1200" b="1" baseline="0"/>
                      <a:pPr/>
                      <a:t>[VALUE]</a:t>
                    </a:fld>
                    <a:endParaRPr lang="en-US" sz="1200" b="1" baseline="0"/>
                  </a:p>
                </c:rich>
              </c:tx>
              <c:showLegendKey val="0"/>
              <c:showVal val="1"/>
              <c:showCatName val="0"/>
              <c:showSerName val="1"/>
              <c:showPercent val="0"/>
              <c:showBubbleSize val="0"/>
              <c:extLst>
                <c:ext xmlns:c15="http://schemas.microsoft.com/office/drawing/2012/chart" uri="{CE6537A1-D6FC-4f65-9D91-7224C49458BB}">
                  <c15:layout>
                    <c:manualLayout>
                      <c:w val="0.70399157872990659"/>
                      <c:h val="7.7663387918570553E-2"/>
                    </c:manualLayout>
                  </c15:layout>
                  <c15:dlblFieldTable/>
                  <c15:showDataLabelsRange val="1"/>
                </c:ext>
                <c:ext xmlns:c16="http://schemas.microsoft.com/office/drawing/2014/chart" uri="{C3380CC4-5D6E-409C-BE32-E72D297353CC}">
                  <c16:uniqueId val="{00000004-A814-4C58-9A22-B24C8EAFD71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Chart!$D$92</c:f>
              <c:numCache>
                <c:formatCode>_(* #,##0_);_(* \(#,##0\);_(* "-"??_);_(@_)</c:formatCode>
                <c:ptCount val="1"/>
                <c:pt idx="0">
                  <c:v>3303.2130800681216</c:v>
                </c:pt>
              </c:numCache>
            </c:numRef>
          </c:val>
          <c:extLst>
            <c:ext xmlns:c15="http://schemas.microsoft.com/office/drawing/2012/chart" uri="{02D57815-91ED-43cb-92C2-25804820EDAC}">
              <c15:datalabelsRange>
                <c15:f>Chart!$E$92</c15:f>
                <c15:dlblRangeCache>
                  <c:ptCount val="1"/>
                  <c:pt idx="0">
                    <c:v>16%</c:v>
                  </c:pt>
                </c15:dlblRangeCache>
              </c15:datalabelsRange>
            </c:ext>
            <c:ext xmlns:c16="http://schemas.microsoft.com/office/drawing/2014/chart" uri="{C3380CC4-5D6E-409C-BE32-E72D297353CC}">
              <c16:uniqueId val="{00000005-A814-4C58-9A22-B24C8EAFD71D}"/>
            </c:ext>
          </c:extLst>
        </c:ser>
        <c:ser>
          <c:idx val="3"/>
          <c:order val="3"/>
          <c:tx>
            <c:strRef>
              <c:f>Chart!$C$93</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E4FED6D5-1633-4E5B-98DA-48E4EF2BBEE9}"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223D70EE-2F88-488F-8639-4EBF2AF3C6FC}"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6DB559ED-2B4F-4734-A116-01BD52C65175}"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763286172406663"/>
                      <c:h val="5.948851204279932E-2"/>
                    </c:manualLayout>
                  </c15:layout>
                  <c15:dlblFieldTable/>
                  <c15:showDataLabelsRange val="1"/>
                </c:ext>
                <c:ext xmlns:c16="http://schemas.microsoft.com/office/drawing/2014/chart" uri="{C3380CC4-5D6E-409C-BE32-E72D297353CC}">
                  <c16:uniqueId val="{00000006-A814-4C58-9A22-B24C8EAFD71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Chart!$D$93</c:f>
              <c:numCache>
                <c:formatCode>_(* #,##0_);_(* \(#,##0\);_(* "-"??_);_(@_)</c:formatCode>
                <c:ptCount val="1"/>
                <c:pt idx="0">
                  <c:v>2104.9096872249238</c:v>
                </c:pt>
              </c:numCache>
            </c:numRef>
          </c:val>
          <c:extLst>
            <c:ext xmlns:c15="http://schemas.microsoft.com/office/drawing/2012/chart" uri="{02D57815-91ED-43cb-92C2-25804820EDAC}">
              <c15:datalabelsRange>
                <c15:f>Chart!$E$93</c15:f>
                <c15:dlblRangeCache>
                  <c:ptCount val="1"/>
                  <c:pt idx="0">
                    <c:v>10%</c:v>
                  </c:pt>
                </c15:dlblRangeCache>
              </c15:datalabelsRange>
            </c:ext>
            <c:ext xmlns:c16="http://schemas.microsoft.com/office/drawing/2014/chart" uri="{C3380CC4-5D6E-409C-BE32-E72D297353CC}">
              <c16:uniqueId val="{00000007-A814-4C58-9A22-B24C8EAFD71D}"/>
            </c:ext>
          </c:extLst>
        </c:ser>
        <c:ser>
          <c:idx val="4"/>
          <c:order val="4"/>
          <c:tx>
            <c:strRef>
              <c:f>Chart!$C$94</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0D25356B-9B30-4231-AEC1-DEA3452DF5DB}" type="CELLRANGE">
                      <a:rPr lang="en-US" sz="1200" b="1" baseline="0"/>
                      <a:pPr>
                        <a:defRPr sz="1200" b="1">
                          <a:solidFill>
                            <a:schemeClr val="bg1"/>
                          </a:solidFill>
                        </a:defRPr>
                      </a:pPr>
                      <a:t>[CELLRANGE]</a:t>
                    </a:fld>
                    <a:r>
                      <a:rPr lang="en-US" sz="1200" b="1" baseline="0"/>
                      <a:t>, </a:t>
                    </a:r>
                    <a:fld id="{19CA6993-F47B-40FF-AF8E-51BD49F9D39C}" type="SERIESNAME">
                      <a:rPr lang="en-US" sz="1200" b="1" baseline="0"/>
                      <a:pPr>
                        <a:defRPr sz="1200" b="1">
                          <a:solidFill>
                            <a:schemeClr val="bg1"/>
                          </a:solidFill>
                        </a:defRPr>
                      </a:pPr>
                      <a:t>[SERIES NAME]</a:t>
                    </a:fld>
                    <a:r>
                      <a:rPr lang="en-US" sz="1200" b="1" baseline="0"/>
                      <a:t>, </a:t>
                    </a:r>
                    <a:fld id="{643DBA0D-6886-4638-AC86-5F6206613554}"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732353387903506"/>
                      <c:h val="5.948851204279932E-2"/>
                    </c:manualLayout>
                  </c15:layout>
                  <c15:dlblFieldTable/>
                  <c15:showDataLabelsRange val="1"/>
                </c:ext>
                <c:ext xmlns:c16="http://schemas.microsoft.com/office/drawing/2014/chart" uri="{C3380CC4-5D6E-409C-BE32-E72D297353CC}">
                  <c16:uniqueId val="{00000008-A814-4C58-9A22-B24C8EAFD7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Chart!$D$94</c:f>
              <c:numCache>
                <c:formatCode>_(* #,##0_);_(* \(#,##0\);_(* "-"??_);_(@_)</c:formatCode>
                <c:ptCount val="1"/>
                <c:pt idx="0">
                  <c:v>1273.8558498087386</c:v>
                </c:pt>
              </c:numCache>
            </c:numRef>
          </c:val>
          <c:extLst>
            <c:ext xmlns:c15="http://schemas.microsoft.com/office/drawing/2012/chart" uri="{02D57815-91ED-43cb-92C2-25804820EDAC}">
              <c15:datalabelsRange>
                <c15:f>Chart!$E$94</c15:f>
                <c15:dlblRangeCache>
                  <c:ptCount val="1"/>
                  <c:pt idx="0">
                    <c:v>6%</c:v>
                  </c:pt>
                </c15:dlblRangeCache>
              </c15:datalabelsRange>
            </c:ext>
            <c:ext xmlns:c16="http://schemas.microsoft.com/office/drawing/2014/chart" uri="{C3380CC4-5D6E-409C-BE32-E72D297353CC}">
              <c16:uniqueId val="{00000009-A814-4C58-9A22-B24C8EAFD71D}"/>
            </c:ext>
          </c:extLst>
        </c:ser>
        <c:ser>
          <c:idx val="5"/>
          <c:order val="5"/>
          <c:tx>
            <c:strRef>
              <c:f>Chart!$C$95</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69AC67CA-EA72-4380-B290-47E15BC23853}" type="CELLRANGE">
                      <a:rPr lang="en-US" sz="1100" b="1" baseline="0"/>
                      <a:pPr>
                        <a:defRPr sz="1100" b="1">
                          <a:solidFill>
                            <a:schemeClr val="bg1"/>
                          </a:solidFill>
                        </a:defRPr>
                      </a:pPr>
                      <a:t>[CELLRANGE]</a:t>
                    </a:fld>
                    <a:r>
                      <a:rPr lang="en-US" sz="1100" b="1" baseline="0"/>
                      <a:t>, </a:t>
                    </a:r>
                    <a:fld id="{B5350493-8DEC-45F8-82C7-D7C29B2FFE79}" type="SERIESNAME">
                      <a:rPr lang="en-US" sz="1100" b="1" baseline="0"/>
                      <a:pPr>
                        <a:defRPr sz="1100" b="1">
                          <a:solidFill>
                            <a:schemeClr val="bg1"/>
                          </a:solidFill>
                        </a:defRPr>
                      </a:pPr>
                      <a:t>[SERIES NAME]</a:t>
                    </a:fld>
                    <a:r>
                      <a:rPr lang="en-US" sz="1100" b="1" baseline="0"/>
                      <a:t>, </a:t>
                    </a:r>
                    <a:fld id="{B78F348C-0812-45E5-A3B1-85EC1DE026EE}"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41786737114162"/>
                      <c:h val="6.1915200545187975E-2"/>
                    </c:manualLayout>
                  </c15:layout>
                  <c15:dlblFieldTable/>
                  <c15:showDataLabelsRange val="1"/>
                </c:ext>
                <c:ext xmlns:c16="http://schemas.microsoft.com/office/drawing/2014/chart" uri="{C3380CC4-5D6E-409C-BE32-E72D297353CC}">
                  <c16:uniqueId val="{00000000-41E9-40FF-A678-7A8E805DD4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Chart!$D$95</c:f>
              <c:numCache>
                <c:formatCode>_(* #,##0_);_(* \(#,##0\);_(* "-"??_);_(@_)</c:formatCode>
                <c:ptCount val="1"/>
                <c:pt idx="0">
                  <c:v>-1126.1999999999998</c:v>
                </c:pt>
              </c:numCache>
            </c:numRef>
          </c:val>
          <c:extLst>
            <c:ext xmlns:c15="http://schemas.microsoft.com/office/drawing/2012/chart" uri="{02D57815-91ED-43cb-92C2-25804820EDAC}">
              <c15:datalabelsRange>
                <c15:f>Chart!$E$95</c15:f>
                <c15:dlblRangeCache>
                  <c:ptCount val="1"/>
                  <c:pt idx="0">
                    <c:v>-6%</c:v>
                  </c:pt>
                </c15:dlblRangeCache>
              </c15:datalabelsRange>
            </c:ext>
            <c:ext xmlns:c16="http://schemas.microsoft.com/office/drawing/2014/chart" uri="{C3380CC4-5D6E-409C-BE32-E72D297353CC}">
              <c16:uniqueId val="{0000000A-A814-4C58-9A22-B24C8EAFD71D}"/>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B5_A1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Chart!$C$134</c:f>
              <c:strCache>
                <c:ptCount val="1"/>
                <c:pt idx="0">
                  <c:v>Chi phí NVL</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4C5D9DB9-D707-4758-8936-8BC2377C9D29}" type="CELLRANGE">
                      <a:rPr lang="en-US" sz="1200" b="1" baseline="0"/>
                      <a:pPr>
                        <a:defRPr sz="1200" b="1">
                          <a:solidFill>
                            <a:schemeClr val="bg1"/>
                          </a:solidFill>
                        </a:defRPr>
                      </a:pPr>
                      <a:t>[CELLRANGE]</a:t>
                    </a:fld>
                    <a:r>
                      <a:rPr lang="en-US" sz="1200" b="1" baseline="0"/>
                      <a:t>, </a:t>
                    </a:r>
                    <a:fld id="{D5BD7590-D521-4F71-A5A3-1651E672472F}" type="SERIESNAME">
                      <a:rPr lang="en-US" sz="1200" b="1" baseline="0"/>
                      <a:pPr>
                        <a:defRPr sz="1200" b="1">
                          <a:solidFill>
                            <a:schemeClr val="bg1"/>
                          </a:solidFill>
                        </a:defRPr>
                      </a:pPr>
                      <a:t>[SERIES NAME]</a:t>
                    </a:fld>
                    <a:r>
                      <a:rPr lang="en-US" sz="1200" b="1" baseline="0"/>
                      <a:t>, </a:t>
                    </a:r>
                    <a:fld id="{48B386DF-D552-4F86-A166-8F3955574A3F}"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5899184288909345"/>
                      <c:h val="4.1313516540180104E-2"/>
                    </c:manualLayout>
                  </c15:layout>
                  <c15:dlblFieldTable/>
                  <c15:showDataLabelsRange val="1"/>
                </c:ext>
                <c:ext xmlns:c16="http://schemas.microsoft.com/office/drawing/2014/chart" uri="{C3380CC4-5D6E-409C-BE32-E72D297353CC}">
                  <c16:uniqueId val="{00000000-AC71-4EFD-A14B-3B114E3FA6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Chart!$D$134</c:f>
              <c:numCache>
                <c:formatCode>_(* #,##0_);_(* \(#,##0\);_(* "-"??_);_(@_)</c:formatCode>
                <c:ptCount val="1"/>
                <c:pt idx="0">
                  <c:v>12246.485326989954</c:v>
                </c:pt>
              </c:numCache>
            </c:numRef>
          </c:val>
          <c:extLst>
            <c:ext xmlns:c15="http://schemas.microsoft.com/office/drawing/2012/chart" uri="{02D57815-91ED-43cb-92C2-25804820EDAC}">
              <c15:datalabelsRange>
                <c15:f>Chart!$E$134</c15:f>
                <c15:dlblRangeCache>
                  <c:ptCount val="1"/>
                  <c:pt idx="0">
                    <c:v>63%</c:v>
                  </c:pt>
                </c15:dlblRangeCache>
              </c15:datalabelsRange>
            </c:ext>
            <c:ext xmlns:c16="http://schemas.microsoft.com/office/drawing/2014/chart" uri="{C3380CC4-5D6E-409C-BE32-E72D297353CC}">
              <c16:uniqueId val="{00000001-AC71-4EFD-A14B-3B114E3FA6F2}"/>
            </c:ext>
          </c:extLst>
        </c:ser>
        <c:ser>
          <c:idx val="1"/>
          <c:order val="1"/>
          <c:tx>
            <c:strRef>
              <c:f>Chart!$C$135</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EBD2F4D2-ABB3-4743-B617-C0B4614DD237}" type="CELLRANGE">
                      <a:rPr lang="en-US" sz="1100" baseline="0"/>
                      <a:pPr>
                        <a:defRPr sz="1100">
                          <a:solidFill>
                            <a:schemeClr val="bg1"/>
                          </a:solidFill>
                        </a:defRPr>
                      </a:pPr>
                      <a:t>[CELLRANGE]</a:t>
                    </a:fld>
                    <a:r>
                      <a:rPr lang="en-US" sz="1100" baseline="0"/>
                      <a:t>, </a:t>
                    </a:r>
                    <a:fld id="{F27F0567-29A9-49FB-B4D3-8BF8AB8063B9}" type="SERIESNAME">
                      <a:rPr lang="en-US" sz="1100" baseline="0"/>
                      <a:pPr>
                        <a:defRPr sz="1100">
                          <a:solidFill>
                            <a:schemeClr val="bg1"/>
                          </a:solidFill>
                        </a:defRPr>
                      </a:pPr>
                      <a:t>[SERIES NAME]</a:t>
                    </a:fld>
                    <a:r>
                      <a:rPr lang="en-US" sz="1100" baseline="0"/>
                      <a:t>, </a:t>
                    </a:r>
                    <a:fld id="{8EF3F6CF-9551-4865-937C-97AFA2790347}" type="VALUE">
                      <a:rPr lang="en-US" sz="1100" baseline="0"/>
                      <a:pPr>
                        <a:defRPr sz="1100">
                          <a:solidFill>
                            <a:schemeClr val="bg1"/>
                          </a:solidFill>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188311260423404"/>
                      <c:h val="2.3138612548290662E-2"/>
                    </c:manualLayout>
                  </c15:layout>
                  <c15:dlblFieldTable/>
                  <c15:showDataLabelsRange val="1"/>
                </c:ext>
                <c:ext xmlns:c16="http://schemas.microsoft.com/office/drawing/2014/chart" uri="{C3380CC4-5D6E-409C-BE32-E72D297353CC}">
                  <c16:uniqueId val="{00000002-AC71-4EFD-A14B-3B114E3FA6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Chart!$D$135</c:f>
              <c:numCache>
                <c:formatCode>_(* #,##0_);_(* \(#,##0\);_(* "-"??_);_(@_)</c:formatCode>
                <c:ptCount val="1"/>
                <c:pt idx="0">
                  <c:v>1706.6665050795789</c:v>
                </c:pt>
              </c:numCache>
            </c:numRef>
          </c:val>
          <c:extLst>
            <c:ext xmlns:c15="http://schemas.microsoft.com/office/drawing/2012/chart" uri="{02D57815-91ED-43cb-92C2-25804820EDAC}">
              <c15:datalabelsRange>
                <c15:f>Chart!$E$135</c15:f>
                <c15:dlblRangeCache>
                  <c:ptCount val="1"/>
                  <c:pt idx="0">
                    <c:v>9%</c:v>
                  </c:pt>
                </c15:dlblRangeCache>
              </c15:datalabelsRange>
            </c:ext>
            <c:ext xmlns:c16="http://schemas.microsoft.com/office/drawing/2014/chart" uri="{C3380CC4-5D6E-409C-BE32-E72D297353CC}">
              <c16:uniqueId val="{00000003-AC71-4EFD-A14B-3B114E3FA6F2}"/>
            </c:ext>
          </c:extLst>
        </c:ser>
        <c:ser>
          <c:idx val="2"/>
          <c:order val="2"/>
          <c:tx>
            <c:strRef>
              <c:f>Chart!$C$136</c:f>
              <c:strCache>
                <c:ptCount val="1"/>
                <c:pt idx="0">
                  <c:v>Chi phí sản xuất _Phân loại</c:v>
                </c:pt>
              </c:strCache>
            </c:strRef>
          </c:tx>
          <c:spPr>
            <a:solidFill>
              <a:schemeClr val="accent3"/>
            </a:solidFill>
            <a:ln>
              <a:noFill/>
            </a:ln>
            <a:effectLst/>
          </c:spPr>
          <c:invertIfNegative val="0"/>
          <c:dLbls>
            <c:dLbl>
              <c:idx val="0"/>
              <c:tx>
                <c:rich>
                  <a:bodyPr/>
                  <a:lstStyle/>
                  <a:p>
                    <a:fld id="{72773E12-2926-4BC3-ADEB-8EAAA9D42D97}" type="SERIESNAME">
                      <a:rPr lang="en-US" sz="1200"/>
                      <a:pPr/>
                      <a:t>[SERIES NAME]</a:t>
                    </a:fld>
                    <a:r>
                      <a:rPr lang="en-US" sz="1200" baseline="0"/>
                      <a:t>, </a:t>
                    </a:r>
                    <a:fld id="{440EADFD-80A6-4EBF-A92E-2346ABC91FF5}" type="VALUE">
                      <a:rPr lang="en-US" sz="1200" baseline="0"/>
                      <a:pPr/>
                      <a:t>[VALUE]</a:t>
                    </a:fld>
                    <a:endParaRPr lang="en-US" sz="1200" baseline="0"/>
                  </a:p>
                </c:rich>
              </c:tx>
              <c:showLegendKey val="0"/>
              <c:showVal val="1"/>
              <c:showCatName val="0"/>
              <c:showSerName val="1"/>
              <c:showPercent val="0"/>
              <c:showBubbleSize val="0"/>
              <c:extLst>
                <c:ext xmlns:c15="http://schemas.microsoft.com/office/drawing/2012/chart" uri="{CE6537A1-D6FC-4f65-9D91-7224C49458BB}">
                  <c15:layout>
                    <c:manualLayout>
                      <c:w val="0.77273603965256399"/>
                      <c:h val="5.9488508010511212E-2"/>
                    </c:manualLayout>
                  </c15:layout>
                  <c15:dlblFieldTable/>
                  <c15:showDataLabelsRange val="1"/>
                </c:ext>
                <c:ext xmlns:c16="http://schemas.microsoft.com/office/drawing/2014/chart" uri="{C3380CC4-5D6E-409C-BE32-E72D297353CC}">
                  <c16:uniqueId val="{00000004-AC71-4EFD-A14B-3B114E3FA6F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Chart!$D$136</c:f>
              <c:numCache>
                <c:formatCode>_(* #,##0_);_(* \(#,##0\);_(* "-"??_);_(@_)</c:formatCode>
                <c:ptCount val="1"/>
                <c:pt idx="0">
                  <c:v>3113.5132187262589</c:v>
                </c:pt>
              </c:numCache>
            </c:numRef>
          </c:val>
          <c:extLst>
            <c:ext xmlns:c15="http://schemas.microsoft.com/office/drawing/2012/chart" uri="{02D57815-91ED-43cb-92C2-25804820EDAC}">
              <c15:datalabelsRange>
                <c15:f>Chart!$E$136</c15:f>
                <c15:dlblRangeCache>
                  <c:ptCount val="1"/>
                  <c:pt idx="0">
                    <c:v>16%</c:v>
                  </c:pt>
                </c15:dlblRangeCache>
              </c15:datalabelsRange>
            </c:ext>
            <c:ext xmlns:c16="http://schemas.microsoft.com/office/drawing/2014/chart" uri="{C3380CC4-5D6E-409C-BE32-E72D297353CC}">
              <c16:uniqueId val="{00000005-AC71-4EFD-A14B-3B114E3FA6F2}"/>
            </c:ext>
          </c:extLst>
        </c:ser>
        <c:ser>
          <c:idx val="3"/>
          <c:order val="3"/>
          <c:tx>
            <c:strRef>
              <c:f>Chart!$C$137</c:f>
              <c:strCache>
                <c:ptCount val="1"/>
                <c:pt idx="0">
                  <c:v>Chi phí sản xuất _Băm</c:v>
                </c:pt>
              </c:strCache>
            </c:strRef>
          </c:tx>
          <c:spPr>
            <a:solidFill>
              <a:schemeClr val="accent4"/>
            </a:solidFill>
            <a:ln>
              <a:noFill/>
            </a:ln>
            <a:effectLst/>
          </c:spPr>
          <c:invertIfNegative val="0"/>
          <c:dLbls>
            <c:dLbl>
              <c:idx val="0"/>
              <c:tx>
                <c:rich>
                  <a:bodyPr/>
                  <a:lstStyle/>
                  <a:p>
                    <a:fld id="{7B1C7E72-5D11-485D-9586-47F528ED43FB}" type="CELLRANGE">
                      <a:rPr lang="en-US" baseline="0"/>
                      <a:pPr/>
                      <a:t>[CELLRANGE]</a:t>
                    </a:fld>
                    <a:r>
                      <a:rPr lang="en-US" baseline="0"/>
                      <a:t>, </a:t>
                    </a:r>
                    <a:fld id="{E7AF8C7C-4B3C-4047-82C1-7B71673755B0}" type="SERIESNAME">
                      <a:rPr lang="en-US" baseline="0"/>
                      <a:pPr/>
                      <a:t>[SERIES NAME]</a:t>
                    </a:fld>
                    <a:r>
                      <a:rPr lang="en-US" baseline="0"/>
                      <a:t>, </a:t>
                    </a:r>
                    <a:fld id="{250AABC8-D383-4027-9145-99E62AC8F7E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3447229486835011"/>
                      <c:h val="5.9488590202532624E-2"/>
                    </c:manualLayout>
                  </c15:layout>
                  <c15:dlblFieldTable/>
                  <c15:showDataLabelsRange val="1"/>
                </c:ext>
                <c:ext xmlns:c16="http://schemas.microsoft.com/office/drawing/2014/chart" uri="{C3380CC4-5D6E-409C-BE32-E72D297353CC}">
                  <c16:uniqueId val="{00000006-AC71-4EFD-A14B-3B114E3FA6F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Chart!$D$137</c:f>
              <c:numCache>
                <c:formatCode>_(* #,##0_);_(* \(#,##0\);_(* "-"??_);_(@_)</c:formatCode>
                <c:ptCount val="1"/>
                <c:pt idx="0">
                  <c:v>2042.6615365621933</c:v>
                </c:pt>
              </c:numCache>
            </c:numRef>
          </c:val>
          <c:extLst>
            <c:ext xmlns:c15="http://schemas.microsoft.com/office/drawing/2012/chart" uri="{02D57815-91ED-43cb-92C2-25804820EDAC}">
              <c15:datalabelsRange>
                <c15:f>Chart!$E$93</c15:f>
                <c15:dlblRangeCache>
                  <c:ptCount val="1"/>
                  <c:pt idx="0">
                    <c:v>10%</c:v>
                  </c:pt>
                </c15:dlblRangeCache>
              </c15:datalabelsRange>
            </c:ext>
            <c:ext xmlns:c16="http://schemas.microsoft.com/office/drawing/2014/chart" uri="{C3380CC4-5D6E-409C-BE32-E72D297353CC}">
              <c16:uniqueId val="{00000007-AC71-4EFD-A14B-3B114E3FA6F2}"/>
            </c:ext>
          </c:extLst>
        </c:ser>
        <c:ser>
          <c:idx val="4"/>
          <c:order val="4"/>
          <c:tx>
            <c:strRef>
              <c:f>Chart!$C$138</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28BC65C4-2B7C-410A-964D-A731816AA45E}" type="CELLRANGE">
                      <a:rPr lang="en-US" sz="1200" b="1" baseline="0"/>
                      <a:pPr>
                        <a:defRPr sz="1200" b="1">
                          <a:solidFill>
                            <a:schemeClr val="bg1"/>
                          </a:solidFill>
                        </a:defRPr>
                      </a:pPr>
                      <a:t>[CELLRANGE]</a:t>
                    </a:fld>
                    <a:r>
                      <a:rPr lang="en-US" sz="1200" b="1" baseline="0"/>
                      <a:t>, </a:t>
                    </a:r>
                    <a:fld id="{25CA85DA-AB12-4492-909F-1ADB3E8BCD88}" type="SERIESNAME">
                      <a:rPr lang="en-US" sz="1200" b="1" baseline="0"/>
                      <a:pPr>
                        <a:defRPr sz="1200" b="1">
                          <a:solidFill>
                            <a:schemeClr val="bg1"/>
                          </a:solidFill>
                        </a:defRPr>
                      </a:pPr>
                      <a:t>[SERIES NAME]</a:t>
                    </a:fld>
                    <a:r>
                      <a:rPr lang="en-US" sz="1200" b="1" baseline="0"/>
                      <a:t>, </a:t>
                    </a:r>
                    <a:fld id="{12D809EB-74BB-465D-8243-2FE7578DB5E0}"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363629973969148"/>
                      <c:h val="5.9488590202532624E-2"/>
                    </c:manualLayout>
                  </c15:layout>
                  <c15:dlblFieldTable/>
                  <c15:showDataLabelsRange val="1"/>
                </c:ext>
                <c:ext xmlns:c16="http://schemas.microsoft.com/office/drawing/2014/chart" uri="{C3380CC4-5D6E-409C-BE32-E72D297353CC}">
                  <c16:uniqueId val="{00000008-AC71-4EFD-A14B-3B114E3FA6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Chart!$D$138</c:f>
              <c:numCache>
                <c:formatCode>_(* #,##0_);_(* \(#,##0\);_(* "-"??_);_(@_)</c:formatCode>
                <c:ptCount val="1"/>
                <c:pt idx="0">
                  <c:v>1273.8558498087386</c:v>
                </c:pt>
              </c:numCache>
            </c:numRef>
          </c:val>
          <c:extLst>
            <c:ext xmlns:c15="http://schemas.microsoft.com/office/drawing/2012/chart" uri="{02D57815-91ED-43cb-92C2-25804820EDAC}">
              <c15:datalabelsRange>
                <c15:f>Chart!$E$138</c15:f>
                <c15:dlblRangeCache>
                  <c:ptCount val="1"/>
                  <c:pt idx="0">
                    <c:v>7%</c:v>
                  </c:pt>
                </c15:dlblRangeCache>
              </c15:datalabelsRange>
            </c:ext>
            <c:ext xmlns:c16="http://schemas.microsoft.com/office/drawing/2014/chart" uri="{C3380CC4-5D6E-409C-BE32-E72D297353CC}">
              <c16:uniqueId val="{00000009-AC71-4EFD-A14B-3B114E3FA6F2}"/>
            </c:ext>
          </c:extLst>
        </c:ser>
        <c:ser>
          <c:idx val="5"/>
          <c:order val="5"/>
          <c:tx>
            <c:strRef>
              <c:f>Chart!$C$139</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3D932E36-F6EE-4F02-A860-CDCE0A3903E1}" type="CELLRANGE">
                      <a:rPr lang="en-US" sz="1100" b="1" baseline="0"/>
                      <a:pPr>
                        <a:defRPr sz="1100" b="1">
                          <a:solidFill>
                            <a:schemeClr val="bg1"/>
                          </a:solidFill>
                        </a:defRPr>
                      </a:pPr>
                      <a:t>[CELLRANGE]</a:t>
                    </a:fld>
                    <a:r>
                      <a:rPr lang="en-US" sz="1100" b="1" baseline="0"/>
                      <a:t>, </a:t>
                    </a:r>
                    <a:fld id="{976C2EC6-88E9-482E-B5CF-A1CD9E3C0420}" type="SERIESNAME">
                      <a:rPr lang="en-US" sz="1100" b="1" baseline="0"/>
                      <a:pPr>
                        <a:defRPr sz="1100" b="1">
                          <a:solidFill>
                            <a:schemeClr val="bg1"/>
                          </a:solidFill>
                        </a:defRPr>
                      </a:pPr>
                      <a:t>[SERIES NAME]</a:t>
                    </a:fld>
                    <a:r>
                      <a:rPr lang="en-US" sz="1100" b="1" baseline="0"/>
                      <a:t>, </a:t>
                    </a:r>
                    <a:fld id="{348571CC-3197-44D8-AE31-AE7BE955E5BA}"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165634970488044"/>
                      <c:h val="6.3556891566664178E-2"/>
                    </c:manualLayout>
                  </c15:layout>
                  <c15:dlblFieldTable/>
                  <c15:showDataLabelsRange val="1"/>
                </c:ext>
                <c:ext xmlns:c16="http://schemas.microsoft.com/office/drawing/2014/chart" uri="{C3380CC4-5D6E-409C-BE32-E72D297353CC}">
                  <c16:uniqueId val="{00000000-5B5A-4559-BE1F-F11CD09360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Chart!$D$139</c:f>
              <c:numCache>
                <c:formatCode>_(* #,##0_);_(* \(#,##0\);_(* "-"??_);_(@_)</c:formatCode>
                <c:ptCount val="1"/>
                <c:pt idx="0">
                  <c:v>-1014.2055383763392</c:v>
                </c:pt>
              </c:numCache>
            </c:numRef>
          </c:val>
          <c:extLst>
            <c:ext xmlns:c15="http://schemas.microsoft.com/office/drawing/2012/chart" uri="{02D57815-91ED-43cb-92C2-25804820EDAC}">
              <c15:datalabelsRange>
                <c15:f>Chart!$E$139</c15:f>
                <c15:dlblRangeCache>
                  <c:ptCount val="1"/>
                  <c:pt idx="0">
                    <c:v>-5%</c:v>
                  </c:pt>
                </c15:dlblRangeCache>
              </c15:datalabelsRange>
            </c:ext>
            <c:ext xmlns:c16="http://schemas.microsoft.com/office/drawing/2014/chart" uri="{C3380CC4-5D6E-409C-BE32-E72D297353CC}">
              <c16:uniqueId val="{0000000A-AC71-4EFD-A14B-3B114E3FA6F2}"/>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B6.2_A1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Chart!$C$178</c:f>
              <c:strCache>
                <c:ptCount val="1"/>
                <c:pt idx="0">
                  <c:v>Chi phí NVL</c:v>
                </c:pt>
              </c:strCache>
            </c:strRef>
          </c:tx>
          <c:spPr>
            <a:solidFill>
              <a:schemeClr val="accent1"/>
            </a:solidFill>
            <a:ln>
              <a:noFill/>
            </a:ln>
            <a:effectLst/>
          </c:spPr>
          <c:invertIfNegative val="0"/>
          <c:dLbls>
            <c:dLbl>
              <c:idx val="0"/>
              <c:tx>
                <c:rich>
                  <a:bodyPr/>
                  <a:lstStyle/>
                  <a:p>
                    <a:fld id="{13CE4506-1126-4849-B41B-49891BA8F20E}" type="CELLRANGE">
                      <a:rPr lang="en-US" sz="1200" baseline="0"/>
                      <a:pPr/>
                      <a:t>[CELLRANGE]</a:t>
                    </a:fld>
                    <a:r>
                      <a:rPr lang="en-US" sz="1200" baseline="0"/>
                      <a:t>, </a:t>
                    </a:r>
                    <a:fld id="{3ABAE170-C62C-4C54-BFF0-4A87DE7B66D0}" type="SERIESNAME">
                      <a:rPr lang="en-US" sz="1200" baseline="0"/>
                      <a:pPr/>
                      <a:t>[SERIES NAME]</a:t>
                    </a:fld>
                    <a:r>
                      <a:rPr lang="en-US" sz="1200" baseline="0"/>
                      <a:t>, </a:t>
                    </a:r>
                    <a:fld id="{AFF38B35-50BC-4BFA-B2EA-88AED1232FD6}" type="VALUE">
                      <a:rPr lang="en-US" sz="1200" baseline="0"/>
                      <a:pPr/>
                      <a:t>[VALUE]</a:t>
                    </a:fld>
                    <a:endParaRPr lang="en-US" sz="1200" baseline="0"/>
                  </a:p>
                </c:rich>
              </c:tx>
              <c:showLegendKey val="0"/>
              <c:showVal val="1"/>
              <c:showCatName val="0"/>
              <c:showSerName val="1"/>
              <c:showPercent val="0"/>
              <c:showBubbleSize val="0"/>
              <c:extLst>
                <c:ext xmlns:c15="http://schemas.microsoft.com/office/drawing/2012/chart" uri="{CE6537A1-D6FC-4f65-9D91-7224C49458BB}">
                  <c15:layout>
                    <c:manualLayout>
                      <c:w val="0.532832772858433"/>
                      <c:h val="4.1313516540180104E-2"/>
                    </c:manualLayout>
                  </c15:layout>
                  <c15:dlblFieldTable/>
                  <c15:showDataLabelsRange val="1"/>
                </c:ext>
                <c:ext xmlns:c16="http://schemas.microsoft.com/office/drawing/2014/chart" uri="{C3380CC4-5D6E-409C-BE32-E72D297353CC}">
                  <c16:uniqueId val="{00000000-EED5-4C52-AE4B-34FA57B575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Chart!$D$178</c:f>
              <c:numCache>
                <c:formatCode>_(* #,##0_);_(* \(#,##0\);_(* "-"??_);_(@_)</c:formatCode>
                <c:ptCount val="1"/>
                <c:pt idx="0">
                  <c:v>14377.071640420023</c:v>
                </c:pt>
              </c:numCache>
            </c:numRef>
          </c:val>
          <c:extLst>
            <c:ext xmlns:c15="http://schemas.microsoft.com/office/drawing/2012/chart" uri="{02D57815-91ED-43cb-92C2-25804820EDAC}">
              <c15:datalabelsRange>
                <c15:f>Chart!$E$178</c15:f>
                <c15:dlblRangeCache>
                  <c:ptCount val="1"/>
                  <c:pt idx="0">
                    <c:v>65%</c:v>
                  </c:pt>
                </c15:dlblRangeCache>
              </c15:datalabelsRange>
            </c:ext>
            <c:ext xmlns:c16="http://schemas.microsoft.com/office/drawing/2014/chart" uri="{C3380CC4-5D6E-409C-BE32-E72D297353CC}">
              <c16:uniqueId val="{00000001-EED5-4C52-AE4B-34FA57B5751D}"/>
            </c:ext>
          </c:extLst>
        </c:ser>
        <c:ser>
          <c:idx val="1"/>
          <c:order val="1"/>
          <c:tx>
            <c:strRef>
              <c:f>Chart!$C$179</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0885D2E4-A26E-49E8-A33B-D310BF20BD43}"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4089C616-89E6-4BBE-95CE-C5527F8148A0}"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820BA758-6E72-4A2E-BD20-0F0253300A48}"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927754942247917"/>
                      <c:h val="4.1313516540180104E-2"/>
                    </c:manualLayout>
                  </c15:layout>
                  <c15:dlblFieldTable/>
                  <c15:showDataLabelsRange val="1"/>
                </c:ext>
                <c:ext xmlns:c16="http://schemas.microsoft.com/office/drawing/2014/chart" uri="{C3380CC4-5D6E-409C-BE32-E72D297353CC}">
                  <c16:uniqueId val="{00000002-EED5-4C52-AE4B-34FA57B575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Chart!$D$179</c:f>
              <c:numCache>
                <c:formatCode>_(* #,##0_);_(* \(#,##0\);_(* "-"??_);_(@_)</c:formatCode>
                <c:ptCount val="1"/>
                <c:pt idx="0">
                  <c:v>2003.5843717346168</c:v>
                </c:pt>
              </c:numCache>
            </c:numRef>
          </c:val>
          <c:extLst>
            <c:ext xmlns:c15="http://schemas.microsoft.com/office/drawing/2012/chart" uri="{02D57815-91ED-43cb-92C2-25804820EDAC}">
              <c15:datalabelsRange>
                <c15:f>Chart!$E$179</c15:f>
                <c15:dlblRangeCache>
                  <c:ptCount val="1"/>
                  <c:pt idx="0">
                    <c:v>9%</c:v>
                  </c:pt>
                </c15:dlblRangeCache>
              </c15:datalabelsRange>
            </c:ext>
            <c:ext xmlns:c16="http://schemas.microsoft.com/office/drawing/2014/chart" uri="{C3380CC4-5D6E-409C-BE32-E72D297353CC}">
              <c16:uniqueId val="{00000003-EED5-4C52-AE4B-34FA57B5751D}"/>
            </c:ext>
          </c:extLst>
        </c:ser>
        <c:ser>
          <c:idx val="2"/>
          <c:order val="2"/>
          <c:tx>
            <c:strRef>
              <c:f>Chart!$C$180</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4E13429-1ABD-4F38-82B1-D437DB6B3F3C}" type="CELLRANGE">
                      <a:rPr lang="en-US" sz="1100" baseline="0">
                        <a:solidFill>
                          <a:schemeClr val="bg1"/>
                        </a:solidFill>
                      </a:rPr>
                      <a:pPr>
                        <a:defRPr sz="1100">
                          <a:solidFill>
                            <a:schemeClr val="bg1"/>
                          </a:solidFill>
                        </a:defRPr>
                      </a:pPr>
                      <a:t>[CELLRANGE]</a:t>
                    </a:fld>
                    <a:r>
                      <a:rPr lang="en-US" sz="1100" baseline="0">
                        <a:solidFill>
                          <a:schemeClr val="bg1"/>
                        </a:solidFill>
                      </a:rPr>
                      <a:t>, </a:t>
                    </a:r>
                    <a:fld id="{B89D2804-49F4-4437-AC06-3A739C3BEBC5}" type="SERIESNAME">
                      <a:rPr lang="en-US" sz="1100" baseline="0">
                        <a:solidFill>
                          <a:schemeClr val="bg1"/>
                        </a:solidFill>
                      </a:rPr>
                      <a:pPr>
                        <a:defRPr sz="1100">
                          <a:solidFill>
                            <a:schemeClr val="bg1"/>
                          </a:solidFill>
                        </a:defRPr>
                      </a:pPr>
                      <a:t>[SERIES NAME]</a:t>
                    </a:fld>
                    <a:r>
                      <a:rPr lang="en-US" sz="1100" baseline="0">
                        <a:solidFill>
                          <a:schemeClr val="bg1"/>
                        </a:solidFill>
                      </a:rPr>
                      <a:t>, </a:t>
                    </a:r>
                    <a:fld id="{193C2641-7046-4233-9701-B95EE2247AFA}" type="VALUE">
                      <a:rPr lang="en-US" sz="1100" baseline="0">
                        <a:solidFill>
                          <a:schemeClr val="bg1"/>
                        </a:solidFill>
                      </a:rPr>
                      <a:pPr>
                        <a:defRPr sz="1100">
                          <a:solidFill>
                            <a:schemeClr val="bg1"/>
                          </a:solidFill>
                        </a:defRPr>
                      </a:pPr>
                      <a:t>[VALUE]</a:t>
                    </a:fld>
                    <a:endParaRPr lang="en-US" sz="11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4046444200676778"/>
                      <c:h val="7.7663454801604082E-2"/>
                    </c:manualLayout>
                  </c15:layout>
                  <c15:dlblFieldTable/>
                  <c15:showDataLabelsRange val="1"/>
                </c:ext>
                <c:ext xmlns:c16="http://schemas.microsoft.com/office/drawing/2014/chart" uri="{C3380CC4-5D6E-409C-BE32-E72D297353CC}">
                  <c16:uniqueId val="{00000004-EED5-4C52-AE4B-34FA57B575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Chart!$D$180</c:f>
              <c:numCache>
                <c:formatCode>_(* #,##0_);_(* \(#,##0\);_(* "-"??_);_(@_)</c:formatCode>
                <c:ptCount val="1"/>
                <c:pt idx="0">
                  <c:v>3655.1877051915308</c:v>
                </c:pt>
              </c:numCache>
            </c:numRef>
          </c:val>
          <c:extLst>
            <c:ext xmlns:c15="http://schemas.microsoft.com/office/drawing/2012/chart" uri="{02D57815-91ED-43cb-92C2-25804820EDAC}">
              <c15:datalabelsRange>
                <c15:f>Chart!$E$180</c15:f>
                <c15:dlblRangeCache>
                  <c:ptCount val="1"/>
                  <c:pt idx="0">
                    <c:v>17%</c:v>
                  </c:pt>
                </c15:dlblRangeCache>
              </c15:datalabelsRange>
            </c:ext>
            <c:ext xmlns:c16="http://schemas.microsoft.com/office/drawing/2014/chart" uri="{C3380CC4-5D6E-409C-BE32-E72D297353CC}">
              <c16:uniqueId val="{00000005-EED5-4C52-AE4B-34FA57B5751D}"/>
            </c:ext>
          </c:extLst>
        </c:ser>
        <c:ser>
          <c:idx val="3"/>
          <c:order val="3"/>
          <c:tx>
            <c:strRef>
              <c:f>Chart!$C$181</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01A17D91-EBEC-4426-8A0B-FCFD7382668D}" type="CELLRANGE">
                      <a:rPr lang="en-US" sz="1100" baseline="0">
                        <a:solidFill>
                          <a:schemeClr val="bg1"/>
                        </a:solidFill>
                      </a:rPr>
                      <a:pPr>
                        <a:defRPr sz="1100">
                          <a:solidFill>
                            <a:schemeClr val="bg1"/>
                          </a:solidFill>
                        </a:defRPr>
                      </a:pPr>
                      <a:t>[CELLRANGE]</a:t>
                    </a:fld>
                    <a:r>
                      <a:rPr lang="en-US" sz="1100" baseline="0">
                        <a:solidFill>
                          <a:schemeClr val="bg1"/>
                        </a:solidFill>
                      </a:rPr>
                      <a:t>, </a:t>
                    </a:r>
                    <a:fld id="{4D00CF4A-54CA-488A-AC7C-B5F98146C11D}" type="SERIESNAME">
                      <a:rPr lang="en-US" sz="1100" baseline="0">
                        <a:solidFill>
                          <a:schemeClr val="bg1"/>
                        </a:solidFill>
                      </a:rPr>
                      <a:pPr>
                        <a:defRPr sz="1100">
                          <a:solidFill>
                            <a:schemeClr val="bg1"/>
                          </a:solidFill>
                        </a:defRPr>
                      </a:pPr>
                      <a:t>[SERIES NAME]</a:t>
                    </a:fld>
                    <a:r>
                      <a:rPr lang="en-US" sz="1100" baseline="0">
                        <a:solidFill>
                          <a:schemeClr val="bg1"/>
                        </a:solidFill>
                      </a:rPr>
                      <a:t>, </a:t>
                    </a:r>
                    <a:fld id="{D1A06289-EB91-48B0-8576-711495223BAF}" type="VALUE">
                      <a:rPr lang="en-US" sz="1100" baseline="0">
                        <a:solidFill>
                          <a:schemeClr val="bg1"/>
                        </a:solidFill>
                      </a:rPr>
                      <a:pPr>
                        <a:defRPr sz="1100">
                          <a:solidFill>
                            <a:schemeClr val="bg1"/>
                          </a:solidFill>
                        </a:defRPr>
                      </a:pPr>
                      <a:t>[VALUE]</a:t>
                    </a:fld>
                    <a:endParaRPr lang="en-US" sz="11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990863880738178"/>
                      <c:h val="5.9488550809714651E-2"/>
                    </c:manualLayout>
                  </c15:layout>
                  <c15:dlblFieldTable/>
                  <c15:showDataLabelsRange val="1"/>
                </c:ext>
                <c:ext xmlns:c16="http://schemas.microsoft.com/office/drawing/2014/chart" uri="{C3380CC4-5D6E-409C-BE32-E72D297353CC}">
                  <c16:uniqueId val="{00000006-EED5-4C52-AE4B-34FA57B575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Chart!$D$181</c:f>
              <c:numCache>
                <c:formatCode>_(* #,##0_);_(* \(#,##0\);_(* "-"??_);_(@_)</c:formatCode>
                <c:ptCount val="1"/>
                <c:pt idx="0">
                  <c:v>2024.4789219293125</c:v>
                </c:pt>
              </c:numCache>
            </c:numRef>
          </c:val>
          <c:extLst>
            <c:ext xmlns:c15="http://schemas.microsoft.com/office/drawing/2012/chart" uri="{02D57815-91ED-43cb-92C2-25804820EDAC}">
              <c15:datalabelsRange>
                <c15:f>Chart!$E$181</c15:f>
                <c15:dlblRangeCache>
                  <c:ptCount val="1"/>
                  <c:pt idx="0">
                    <c:v>9%</c:v>
                  </c:pt>
                </c15:dlblRangeCache>
              </c15:datalabelsRange>
            </c:ext>
            <c:ext xmlns:c16="http://schemas.microsoft.com/office/drawing/2014/chart" uri="{C3380CC4-5D6E-409C-BE32-E72D297353CC}">
              <c16:uniqueId val="{00000007-EED5-4C52-AE4B-34FA57B5751D}"/>
            </c:ext>
          </c:extLst>
        </c:ser>
        <c:ser>
          <c:idx val="4"/>
          <c:order val="4"/>
          <c:tx>
            <c:strRef>
              <c:f>Chart!$C$182</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9783A09-FC7E-40A6-B73E-07A9F97DB7FE}" type="CELLRANGE">
                      <a:rPr lang="en-US" sz="1050" baseline="0">
                        <a:solidFill>
                          <a:schemeClr val="bg1"/>
                        </a:solidFill>
                      </a:rPr>
                      <a:pPr>
                        <a:defRPr>
                          <a:solidFill>
                            <a:schemeClr val="bg1"/>
                          </a:solidFill>
                        </a:defRPr>
                      </a:pPr>
                      <a:t>[CELLRANGE]</a:t>
                    </a:fld>
                    <a:r>
                      <a:rPr lang="en-US" sz="1050" baseline="0">
                        <a:solidFill>
                          <a:schemeClr val="bg1"/>
                        </a:solidFill>
                      </a:rPr>
                      <a:t>, </a:t>
                    </a:r>
                    <a:fld id="{7A348A37-C038-4F28-929E-161CE5D3D330}" type="SERIESNAME">
                      <a:rPr lang="en-US" sz="1050" baseline="0">
                        <a:solidFill>
                          <a:schemeClr val="bg1"/>
                        </a:solidFill>
                      </a:rPr>
                      <a:pPr>
                        <a:defRPr>
                          <a:solidFill>
                            <a:schemeClr val="bg1"/>
                          </a:solidFill>
                        </a:defRPr>
                      </a:pPr>
                      <a:t>[SERIES NAME]</a:t>
                    </a:fld>
                    <a:r>
                      <a:rPr lang="en-US" sz="1050" baseline="0">
                        <a:solidFill>
                          <a:schemeClr val="bg1"/>
                        </a:solidFill>
                      </a:rPr>
                      <a:t>, </a:t>
                    </a:r>
                    <a:fld id="{E86A1960-FF21-4EB8-9586-6D67F7A95936}" type="VALUE">
                      <a:rPr lang="en-US" sz="1050" baseline="0">
                        <a:solidFill>
                          <a:schemeClr val="bg1"/>
                        </a:solidFill>
                      </a:rPr>
                      <a:pPr>
                        <a:defRPr>
                          <a:solidFill>
                            <a:schemeClr val="bg1"/>
                          </a:solidFill>
                        </a:defRPr>
                      </a:pPr>
                      <a:t>[VALUE]</a:t>
                    </a:fld>
                    <a:endParaRPr lang="en-US" sz="105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851221185563618"/>
                      <c:h val="5.9488550809714651E-2"/>
                    </c:manualLayout>
                  </c15:layout>
                  <c15:dlblFieldTable/>
                  <c15:showDataLabelsRange val="1"/>
                </c:ext>
                <c:ext xmlns:c16="http://schemas.microsoft.com/office/drawing/2014/chart" uri="{C3380CC4-5D6E-409C-BE32-E72D297353CC}">
                  <c16:uniqueId val="{00000008-EED5-4C52-AE4B-34FA57B575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Chart!$D$182</c:f>
              <c:numCache>
                <c:formatCode>_(* #,##0_);_(* \(#,##0\);_(* "-"??_);_(@_)</c:formatCode>
                <c:ptCount val="1"/>
                <c:pt idx="0">
                  <c:v>1273.8558498087386</c:v>
                </c:pt>
              </c:numCache>
            </c:numRef>
          </c:val>
          <c:extLst>
            <c:ext xmlns:c15="http://schemas.microsoft.com/office/drawing/2012/chart" uri="{02D57815-91ED-43cb-92C2-25804820EDAC}">
              <c15:datalabelsRange>
                <c15:f>Chart!$E$182</c15:f>
                <c15:dlblRangeCache>
                  <c:ptCount val="1"/>
                  <c:pt idx="0">
                    <c:v>6%</c:v>
                  </c:pt>
                </c15:dlblRangeCache>
              </c15:datalabelsRange>
            </c:ext>
            <c:ext xmlns:c16="http://schemas.microsoft.com/office/drawing/2014/chart" uri="{C3380CC4-5D6E-409C-BE32-E72D297353CC}">
              <c16:uniqueId val="{00000009-EED5-4C52-AE4B-34FA57B5751D}"/>
            </c:ext>
          </c:extLst>
        </c:ser>
        <c:ser>
          <c:idx val="5"/>
          <c:order val="5"/>
          <c:tx>
            <c:strRef>
              <c:f>Chart!$C$183</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D0B6155D-9662-483E-AC02-B86B2FDCA129}" type="CELLRANGE">
                      <a:rPr lang="en-US" sz="1100" b="1" baseline="0"/>
                      <a:pPr>
                        <a:defRPr sz="1100" b="1">
                          <a:solidFill>
                            <a:schemeClr val="bg1"/>
                          </a:solidFill>
                        </a:defRPr>
                      </a:pPr>
                      <a:t>[CELLRANGE]</a:t>
                    </a:fld>
                    <a:r>
                      <a:rPr lang="en-US" sz="1100" b="1" baseline="0"/>
                      <a:t>, </a:t>
                    </a:r>
                    <a:fld id="{1C02AEC4-ADA5-4B0B-BE7B-085217882C45}" type="SERIESNAME">
                      <a:rPr lang="en-US" sz="1100" b="1" baseline="0"/>
                      <a:pPr>
                        <a:defRPr sz="1100" b="1">
                          <a:solidFill>
                            <a:schemeClr val="bg1"/>
                          </a:solidFill>
                        </a:defRPr>
                      </a:pPr>
                      <a:t>[SERIES NAME]</a:t>
                    </a:fld>
                    <a:r>
                      <a:rPr lang="en-US" sz="1100" b="1" baseline="0"/>
                      <a:t>, </a:t>
                    </a:r>
                    <a:fld id="{D0B01DFC-F765-4B1B-A03E-B22049BA3C8E}"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81420337097618"/>
                      <c:h val="6.4928191790759648E-2"/>
                    </c:manualLayout>
                  </c15:layout>
                  <c15:dlblFieldTable/>
                  <c15:showDataLabelsRange val="1"/>
                </c:ext>
                <c:ext xmlns:c16="http://schemas.microsoft.com/office/drawing/2014/chart" uri="{C3380CC4-5D6E-409C-BE32-E72D297353CC}">
                  <c16:uniqueId val="{00000000-AC0B-436C-AB25-4D1E43E6C6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Chart!$D$183</c:f>
              <c:numCache>
                <c:formatCode>_(* #,##0_);_(* \(#,##0\);_(* "-"??_);_(@_)</c:formatCode>
                <c:ptCount val="1"/>
                <c:pt idx="0">
                  <c:v>-1186.3083333333332</c:v>
                </c:pt>
              </c:numCache>
            </c:numRef>
          </c:val>
          <c:extLst>
            <c:ext xmlns:c15="http://schemas.microsoft.com/office/drawing/2012/chart" uri="{02D57815-91ED-43cb-92C2-25804820EDAC}">
              <c15:datalabelsRange>
                <c15:f>Chart!$E$183</c15:f>
                <c15:dlblRangeCache>
                  <c:ptCount val="1"/>
                  <c:pt idx="0">
                    <c:v>-5%</c:v>
                  </c:pt>
                </c15:dlblRangeCache>
              </c15:datalabelsRange>
            </c:ext>
            <c:ext xmlns:c16="http://schemas.microsoft.com/office/drawing/2014/chart" uri="{C3380CC4-5D6E-409C-BE32-E72D297353CC}">
              <c16:uniqueId val="{0000000A-EED5-4C52-AE4B-34FA57B5751D}"/>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B6.2_A1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Chart!$O$178</c:f>
              <c:strCache>
                <c:ptCount val="1"/>
                <c:pt idx="0">
                  <c:v>Chi phí NVL</c:v>
                </c:pt>
              </c:strCache>
            </c:strRef>
          </c:tx>
          <c:spPr>
            <a:solidFill>
              <a:schemeClr val="accent1"/>
            </a:solidFill>
            <a:ln>
              <a:noFill/>
            </a:ln>
            <a:effectLst/>
          </c:spPr>
          <c:invertIfNegative val="0"/>
          <c:dLbls>
            <c:dLbl>
              <c:idx val="0"/>
              <c:tx>
                <c:rich>
                  <a:bodyPr/>
                  <a:lstStyle/>
                  <a:p>
                    <a:fld id="{4D6D448D-E7CC-41B1-9F0C-FDD50E89B4C5}" type="CELLRANGE">
                      <a:rPr lang="en-US" baseline="0"/>
                      <a:pPr/>
                      <a:t>[CELLRANGE]</a:t>
                    </a:fld>
                    <a:r>
                      <a:rPr lang="en-US" baseline="0"/>
                      <a:t>, </a:t>
                    </a:r>
                    <a:fld id="{D4DF35AC-4E64-4186-9843-C0BC2D2DF53F}" type="SERIESNAME">
                      <a:rPr lang="en-US" baseline="0"/>
                      <a:pPr/>
                      <a:t>[SERIES NAME]</a:t>
                    </a:fld>
                    <a:r>
                      <a:rPr lang="en-US" baseline="0"/>
                      <a:t>, </a:t>
                    </a:r>
                    <a:fld id="{742E1B92-EF18-4A21-A00E-306CC026D2E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2062862552296219"/>
                      <c:h val="4.3902044638408515E-2"/>
                    </c:manualLayout>
                  </c15:layout>
                  <c15:dlblFieldTable/>
                  <c15:showDataLabelsRange val="1"/>
                </c:ext>
                <c:ext xmlns:c16="http://schemas.microsoft.com/office/drawing/2014/chart" uri="{C3380CC4-5D6E-409C-BE32-E72D297353CC}">
                  <c16:uniqueId val="{00000000-E071-45DE-B97D-23CA0C9AAD4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Chart!$P$178</c:f>
              <c:numCache>
                <c:formatCode>_(* #,##0_);_(* \(#,##0\);_(* "-"??_);_(@_)</c:formatCode>
                <c:ptCount val="1"/>
                <c:pt idx="0">
                  <c:v>542.53100529886876</c:v>
                </c:pt>
              </c:numCache>
            </c:numRef>
          </c:val>
          <c:extLst>
            <c:ext xmlns:c15="http://schemas.microsoft.com/office/drawing/2012/chart" uri="{02D57815-91ED-43cb-92C2-25804820EDAC}">
              <c15:datalabelsRange>
                <c15:f>Chart!$E$178</c15:f>
                <c15:dlblRangeCache>
                  <c:ptCount val="1"/>
                  <c:pt idx="0">
                    <c:v>65%</c:v>
                  </c:pt>
                </c15:dlblRangeCache>
              </c15:datalabelsRange>
            </c:ext>
            <c:ext xmlns:c16="http://schemas.microsoft.com/office/drawing/2014/chart" uri="{C3380CC4-5D6E-409C-BE32-E72D297353CC}">
              <c16:uniqueId val="{00000001-E071-45DE-B97D-23CA0C9AAD4E}"/>
            </c:ext>
          </c:extLst>
        </c:ser>
        <c:ser>
          <c:idx val="1"/>
          <c:order val="1"/>
          <c:tx>
            <c:strRef>
              <c:f>Chart!$O$179</c:f>
              <c:strCache>
                <c:ptCount val="1"/>
                <c:pt idx="0">
                  <c:v>Hao hụt về tiền</c:v>
                </c:pt>
              </c:strCache>
            </c:strRef>
          </c:tx>
          <c:spPr>
            <a:solidFill>
              <a:schemeClr val="accent2"/>
            </a:solidFill>
            <a:ln>
              <a:noFill/>
            </a:ln>
            <a:effectLst/>
          </c:spPr>
          <c:invertIfNegative val="0"/>
          <c:dLbls>
            <c:dLbl>
              <c:idx val="0"/>
              <c:tx>
                <c:rich>
                  <a:bodyPr/>
                  <a:lstStyle/>
                  <a:p>
                    <a:fld id="{2C67B090-0356-463C-BB6E-42FF40914BE7}" type="CELLRANGE">
                      <a:rPr lang="en-US" baseline="0"/>
                      <a:pPr/>
                      <a:t>[CELLRANGE]</a:t>
                    </a:fld>
                    <a:r>
                      <a:rPr lang="en-US" baseline="0"/>
                      <a:t>, </a:t>
                    </a:r>
                    <a:fld id="{0DCA6325-3EBC-41EB-91B3-6DE5691CBBF3}" type="SERIESNAME">
                      <a:rPr lang="en-US" baseline="0"/>
                      <a:pPr/>
                      <a:t>[SERIES NAME]</a:t>
                    </a:fld>
                    <a:r>
                      <a:rPr lang="en-US" baseline="0"/>
                      <a:t>, </a:t>
                    </a:r>
                    <a:fld id="{495AA235-308A-4789-8E0B-A969C9927F6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0651847686735448"/>
                      <c:h val="4.3902044638408515E-2"/>
                    </c:manualLayout>
                  </c15:layout>
                  <c15:dlblFieldTable/>
                  <c15:showDataLabelsRange val="1"/>
                </c:ext>
                <c:ext xmlns:c16="http://schemas.microsoft.com/office/drawing/2014/chart" uri="{C3380CC4-5D6E-409C-BE32-E72D297353CC}">
                  <c16:uniqueId val="{00000002-E071-45DE-B97D-23CA0C9AAD4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Chart!$P$179</c:f>
              <c:numCache>
                <c:formatCode>_(* #,##0_);_(* \(#,##0\);_(* "-"??_);_(@_)</c:formatCode>
                <c:ptCount val="1"/>
                <c:pt idx="0">
                  <c:v>75.606957423947804</c:v>
                </c:pt>
              </c:numCache>
            </c:numRef>
          </c:val>
          <c:extLst>
            <c:ext xmlns:c15="http://schemas.microsoft.com/office/drawing/2012/chart" uri="{02D57815-91ED-43cb-92C2-25804820EDAC}">
              <c15:datalabelsRange>
                <c15:f>Chart!$Q$179</c15:f>
                <c15:dlblRangeCache>
                  <c:ptCount val="1"/>
                  <c:pt idx="0">
                    <c:v>9%</c:v>
                  </c:pt>
                </c15:dlblRangeCache>
              </c15:datalabelsRange>
            </c:ext>
            <c:ext xmlns:c16="http://schemas.microsoft.com/office/drawing/2014/chart" uri="{C3380CC4-5D6E-409C-BE32-E72D297353CC}">
              <c16:uniqueId val="{00000003-E071-45DE-B97D-23CA0C9AAD4E}"/>
            </c:ext>
          </c:extLst>
        </c:ser>
        <c:ser>
          <c:idx val="2"/>
          <c:order val="2"/>
          <c:tx>
            <c:strRef>
              <c:f>Chart!$O$180</c:f>
              <c:strCache>
                <c:ptCount val="1"/>
                <c:pt idx="0">
                  <c:v>Chi phí sản xuất _Phân loại</c:v>
                </c:pt>
              </c:strCache>
            </c:strRef>
          </c:tx>
          <c:spPr>
            <a:solidFill>
              <a:schemeClr val="accent3"/>
            </a:solidFill>
            <a:ln>
              <a:noFill/>
            </a:ln>
            <a:effectLst/>
          </c:spPr>
          <c:invertIfNegative val="0"/>
          <c:dLbls>
            <c:dLbl>
              <c:idx val="0"/>
              <c:tx>
                <c:rich>
                  <a:bodyPr/>
                  <a:lstStyle/>
                  <a:p>
                    <a:fld id="{1F4D2AFD-D324-40CE-B325-5C1EB681DAA3}" type="CELLRANGE">
                      <a:rPr lang="en-US" baseline="0"/>
                      <a:pPr/>
                      <a:t>[CELLRANGE]</a:t>
                    </a:fld>
                    <a:r>
                      <a:rPr lang="en-US" baseline="0"/>
                      <a:t>, </a:t>
                    </a:r>
                    <a:fld id="{4449C906-DDF6-43F9-AC91-0ADF26DD25AE}" type="SERIESNAME">
                      <a:rPr lang="en-US" baseline="0"/>
                      <a:pPr/>
                      <a:t>[SERIES NAME]</a:t>
                    </a:fld>
                    <a:r>
                      <a:rPr lang="en-US" baseline="0"/>
                      <a:t>, </a:t>
                    </a:r>
                    <a:fld id="{18843A87-C32D-43F6-BCA9-D13ADAE67E2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9283015693500649"/>
                      <c:h val="8.252951443039229E-2"/>
                    </c:manualLayout>
                  </c15:layout>
                  <c15:dlblFieldTable/>
                  <c15:showDataLabelsRange val="1"/>
                </c:ext>
                <c:ext xmlns:c16="http://schemas.microsoft.com/office/drawing/2014/chart" uri="{C3380CC4-5D6E-409C-BE32-E72D297353CC}">
                  <c16:uniqueId val="{00000004-E071-45DE-B97D-23CA0C9AAD4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Chart!$P$180</c:f>
              <c:numCache>
                <c:formatCode>_(* #,##0_);_(* \(#,##0\);_(* "-"??_);_(@_)</c:formatCode>
                <c:ptCount val="1"/>
                <c:pt idx="0">
                  <c:v>137.93161151666155</c:v>
                </c:pt>
              </c:numCache>
            </c:numRef>
          </c:val>
          <c:extLst>
            <c:ext xmlns:c15="http://schemas.microsoft.com/office/drawing/2012/chart" uri="{02D57815-91ED-43cb-92C2-25804820EDAC}">
              <c15:datalabelsRange>
                <c15:f>Chart!$Q$180</c15:f>
                <c15:dlblRangeCache>
                  <c:ptCount val="1"/>
                  <c:pt idx="0">
                    <c:v>17%</c:v>
                  </c:pt>
                </c15:dlblRangeCache>
              </c15:datalabelsRange>
            </c:ext>
            <c:ext xmlns:c16="http://schemas.microsoft.com/office/drawing/2014/chart" uri="{C3380CC4-5D6E-409C-BE32-E72D297353CC}">
              <c16:uniqueId val="{00000005-E071-45DE-B97D-23CA0C9AAD4E}"/>
            </c:ext>
          </c:extLst>
        </c:ser>
        <c:ser>
          <c:idx val="3"/>
          <c:order val="3"/>
          <c:tx>
            <c:strRef>
              <c:f>Chart!$O$181</c:f>
              <c:strCache>
                <c:ptCount val="1"/>
                <c:pt idx="0">
                  <c:v>Chi phí sản xuất _Băm</c:v>
                </c:pt>
              </c:strCache>
            </c:strRef>
          </c:tx>
          <c:spPr>
            <a:solidFill>
              <a:schemeClr val="accent4"/>
            </a:solidFill>
            <a:ln>
              <a:noFill/>
            </a:ln>
            <a:effectLst/>
          </c:spPr>
          <c:invertIfNegative val="0"/>
          <c:dLbls>
            <c:dLbl>
              <c:idx val="0"/>
              <c:tx>
                <c:rich>
                  <a:bodyPr/>
                  <a:lstStyle/>
                  <a:p>
                    <a:fld id="{236CD99A-B8BE-48FF-8402-661A8E5BFE16}" type="CELLRANGE">
                      <a:rPr lang="en-US" baseline="0"/>
                      <a:pPr/>
                      <a:t>[CELLRANGE]</a:t>
                    </a:fld>
                    <a:r>
                      <a:rPr lang="en-US" baseline="0"/>
                      <a:t>, </a:t>
                    </a:r>
                    <a:fld id="{63963924-2A5D-42FD-9F9D-CB6098000BE7}" type="SERIESNAME">
                      <a:rPr lang="en-US" baseline="0"/>
                      <a:pPr/>
                      <a:t>[SERIES NAME]</a:t>
                    </a:fld>
                    <a:r>
                      <a:rPr lang="en-US" baseline="0"/>
                      <a:t>, </a:t>
                    </a:r>
                    <a:fld id="{F69963B3-6757-464D-AAC3-2B4071FB544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6786104556740857"/>
                      <c:h val="6.3215848754542739E-2"/>
                    </c:manualLayout>
                  </c15:layout>
                  <c15:dlblFieldTable/>
                  <c15:showDataLabelsRange val="1"/>
                </c:ext>
                <c:ext xmlns:c16="http://schemas.microsoft.com/office/drawing/2014/chart" uri="{C3380CC4-5D6E-409C-BE32-E72D297353CC}">
                  <c16:uniqueId val="{00000006-E071-45DE-B97D-23CA0C9AAD4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Chart!$P$181</c:f>
              <c:numCache>
                <c:formatCode>_(* #,##0_);_(* \(#,##0\);_(* "-"??_);_(@_)</c:formatCode>
                <c:ptCount val="1"/>
                <c:pt idx="0">
                  <c:v>76.395431016200476</c:v>
                </c:pt>
              </c:numCache>
            </c:numRef>
          </c:val>
          <c:extLst>
            <c:ext xmlns:c15="http://schemas.microsoft.com/office/drawing/2012/chart" uri="{02D57815-91ED-43cb-92C2-25804820EDAC}">
              <c15:datalabelsRange>
                <c15:f>Chart!$Q$181</c15:f>
                <c15:dlblRangeCache>
                  <c:ptCount val="1"/>
                  <c:pt idx="0">
                    <c:v>9%</c:v>
                  </c:pt>
                </c15:dlblRangeCache>
              </c15:datalabelsRange>
            </c:ext>
            <c:ext xmlns:c16="http://schemas.microsoft.com/office/drawing/2014/chart" uri="{C3380CC4-5D6E-409C-BE32-E72D297353CC}">
              <c16:uniqueId val="{00000007-E071-45DE-B97D-23CA0C9AAD4E}"/>
            </c:ext>
          </c:extLst>
        </c:ser>
        <c:ser>
          <c:idx val="4"/>
          <c:order val="4"/>
          <c:tx>
            <c:strRef>
              <c:f>Chart!$O$182</c:f>
              <c:strCache>
                <c:ptCount val="1"/>
                <c:pt idx="0">
                  <c:v>Chi phí sản xuất _Rữa</c:v>
                </c:pt>
              </c:strCache>
            </c:strRef>
          </c:tx>
          <c:spPr>
            <a:solidFill>
              <a:schemeClr val="accent5"/>
            </a:solidFill>
            <a:ln>
              <a:noFill/>
            </a:ln>
            <a:effectLst/>
          </c:spPr>
          <c:invertIfNegative val="0"/>
          <c:dLbls>
            <c:dLbl>
              <c:idx val="0"/>
              <c:tx>
                <c:rich>
                  <a:bodyPr/>
                  <a:lstStyle/>
                  <a:p>
                    <a:fld id="{D1309FFF-FE9A-45BB-AF6A-94E9A6970136}" type="CELLRANGE">
                      <a:rPr lang="en-US" baseline="0"/>
                      <a:pPr/>
                      <a:t>[CELLRANGE]</a:t>
                    </a:fld>
                    <a:r>
                      <a:rPr lang="en-US" baseline="0"/>
                      <a:t>, </a:t>
                    </a:r>
                    <a:fld id="{561C0AA6-5796-4342-BFAA-9EAE2FB47E85}" type="SERIESNAME">
                      <a:rPr lang="en-US" baseline="0"/>
                      <a:pPr/>
                      <a:t>[SERIES NAME]</a:t>
                    </a:fld>
                    <a:r>
                      <a:rPr lang="en-US" baseline="0"/>
                      <a:t>, </a:t>
                    </a:r>
                    <a:fld id="{28C7B616-A9FD-4715-A7EE-76160F346D3D}"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6083241163222308"/>
                      <c:h val="6.3215848754542739E-2"/>
                    </c:manualLayout>
                  </c15:layout>
                  <c15:dlblFieldTable/>
                  <c15:showDataLabelsRange val="1"/>
                </c:ext>
                <c:ext xmlns:c16="http://schemas.microsoft.com/office/drawing/2014/chart" uri="{C3380CC4-5D6E-409C-BE32-E72D297353CC}">
                  <c16:uniqueId val="{00000008-E071-45DE-B97D-23CA0C9AAD4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Chart!$P$182</c:f>
              <c:numCache>
                <c:formatCode>_(* #,##0_);_(* \(#,##0\);_(* "-"??_);_(@_)</c:formatCode>
                <c:ptCount val="1"/>
                <c:pt idx="0">
                  <c:v>48.070032068254285</c:v>
                </c:pt>
              </c:numCache>
            </c:numRef>
          </c:val>
          <c:extLst>
            <c:ext xmlns:c15="http://schemas.microsoft.com/office/drawing/2012/chart" uri="{02D57815-91ED-43cb-92C2-25804820EDAC}">
              <c15:datalabelsRange>
                <c15:f>Chart!$Q$182</c15:f>
                <c15:dlblRangeCache>
                  <c:ptCount val="1"/>
                  <c:pt idx="0">
                    <c:v>6%</c:v>
                  </c:pt>
                </c15:dlblRangeCache>
              </c15:datalabelsRange>
            </c:ext>
            <c:ext xmlns:c16="http://schemas.microsoft.com/office/drawing/2014/chart" uri="{C3380CC4-5D6E-409C-BE32-E72D297353CC}">
              <c16:uniqueId val="{00000009-E071-45DE-B97D-23CA0C9AAD4E}"/>
            </c:ext>
          </c:extLst>
        </c:ser>
        <c:ser>
          <c:idx val="5"/>
          <c:order val="5"/>
          <c:tx>
            <c:strRef>
              <c:f>Chart!$O$183</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FF5AB105-14C7-4E11-B59E-1FDF3F1201E5}" type="CELLRANGE">
                      <a:rPr lang="en-US" sz="1100" b="1" baseline="0"/>
                      <a:pPr>
                        <a:defRPr sz="1100" b="1">
                          <a:solidFill>
                            <a:schemeClr val="bg1"/>
                          </a:solidFill>
                        </a:defRPr>
                      </a:pPr>
                      <a:t>[CELLRANGE]</a:t>
                    </a:fld>
                    <a:r>
                      <a:rPr lang="en-US" sz="1100" b="1" baseline="0"/>
                      <a:t>, </a:t>
                    </a:r>
                    <a:fld id="{FAECC1CB-0069-406C-8A95-62AE2FAA1412}" type="SERIESNAME">
                      <a:rPr lang="en-US" sz="1100" b="1" baseline="0"/>
                      <a:pPr>
                        <a:defRPr sz="1100" b="1">
                          <a:solidFill>
                            <a:schemeClr val="bg1"/>
                          </a:solidFill>
                        </a:defRPr>
                      </a:pPr>
                      <a:t>[SERIES NAME]</a:t>
                    </a:fld>
                    <a:r>
                      <a:rPr lang="en-US" sz="1100" b="1" baseline="0"/>
                      <a:t>, </a:t>
                    </a:r>
                    <a:fld id="{681AA158-DB6D-4A3C-AD5A-45CE1180C163}"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3459814615629189"/>
                      <c:h val="4.5091229975524789E-2"/>
                    </c:manualLayout>
                  </c15:layout>
                  <c15:dlblFieldTable/>
                  <c15:showDataLabelsRange val="1"/>
                </c:ext>
                <c:ext xmlns:c16="http://schemas.microsoft.com/office/drawing/2014/chart" uri="{C3380CC4-5D6E-409C-BE32-E72D297353CC}">
                  <c16:uniqueId val="{00000000-1BF9-42A6-8F0F-0EA5223DB9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Chart!$P$183</c:f>
              <c:numCache>
                <c:formatCode>_(* #,##0_);_(* \(#,##0\);_(* "-"??_);_(@_)</c:formatCode>
                <c:ptCount val="1"/>
                <c:pt idx="0">
                  <c:v>-44.766352201257853</c:v>
                </c:pt>
              </c:numCache>
            </c:numRef>
          </c:val>
          <c:extLst>
            <c:ext xmlns:c15="http://schemas.microsoft.com/office/drawing/2012/chart" uri="{02D57815-91ED-43cb-92C2-25804820EDAC}">
              <c15:datalabelsRange>
                <c15:f>Chart!$Q$183</c15:f>
                <c15:dlblRangeCache>
                  <c:ptCount val="1"/>
                  <c:pt idx="0">
                    <c:v>-5%</c:v>
                  </c:pt>
                </c15:dlblRangeCache>
              </c15:datalabelsRange>
            </c:ext>
            <c:ext xmlns:c16="http://schemas.microsoft.com/office/drawing/2014/chart" uri="{C3380CC4-5D6E-409C-BE32-E72D297353CC}">
              <c16:uniqueId val="{0000000A-E071-45DE-B97D-23CA0C9AAD4E}"/>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B5_A1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Chart!$O$134</c:f>
              <c:strCache>
                <c:ptCount val="1"/>
                <c:pt idx="0">
                  <c:v>Chi phí NVL</c:v>
                </c:pt>
              </c:strCache>
            </c:strRef>
          </c:tx>
          <c:spPr>
            <a:solidFill>
              <a:schemeClr val="accent1"/>
            </a:solidFill>
            <a:ln>
              <a:noFill/>
            </a:ln>
            <a:effectLst/>
          </c:spPr>
          <c:invertIfNegative val="0"/>
          <c:dLbls>
            <c:dLbl>
              <c:idx val="0"/>
              <c:layout>
                <c:manualLayout>
                  <c:x val="1.581442635416731E-2"/>
                  <c:y val="0"/>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D2ACC2BC-8F3D-4E6D-9862-98A579D4A92E}" type="CELLRANGE">
                      <a:rPr lang="en-US" sz="1200" b="1" baseline="0"/>
                      <a:pPr>
                        <a:defRPr sz="1200" b="1">
                          <a:solidFill>
                            <a:schemeClr val="bg1"/>
                          </a:solidFill>
                        </a:defRPr>
                      </a:pPr>
                      <a:t>[CELLRANGE]</a:t>
                    </a:fld>
                    <a:r>
                      <a:rPr lang="en-US" sz="1200" b="1" baseline="0"/>
                      <a:t>, </a:t>
                    </a:r>
                    <a:fld id="{6697D603-D6A2-4D96-9F04-878CDCC6680D}" type="SERIESNAME">
                      <a:rPr lang="en-US" sz="1200" b="1" baseline="0"/>
                      <a:pPr>
                        <a:defRPr sz="1200" b="1">
                          <a:solidFill>
                            <a:schemeClr val="bg1"/>
                          </a:solidFill>
                        </a:defRPr>
                      </a:pPr>
                      <a:t>[SERIES NAME]</a:t>
                    </a:fld>
                    <a:r>
                      <a:rPr lang="en-US" sz="1200" b="1" baseline="0"/>
                      <a:t>, </a:t>
                    </a:r>
                    <a:fld id="{69509E66-94D1-415B-AC1C-9ED38F7B9993}"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631474610166777"/>
                      <c:h val="4.3902044638408515E-2"/>
                    </c:manualLayout>
                  </c15:layout>
                  <c15:dlblFieldTable/>
                  <c15:showDataLabelsRange val="1"/>
                </c:ext>
                <c:ext xmlns:c16="http://schemas.microsoft.com/office/drawing/2014/chart" uri="{C3380CC4-5D6E-409C-BE32-E72D297353CC}">
                  <c16:uniqueId val="{00000000-2124-401E-9E43-F31DD8EAB1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Chart!$P$134</c:f>
              <c:numCache>
                <c:formatCode>_(* #,##0_);_(* \(#,##0\);_(* "-"??_);_(@_)</c:formatCode>
                <c:ptCount val="1"/>
                <c:pt idx="0">
                  <c:v>462.1315217732058</c:v>
                </c:pt>
              </c:numCache>
            </c:numRef>
          </c:val>
          <c:extLst>
            <c:ext xmlns:c15="http://schemas.microsoft.com/office/drawing/2012/chart" uri="{02D57815-91ED-43cb-92C2-25804820EDAC}">
              <c15:datalabelsRange>
                <c15:f>Chart!$Q$134</c15:f>
                <c15:dlblRangeCache>
                  <c:ptCount val="1"/>
                  <c:pt idx="0">
                    <c:v>63%</c:v>
                  </c:pt>
                </c15:dlblRangeCache>
              </c15:datalabelsRange>
            </c:ext>
            <c:ext xmlns:c16="http://schemas.microsoft.com/office/drawing/2014/chart" uri="{C3380CC4-5D6E-409C-BE32-E72D297353CC}">
              <c16:uniqueId val="{00000001-2124-401E-9E43-F31DD8EAB119}"/>
            </c:ext>
          </c:extLst>
        </c:ser>
        <c:ser>
          <c:idx val="1"/>
          <c:order val="1"/>
          <c:tx>
            <c:strRef>
              <c:f>Chart!$O$135</c:f>
              <c:strCache>
                <c:ptCount val="1"/>
                <c:pt idx="0">
                  <c:v>Hao hụt về tiền</c:v>
                </c:pt>
              </c:strCache>
            </c:strRef>
          </c:tx>
          <c:spPr>
            <a:solidFill>
              <a:schemeClr val="accent2"/>
            </a:solidFill>
            <a:ln>
              <a:noFill/>
            </a:ln>
            <a:effectLst/>
          </c:spPr>
          <c:invertIfNegative val="0"/>
          <c:dLbls>
            <c:dLbl>
              <c:idx val="0"/>
              <c:tx>
                <c:rich>
                  <a:bodyPr/>
                  <a:lstStyle/>
                  <a:p>
                    <a:fld id="{071919FE-8662-4926-BF22-2FFC706A2577}" type="CELLRANGE">
                      <a:rPr lang="en-US" baseline="0"/>
                      <a:pPr/>
                      <a:t>[CELLRANGE]</a:t>
                    </a:fld>
                    <a:r>
                      <a:rPr lang="en-US" baseline="0"/>
                      <a:t>, </a:t>
                    </a:r>
                    <a:fld id="{192FC765-7AF5-4CC3-9668-FD566F56B72F}" type="SERIESNAME">
                      <a:rPr lang="en-US" baseline="0"/>
                      <a:pPr/>
                      <a:t>[SERIES NAME]</a:t>
                    </a:fld>
                    <a:r>
                      <a:rPr lang="en-US" baseline="0"/>
                      <a:t>, </a:t>
                    </a:r>
                    <a:fld id="{A2676444-AA90-4F32-98D7-BFE026418AC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9086208408958021"/>
                      <c:h val="4.3902044638408515E-2"/>
                    </c:manualLayout>
                  </c15:layout>
                  <c15:dlblFieldTable/>
                  <c15:showDataLabelsRange val="1"/>
                </c:ext>
                <c:ext xmlns:c16="http://schemas.microsoft.com/office/drawing/2014/chart" uri="{C3380CC4-5D6E-409C-BE32-E72D297353CC}">
                  <c16:uniqueId val="{00000002-2124-401E-9E43-F31DD8EAB11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Chart!$P$135</c:f>
              <c:numCache>
                <c:formatCode>_(* #,##0_);_(* \(#,##0\);_(* "-"??_);_(@_)</c:formatCode>
                <c:ptCount val="1"/>
                <c:pt idx="0">
                  <c:v>64.402509625644484</c:v>
                </c:pt>
              </c:numCache>
            </c:numRef>
          </c:val>
          <c:extLst>
            <c:ext xmlns:c15="http://schemas.microsoft.com/office/drawing/2012/chart" uri="{02D57815-91ED-43cb-92C2-25804820EDAC}">
              <c15:datalabelsRange>
                <c15:f>Chart!$Q$135</c15:f>
                <c15:dlblRangeCache>
                  <c:ptCount val="1"/>
                  <c:pt idx="0">
                    <c:v>9%</c:v>
                  </c:pt>
                </c15:dlblRangeCache>
              </c15:datalabelsRange>
            </c:ext>
            <c:ext xmlns:c16="http://schemas.microsoft.com/office/drawing/2014/chart" uri="{C3380CC4-5D6E-409C-BE32-E72D297353CC}">
              <c16:uniqueId val="{00000003-2124-401E-9E43-F31DD8EAB119}"/>
            </c:ext>
          </c:extLst>
        </c:ser>
        <c:ser>
          <c:idx val="2"/>
          <c:order val="2"/>
          <c:tx>
            <c:strRef>
              <c:f>Chart!$O$136</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395CEBC5-28C1-4329-B4E5-E60D17A607E0}" type="CELLRANGE">
                      <a:rPr lang="en-US" sz="1100" b="1" baseline="0"/>
                      <a:pPr>
                        <a:defRPr sz="1100" b="1">
                          <a:solidFill>
                            <a:schemeClr val="bg1"/>
                          </a:solidFill>
                        </a:defRPr>
                      </a:pPr>
                      <a:t>[CELLRANGE]</a:t>
                    </a:fld>
                    <a:r>
                      <a:rPr lang="en-US" sz="1100" b="1" baseline="0"/>
                      <a:t>, </a:t>
                    </a:r>
                    <a:fld id="{4718F9AF-DA87-4FE6-B00F-0AF74A4D1515}" type="SERIESNAME">
                      <a:rPr lang="en-US" sz="1100" b="1" baseline="0"/>
                      <a:pPr>
                        <a:defRPr sz="1100" b="1">
                          <a:solidFill>
                            <a:schemeClr val="bg1"/>
                          </a:solidFill>
                        </a:defRPr>
                      </a:pPr>
                      <a:t>[SERIES NAME]</a:t>
                    </a:fld>
                    <a:r>
                      <a:rPr lang="en-US" sz="1100" b="1" baseline="0"/>
                      <a:t>, </a:t>
                    </a:r>
                    <a:fld id="{EB604B93-29C1-4151-9424-282280AF8527}"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254381758315169"/>
                      <c:h val="8.252951443039229E-2"/>
                    </c:manualLayout>
                  </c15:layout>
                  <c15:dlblFieldTable/>
                  <c15:showDataLabelsRange val="1"/>
                </c:ext>
                <c:ext xmlns:c16="http://schemas.microsoft.com/office/drawing/2014/chart" uri="{C3380CC4-5D6E-409C-BE32-E72D297353CC}">
                  <c16:uniqueId val="{00000004-2124-401E-9E43-F31DD8EAB11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Chart!$P$136</c:f>
              <c:numCache>
                <c:formatCode>_(* #,##0_);_(* \(#,##0\);_(* "-"??_);_(@_)</c:formatCode>
                <c:ptCount val="1"/>
                <c:pt idx="0">
                  <c:v>117.49106485759468</c:v>
                </c:pt>
              </c:numCache>
            </c:numRef>
          </c:val>
          <c:extLst>
            <c:ext xmlns:c15="http://schemas.microsoft.com/office/drawing/2012/chart" uri="{02D57815-91ED-43cb-92C2-25804820EDAC}">
              <c15:datalabelsRange>
                <c15:f>Chart!$Q$136</c15:f>
                <c15:dlblRangeCache>
                  <c:ptCount val="1"/>
                  <c:pt idx="0">
                    <c:v>16%</c:v>
                  </c:pt>
                </c15:dlblRangeCache>
              </c15:datalabelsRange>
            </c:ext>
            <c:ext xmlns:c16="http://schemas.microsoft.com/office/drawing/2014/chart" uri="{C3380CC4-5D6E-409C-BE32-E72D297353CC}">
              <c16:uniqueId val="{00000005-2124-401E-9E43-F31DD8EAB119}"/>
            </c:ext>
          </c:extLst>
        </c:ser>
        <c:ser>
          <c:idx val="3"/>
          <c:order val="3"/>
          <c:tx>
            <c:strRef>
              <c:f>Chart!$O$137</c:f>
              <c:strCache>
                <c:ptCount val="1"/>
                <c:pt idx="0">
                  <c:v>Chi phí sản xuất _Băm</c:v>
                </c:pt>
              </c:strCache>
            </c:strRef>
          </c:tx>
          <c:spPr>
            <a:solidFill>
              <a:schemeClr val="accent4"/>
            </a:solidFill>
            <a:ln>
              <a:noFill/>
            </a:ln>
            <a:effectLst/>
          </c:spPr>
          <c:invertIfNegative val="0"/>
          <c:dLbls>
            <c:dLbl>
              <c:idx val="0"/>
              <c:tx>
                <c:rich>
                  <a:bodyPr/>
                  <a:lstStyle/>
                  <a:p>
                    <a:fld id="{524AC483-9ED0-4285-8391-6A69EB6F8A0D}" type="CELLRANGE">
                      <a:rPr lang="en-US" baseline="0"/>
                      <a:pPr/>
                      <a:t>[CELLRANGE]</a:t>
                    </a:fld>
                    <a:r>
                      <a:rPr lang="en-US" baseline="0"/>
                      <a:t>, </a:t>
                    </a:r>
                    <a:fld id="{F80C2A3A-6534-4D36-9744-8A4765B48616}" type="SERIESNAME">
                      <a:rPr lang="en-US" baseline="0"/>
                      <a:pPr/>
                      <a:t>[SERIES NAME]</a:t>
                    </a:fld>
                    <a:r>
                      <a:rPr lang="en-US" baseline="0"/>
                      <a:t>, </a:t>
                    </a:r>
                    <a:fld id="{B95B753C-4613-405B-8EE4-E5B61FAFE23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028946072944485"/>
                      <c:h val="6.3215848754542739E-2"/>
                    </c:manualLayout>
                  </c15:layout>
                  <c15:dlblFieldTable/>
                  <c15:showDataLabelsRange val="1"/>
                </c:ext>
                <c:ext xmlns:c16="http://schemas.microsoft.com/office/drawing/2014/chart" uri="{C3380CC4-5D6E-409C-BE32-E72D297353CC}">
                  <c16:uniqueId val="{00000006-2124-401E-9E43-F31DD8EAB11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Chart!$P$137</c:f>
              <c:numCache>
                <c:formatCode>_(* #,##0_);_(* \(#,##0\);_(* "-"??_);_(@_)</c:formatCode>
                <c:ptCount val="1"/>
                <c:pt idx="0">
                  <c:v>77.081567417441264</c:v>
                </c:pt>
              </c:numCache>
            </c:numRef>
          </c:val>
          <c:extLst>
            <c:ext xmlns:c15="http://schemas.microsoft.com/office/drawing/2012/chart" uri="{02D57815-91ED-43cb-92C2-25804820EDAC}">
              <c15:datalabelsRange>
                <c15:f>Chart!$Q$137</c15:f>
                <c15:dlblRangeCache>
                  <c:ptCount val="1"/>
                  <c:pt idx="0">
                    <c:v>11%</c:v>
                  </c:pt>
                </c15:dlblRangeCache>
              </c15:datalabelsRange>
            </c:ext>
            <c:ext xmlns:c16="http://schemas.microsoft.com/office/drawing/2014/chart" uri="{C3380CC4-5D6E-409C-BE32-E72D297353CC}">
              <c16:uniqueId val="{00000007-2124-401E-9E43-F31DD8EAB119}"/>
            </c:ext>
          </c:extLst>
        </c:ser>
        <c:ser>
          <c:idx val="4"/>
          <c:order val="4"/>
          <c:tx>
            <c:strRef>
              <c:f>Chart!$O$138</c:f>
              <c:strCache>
                <c:ptCount val="1"/>
                <c:pt idx="0">
                  <c:v>Chi phí sản xuất _Rữa</c:v>
                </c:pt>
              </c:strCache>
            </c:strRef>
          </c:tx>
          <c:spPr>
            <a:solidFill>
              <a:schemeClr val="accent5"/>
            </a:solidFill>
            <a:ln>
              <a:noFill/>
            </a:ln>
            <a:effectLst/>
          </c:spPr>
          <c:invertIfNegative val="0"/>
          <c:dLbls>
            <c:dLbl>
              <c:idx val="0"/>
              <c:tx>
                <c:rich>
                  <a:bodyPr/>
                  <a:lstStyle/>
                  <a:p>
                    <a:fld id="{B2339C32-1CFA-467E-BD8E-69C86ED5E1FC}" type="CELLRANGE">
                      <a:rPr lang="en-US" baseline="0"/>
                      <a:pPr/>
                      <a:t>[CELLRANGE]</a:t>
                    </a:fld>
                    <a:r>
                      <a:rPr lang="en-US" baseline="0"/>
                      <a:t>, </a:t>
                    </a:r>
                    <a:fld id="{4760B08B-9426-4237-8B43-E1469D164142}" type="SERIESNAME">
                      <a:rPr lang="en-US" baseline="0"/>
                      <a:pPr/>
                      <a:t>[SERIES NAME]</a:t>
                    </a:fld>
                    <a:r>
                      <a:rPr lang="en-US" baseline="0"/>
                      <a:t>, </a:t>
                    </a:r>
                    <a:fld id="{C93F5998-52D7-4EE2-B782-0FE0EDC9277B}"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3463306795167063"/>
                      <c:h val="6.3215848754542739E-2"/>
                    </c:manualLayout>
                  </c15:layout>
                  <c15:dlblFieldTable/>
                  <c15:showDataLabelsRange val="1"/>
                </c:ext>
                <c:ext xmlns:c16="http://schemas.microsoft.com/office/drawing/2014/chart" uri="{C3380CC4-5D6E-409C-BE32-E72D297353CC}">
                  <c16:uniqueId val="{00000008-2124-401E-9E43-F31DD8EAB11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Chart!$P$138</c:f>
              <c:numCache>
                <c:formatCode>_(* #,##0_);_(* \(#,##0\);_(* "-"??_);_(@_)</c:formatCode>
                <c:ptCount val="1"/>
                <c:pt idx="0">
                  <c:v>48.070032068254285</c:v>
                </c:pt>
              </c:numCache>
            </c:numRef>
          </c:val>
          <c:extLst>
            <c:ext xmlns:c15="http://schemas.microsoft.com/office/drawing/2012/chart" uri="{02D57815-91ED-43cb-92C2-25804820EDAC}">
              <c15:datalabelsRange>
                <c15:f>Chart!$Q$138</c15:f>
                <c15:dlblRangeCache>
                  <c:ptCount val="1"/>
                  <c:pt idx="0">
                    <c:v>7%</c:v>
                  </c:pt>
                </c15:dlblRangeCache>
              </c15:datalabelsRange>
            </c:ext>
            <c:ext xmlns:c16="http://schemas.microsoft.com/office/drawing/2014/chart" uri="{C3380CC4-5D6E-409C-BE32-E72D297353CC}">
              <c16:uniqueId val="{00000009-2124-401E-9E43-F31DD8EAB119}"/>
            </c:ext>
          </c:extLst>
        </c:ser>
        <c:ser>
          <c:idx val="5"/>
          <c:order val="5"/>
          <c:tx>
            <c:strRef>
              <c:f>Chart!$O$139</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A82E9BD4-812D-41FC-940C-6FFD5A639E7C}" type="CELLRANGE">
                      <a:rPr lang="en-US" sz="1100" b="1" baseline="0"/>
                      <a:pPr>
                        <a:defRPr sz="1100" b="1">
                          <a:solidFill>
                            <a:schemeClr val="bg1"/>
                          </a:solidFill>
                        </a:defRPr>
                      </a:pPr>
                      <a:t>[CELLRANGE]</a:t>
                    </a:fld>
                    <a:r>
                      <a:rPr lang="en-US" sz="1100" b="1" baseline="0"/>
                      <a:t>, </a:t>
                    </a:r>
                    <a:fld id="{A4964B3F-1103-4438-BE2C-EFEB1724EFA5}" type="SERIESNAME">
                      <a:rPr lang="en-US" sz="1100" b="1" baseline="0"/>
                      <a:pPr>
                        <a:defRPr sz="1100" b="1">
                          <a:solidFill>
                            <a:schemeClr val="bg1"/>
                          </a:solidFill>
                        </a:defRPr>
                      </a:pPr>
                      <a:t>[SERIES NAME]</a:t>
                    </a:fld>
                    <a:r>
                      <a:rPr lang="en-US" sz="1100" b="1" baseline="0"/>
                      <a:t>, </a:t>
                    </a:r>
                    <a:fld id="{AAF61066-E017-4354-8D7B-16D9C7883443}"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191311944333207"/>
                      <c:h val="4.3902044638408515E-2"/>
                    </c:manualLayout>
                  </c15:layout>
                  <c15:dlblFieldTable/>
                  <c15:showDataLabelsRange val="1"/>
                </c:ext>
                <c:ext xmlns:c16="http://schemas.microsoft.com/office/drawing/2014/chart" uri="{C3380CC4-5D6E-409C-BE32-E72D297353CC}">
                  <c16:uniqueId val="{00000000-299B-4FEA-852E-054BAD4FBD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Chart!$P$139</c:f>
              <c:numCache>
                <c:formatCode>_(* #,##0_);_(* \(#,##0\);_(* "-"??_);_(@_)</c:formatCode>
                <c:ptCount val="1"/>
                <c:pt idx="0">
                  <c:v>-38.2719071085411</c:v>
                </c:pt>
              </c:numCache>
            </c:numRef>
          </c:val>
          <c:extLst>
            <c:ext xmlns:c15="http://schemas.microsoft.com/office/drawing/2012/chart" uri="{02D57815-91ED-43cb-92C2-25804820EDAC}">
              <c15:datalabelsRange>
                <c15:f>Chart!$Q$139</c15:f>
                <c15:dlblRangeCache>
                  <c:ptCount val="1"/>
                  <c:pt idx="0">
                    <c:v>-5%</c:v>
                  </c:pt>
                </c15:dlblRangeCache>
              </c15:datalabelsRange>
            </c:ext>
            <c:ext xmlns:c16="http://schemas.microsoft.com/office/drawing/2014/chart" uri="{C3380CC4-5D6E-409C-BE32-E72D297353CC}">
              <c16:uniqueId val="{0000000A-2124-401E-9E43-F31DD8EAB119}"/>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B4_A1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Chart!$O$90</c:f>
              <c:strCache>
                <c:ptCount val="1"/>
                <c:pt idx="0">
                  <c:v>Chi phí NVL</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7CE68759-B0B9-4000-A69F-278BEC8FD737}"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B97A1ADF-DDCD-4638-9CDC-AF920E3DAC55}"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44F1E79B-DBC9-4E57-A37C-72B694910E77}"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631490281112218"/>
                      <c:h val="4.3211376270050152E-2"/>
                    </c:manualLayout>
                  </c15:layout>
                  <c15:dlblFieldTable/>
                  <c15:showDataLabelsRange val="1"/>
                </c:ext>
                <c:ext xmlns:c16="http://schemas.microsoft.com/office/drawing/2014/chart" uri="{C3380CC4-5D6E-409C-BE32-E72D297353CC}">
                  <c16:uniqueId val="{00000000-C9D7-49AF-99AE-66D10F4856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Chart!$P$90</c:f>
              <c:numCache>
                <c:formatCode>_(* #,##0_);_(* \(#,##0\);_(* "-"??_);_(@_)</c:formatCode>
                <c:ptCount val="1"/>
                <c:pt idx="0">
                  <c:v>490.28823075224966</c:v>
                </c:pt>
              </c:numCache>
            </c:numRef>
          </c:val>
          <c:extLst>
            <c:ext xmlns:c15="http://schemas.microsoft.com/office/drawing/2012/chart" uri="{02D57815-91ED-43cb-92C2-25804820EDAC}">
              <c15:datalabelsRange>
                <c15:f>Chart!$Q$90</c15:f>
                <c15:dlblRangeCache>
                  <c:ptCount val="1"/>
                  <c:pt idx="0">
                    <c:v>64%</c:v>
                  </c:pt>
                </c15:dlblRangeCache>
              </c15:datalabelsRange>
            </c:ext>
            <c:ext xmlns:c16="http://schemas.microsoft.com/office/drawing/2014/chart" uri="{C3380CC4-5D6E-409C-BE32-E72D297353CC}">
              <c16:uniqueId val="{00000001-C9D7-49AF-99AE-66D10F485644}"/>
            </c:ext>
          </c:extLst>
        </c:ser>
        <c:ser>
          <c:idx val="1"/>
          <c:order val="1"/>
          <c:tx>
            <c:strRef>
              <c:f>Chart!$O$91</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B8C3EFFF-CACF-46E8-AF72-0BFCE29316F9}" type="CELLRANGE">
                      <a:rPr lang="en-US" sz="1200" b="1" baseline="0"/>
                      <a:pPr>
                        <a:defRPr sz="1200" b="1">
                          <a:solidFill>
                            <a:schemeClr val="bg1"/>
                          </a:solidFill>
                        </a:defRPr>
                      </a:pPr>
                      <a:t>[CELLRANGE]</a:t>
                    </a:fld>
                    <a:r>
                      <a:rPr lang="en-US" sz="1200" b="1" baseline="0"/>
                      <a:t>, </a:t>
                    </a:r>
                    <a:fld id="{F67105EA-333B-4A8D-A804-CB27CD204FD6}" type="SERIESNAME">
                      <a:rPr lang="en-US" sz="1200" b="1" baseline="0"/>
                      <a:pPr>
                        <a:defRPr sz="1200" b="1">
                          <a:solidFill>
                            <a:schemeClr val="bg1"/>
                          </a:solidFill>
                        </a:defRPr>
                      </a:pPr>
                      <a:t>[SERIES NAME]</a:t>
                    </a:fld>
                    <a:r>
                      <a:rPr lang="en-US" sz="1200" b="1" baseline="0"/>
                      <a:t>, </a:t>
                    </a:r>
                    <a:fld id="{ED795453-4BDE-4EF0-ABAC-0D7241278533}"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491949168019823"/>
                      <c:h val="4.3211376270050152E-2"/>
                    </c:manualLayout>
                  </c15:layout>
                  <c15:dlblFieldTable/>
                  <c15:showDataLabelsRange val="1"/>
                </c:ext>
                <c:ext xmlns:c16="http://schemas.microsoft.com/office/drawing/2014/chart" uri="{C3380CC4-5D6E-409C-BE32-E72D297353CC}">
                  <c16:uniqueId val="{00000002-C9D7-49AF-99AE-66D10F4856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Chart!$P$91</c:f>
              <c:numCache>
                <c:formatCode>_(* #,##0_);_(* \(#,##0\);_(* "-"??_);_(@_)</c:formatCode>
                <c:ptCount val="1"/>
                <c:pt idx="0">
                  <c:v>68.326420104833261</c:v>
                </c:pt>
              </c:numCache>
            </c:numRef>
          </c:val>
          <c:extLst>
            <c:ext xmlns:c15="http://schemas.microsoft.com/office/drawing/2012/chart" uri="{02D57815-91ED-43cb-92C2-25804820EDAC}">
              <c15:datalabelsRange>
                <c15:f>Chart!$Q$91</c15:f>
                <c15:dlblRangeCache>
                  <c:ptCount val="1"/>
                  <c:pt idx="0">
                    <c:v>9%</c:v>
                  </c:pt>
                </c15:dlblRangeCache>
              </c15:datalabelsRange>
            </c:ext>
            <c:ext xmlns:c16="http://schemas.microsoft.com/office/drawing/2014/chart" uri="{C3380CC4-5D6E-409C-BE32-E72D297353CC}">
              <c16:uniqueId val="{00000003-C9D7-49AF-99AE-66D10F485644}"/>
            </c:ext>
          </c:extLst>
        </c:ser>
        <c:ser>
          <c:idx val="2"/>
          <c:order val="2"/>
          <c:tx>
            <c:strRef>
              <c:f>Chart!$O$92</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BB0C3DAC-ED7D-4423-9796-8FE134E6900D}" type="CELLRANGE">
                      <a:rPr lang="en-US" sz="1200" b="1" baseline="0"/>
                      <a:pPr>
                        <a:defRPr sz="1200" b="1">
                          <a:solidFill>
                            <a:schemeClr val="bg1"/>
                          </a:solidFill>
                        </a:defRPr>
                      </a:pPr>
                      <a:t>[CELLRANGE]</a:t>
                    </a:fld>
                    <a:r>
                      <a:rPr lang="en-US" sz="1200" b="1" baseline="0"/>
                      <a:t>, </a:t>
                    </a:r>
                    <a:fld id="{E9C45842-CA57-4DD5-AEC3-038003562510}" type="SERIESNAME">
                      <a:rPr lang="en-US" sz="1200" b="1" baseline="0"/>
                      <a:pPr>
                        <a:defRPr sz="1200" b="1">
                          <a:solidFill>
                            <a:schemeClr val="bg1"/>
                          </a:solidFill>
                        </a:defRPr>
                      </a:pPr>
                      <a:t>[SERIES NAME]</a:t>
                    </a:fld>
                    <a:r>
                      <a:rPr lang="en-US" sz="1200" b="1" baseline="0"/>
                      <a:t>, </a:t>
                    </a:r>
                    <a:fld id="{4B31C34D-1C78-4353-8E04-777180D4BF89}"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580171277341118"/>
                      <c:h val="8.1231157473614507E-2"/>
                    </c:manualLayout>
                  </c15:layout>
                  <c15:dlblFieldTable/>
                  <c15:showDataLabelsRange val="1"/>
                </c:ext>
                <c:ext xmlns:c16="http://schemas.microsoft.com/office/drawing/2014/chart" uri="{C3380CC4-5D6E-409C-BE32-E72D297353CC}">
                  <c16:uniqueId val="{00000004-C9D7-49AF-99AE-66D10F4856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Chart!$P$92</c:f>
              <c:numCache>
                <c:formatCode>_(* #,##0_);_(* \(#,##0\);_(* "-"??_);_(@_)</c:formatCode>
                <c:ptCount val="1"/>
                <c:pt idx="0">
                  <c:v>124.64955019124987</c:v>
                </c:pt>
              </c:numCache>
            </c:numRef>
          </c:val>
          <c:extLst>
            <c:ext xmlns:c15="http://schemas.microsoft.com/office/drawing/2012/chart" uri="{02D57815-91ED-43cb-92C2-25804820EDAC}">
              <c15:datalabelsRange>
                <c15:f>Chart!$Q$180</c15:f>
                <c15:dlblRangeCache>
                  <c:ptCount val="1"/>
                  <c:pt idx="0">
                    <c:v>17%</c:v>
                  </c:pt>
                </c15:dlblRangeCache>
              </c15:datalabelsRange>
            </c:ext>
            <c:ext xmlns:c16="http://schemas.microsoft.com/office/drawing/2014/chart" uri="{C3380CC4-5D6E-409C-BE32-E72D297353CC}">
              <c16:uniqueId val="{00000005-C9D7-49AF-99AE-66D10F485644}"/>
            </c:ext>
          </c:extLst>
        </c:ser>
        <c:ser>
          <c:idx val="3"/>
          <c:order val="3"/>
          <c:tx>
            <c:strRef>
              <c:f>Chart!$O$93</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133111B3-525D-4EB5-BEC1-67421C039143}" type="CELLRANGE">
                      <a:rPr lang="en-US" sz="1200" b="1" baseline="0"/>
                      <a:pPr>
                        <a:defRPr sz="1200" b="1">
                          <a:solidFill>
                            <a:schemeClr val="bg1"/>
                          </a:solidFill>
                        </a:defRPr>
                      </a:pPr>
                      <a:t>[CELLRANGE]</a:t>
                    </a:fld>
                    <a:r>
                      <a:rPr lang="en-US" sz="1200" b="1" baseline="0"/>
                      <a:t>, </a:t>
                    </a:r>
                    <a:fld id="{81CEE38A-A4A3-4D9E-A473-85077BDBCAEF}" type="SERIESNAME">
                      <a:rPr lang="en-US" sz="1200" b="1" baseline="0"/>
                      <a:pPr>
                        <a:defRPr sz="1200" b="1">
                          <a:solidFill>
                            <a:schemeClr val="bg1"/>
                          </a:solidFill>
                        </a:defRPr>
                      </a:pPr>
                      <a:t>[SERIES NAME]</a:t>
                    </a:fld>
                    <a:r>
                      <a:rPr lang="en-US" sz="1200" b="1" baseline="0"/>
                      <a:t>, </a:t>
                    </a:r>
                    <a:fld id="{AC278F43-9985-4EEF-88E5-6B1D4EACD758}"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037217457139156"/>
                      <c:h val="6.2221335003001178E-2"/>
                    </c:manualLayout>
                  </c15:layout>
                  <c15:dlblFieldTable/>
                  <c15:showDataLabelsRange val="1"/>
                </c:ext>
                <c:ext xmlns:c16="http://schemas.microsoft.com/office/drawing/2014/chart" uri="{C3380CC4-5D6E-409C-BE32-E72D297353CC}">
                  <c16:uniqueId val="{00000006-C9D7-49AF-99AE-66D10F4856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Chart!$P$93</c:f>
              <c:numCache>
                <c:formatCode>_(* #,##0_);_(* \(#,##0\);_(* "-"??_);_(@_)</c:formatCode>
                <c:ptCount val="1"/>
                <c:pt idx="0">
                  <c:v>79.430554234902786</c:v>
                </c:pt>
              </c:numCache>
            </c:numRef>
          </c:val>
          <c:extLst>
            <c:ext xmlns:c15="http://schemas.microsoft.com/office/drawing/2012/chart" uri="{02D57815-91ED-43cb-92C2-25804820EDAC}">
              <c15:datalabelsRange>
                <c15:f>Chart!$Q$93</c15:f>
                <c15:dlblRangeCache>
                  <c:ptCount val="1"/>
                  <c:pt idx="0">
                    <c:v>10%</c:v>
                  </c:pt>
                </c15:dlblRangeCache>
              </c15:datalabelsRange>
            </c:ext>
            <c:ext xmlns:c16="http://schemas.microsoft.com/office/drawing/2014/chart" uri="{C3380CC4-5D6E-409C-BE32-E72D297353CC}">
              <c16:uniqueId val="{00000007-C9D7-49AF-99AE-66D10F485644}"/>
            </c:ext>
          </c:extLst>
        </c:ser>
        <c:ser>
          <c:idx val="4"/>
          <c:order val="4"/>
          <c:tx>
            <c:strRef>
              <c:f>Chart!$O$94</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fld id="{A802FFDA-D563-4344-9786-DEE0829033B9}" type="CELLRANGE">
                      <a:rPr lang="en-US" baseline="0"/>
                      <a:pPr>
                        <a:defRPr sz="1200" b="1">
                          <a:solidFill>
                            <a:schemeClr val="bg1"/>
                          </a:solidFill>
                        </a:defRPr>
                      </a:pPr>
                      <a:t>[CELLRANGE]</a:t>
                    </a:fld>
                    <a:r>
                      <a:rPr lang="en-US" baseline="0"/>
                      <a:t>, </a:t>
                    </a:r>
                    <a:fld id="{FCDA3A47-1092-42D7-BACB-DD3ED556DD0F}" type="SERIESNAME">
                      <a:rPr lang="en-US" baseline="0"/>
                      <a:pPr>
                        <a:defRPr sz="1200" b="1">
                          <a:solidFill>
                            <a:schemeClr val="bg1"/>
                          </a:solidFill>
                        </a:defRPr>
                      </a:pPr>
                      <a:t>[SERIES NAME]</a:t>
                    </a:fld>
                    <a:r>
                      <a:rPr lang="en-US" baseline="0"/>
                      <a:t>, </a:t>
                    </a:r>
                    <a:fld id="{69F246E5-7F87-4CDE-9346-D2E5A3B56D51}" type="VALUE">
                      <a:rPr lang="en-US" baseline="0"/>
                      <a:pPr>
                        <a:defRPr sz="1200" b="1">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013654370427929"/>
                      <c:h val="6.5067991499955388E-2"/>
                    </c:manualLayout>
                  </c15:layout>
                  <c15:dlblFieldTable/>
                  <c15:showDataLabelsRange val="1"/>
                </c:ext>
                <c:ext xmlns:c16="http://schemas.microsoft.com/office/drawing/2014/chart" uri="{C3380CC4-5D6E-409C-BE32-E72D297353CC}">
                  <c16:uniqueId val="{00000008-C9D7-49AF-99AE-66D10F48564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Chart!$P$94</c:f>
              <c:numCache>
                <c:formatCode>_(* #,##0_);_(* \(#,##0\);_(* "-"??_);_(@_)</c:formatCode>
                <c:ptCount val="1"/>
                <c:pt idx="0">
                  <c:v>48.070032068254285</c:v>
                </c:pt>
              </c:numCache>
            </c:numRef>
          </c:val>
          <c:extLst>
            <c:ext xmlns:c15="http://schemas.microsoft.com/office/drawing/2012/chart" uri="{02D57815-91ED-43cb-92C2-25804820EDAC}">
              <c15:datalabelsRange>
                <c15:f>Chart!$Q$182</c15:f>
                <c15:dlblRangeCache>
                  <c:ptCount val="1"/>
                  <c:pt idx="0">
                    <c:v>6%</c:v>
                  </c:pt>
                </c15:dlblRangeCache>
              </c15:datalabelsRange>
            </c:ext>
            <c:ext xmlns:c16="http://schemas.microsoft.com/office/drawing/2014/chart" uri="{C3380CC4-5D6E-409C-BE32-E72D297353CC}">
              <c16:uniqueId val="{00000009-C9D7-49AF-99AE-66D10F485644}"/>
            </c:ext>
          </c:extLst>
        </c:ser>
        <c:ser>
          <c:idx val="5"/>
          <c:order val="5"/>
          <c:tx>
            <c:strRef>
              <c:f>Chart!$O$95</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F7741F37-0923-45E7-ABE8-9EEBD9CDA366}" type="CELLRANGE">
                      <a:rPr lang="en-US" sz="1100" b="1" baseline="0"/>
                      <a:pPr>
                        <a:defRPr sz="1100" b="1">
                          <a:solidFill>
                            <a:schemeClr val="bg1"/>
                          </a:solidFill>
                        </a:defRPr>
                      </a:pPr>
                      <a:t>[CELLRANGE]</a:t>
                    </a:fld>
                    <a:r>
                      <a:rPr lang="en-US" sz="1100" b="1" baseline="0"/>
                      <a:t>, </a:t>
                    </a:r>
                    <a:fld id="{2EDB9F4B-141E-4214-A023-194F2C10E021}" type="SERIESNAME">
                      <a:rPr lang="en-US" sz="1100" b="1" baseline="0"/>
                      <a:pPr>
                        <a:defRPr sz="1100" b="1">
                          <a:solidFill>
                            <a:schemeClr val="bg1"/>
                          </a:solidFill>
                        </a:defRPr>
                      </a:pPr>
                      <a:t>[SERIES NAME]</a:t>
                    </a:fld>
                    <a:r>
                      <a:rPr lang="en-US" sz="1100" b="1" baseline="0"/>
                      <a:t>, </a:t>
                    </a:r>
                    <a:fld id="{3208F791-1A2A-422E-B1E8-BBBC0595D0FF}"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5919836492944094"/>
                      <c:h val="4.3211376270050152E-2"/>
                    </c:manualLayout>
                  </c15:layout>
                  <c15:dlblFieldTable/>
                  <c15:showDataLabelsRange val="1"/>
                </c:ext>
                <c:ext xmlns:c16="http://schemas.microsoft.com/office/drawing/2014/chart" uri="{C3380CC4-5D6E-409C-BE32-E72D297353CC}">
                  <c16:uniqueId val="{00000000-146C-41E6-AE0D-6D0BA28A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Chart!$P$95</c:f>
              <c:numCache>
                <c:formatCode>_(* #,##0_);_(* \(#,##0\);_(* "-"??_);_(@_)</c:formatCode>
                <c:ptCount val="1"/>
                <c:pt idx="0">
                  <c:v>-42.498113207547163</c:v>
                </c:pt>
              </c:numCache>
            </c:numRef>
          </c:val>
          <c:extLst>
            <c:ext xmlns:c15="http://schemas.microsoft.com/office/drawing/2012/chart" uri="{02D57815-91ED-43cb-92C2-25804820EDAC}">
              <c15:datalabelsRange>
                <c15:f>Chart!$Q$95</c15:f>
                <c15:dlblRangeCache>
                  <c:ptCount val="1"/>
                  <c:pt idx="0">
                    <c:v>-6%</c:v>
                  </c:pt>
                </c15:dlblRangeCache>
              </c15:datalabelsRange>
            </c:ext>
            <c:ext xmlns:c16="http://schemas.microsoft.com/office/drawing/2014/chart" uri="{C3380CC4-5D6E-409C-BE32-E72D297353CC}">
              <c16:uniqueId val="{0000000A-C9D7-49AF-99AE-66D10F485644}"/>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B2.2_A1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Chart!$O$46</c:f>
              <c:strCache>
                <c:ptCount val="1"/>
                <c:pt idx="0">
                  <c:v>Chi phí NVL</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478360D3-188A-4D26-9408-1E0BEEC74EB3}"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F0C25F92-B4B7-44BF-B3C7-A5863FFCCB09}"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F538303F-3422-44E5-B4AB-298280C7252D}"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375629118254861"/>
                      <c:h val="8.2547096346547028E-2"/>
                    </c:manualLayout>
                  </c15:layout>
                  <c15:dlblFieldTable/>
                  <c15:showDataLabelsRange val="1"/>
                </c:ext>
                <c:ext xmlns:c16="http://schemas.microsoft.com/office/drawing/2014/chart" uri="{C3380CC4-5D6E-409C-BE32-E72D297353CC}">
                  <c16:uniqueId val="{00000000-904F-4060-A1E1-DD339B02AA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Chart!$P$46</c:f>
              <c:numCache>
                <c:formatCode>_(* #,##0_);_(* \(#,##0\);_(* "-"??_);_(@_)</c:formatCode>
                <c:ptCount val="1"/>
                <c:pt idx="0">
                  <c:v>493.55536950812109</c:v>
                </c:pt>
              </c:numCache>
            </c:numRef>
          </c:val>
          <c:extLst>
            <c:ext xmlns:c15="http://schemas.microsoft.com/office/drawing/2012/chart" uri="{02D57815-91ED-43cb-92C2-25804820EDAC}">
              <c15:datalabelsRange>
                <c15:f>Chart!$Q$46</c15:f>
                <c15:dlblRangeCache>
                  <c:ptCount val="1"/>
                  <c:pt idx="0">
                    <c:v>63%</c:v>
                  </c:pt>
                </c15:dlblRangeCache>
              </c15:datalabelsRange>
            </c:ext>
            <c:ext xmlns:c16="http://schemas.microsoft.com/office/drawing/2014/chart" uri="{C3380CC4-5D6E-409C-BE32-E72D297353CC}">
              <c16:uniqueId val="{00000001-904F-4060-A1E1-DD339B02AA94}"/>
            </c:ext>
          </c:extLst>
        </c:ser>
        <c:ser>
          <c:idx val="1"/>
          <c:order val="1"/>
          <c:tx>
            <c:strRef>
              <c:f>Chart!$O$47</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286E45D7-7BD8-4EBB-A9A4-273E13842FF1}" type="CELLRANGE">
                      <a:rPr lang="en-US" baseline="0">
                        <a:solidFill>
                          <a:schemeClr val="bg1"/>
                        </a:solidFill>
                      </a:rPr>
                      <a:pPr>
                        <a:defRPr sz="1200" b="1">
                          <a:solidFill>
                            <a:schemeClr val="bg1"/>
                          </a:solidFill>
                        </a:defRPr>
                      </a:pPr>
                      <a:t>[CELLRANGE]</a:t>
                    </a:fld>
                    <a:r>
                      <a:rPr lang="en-US" baseline="0">
                        <a:solidFill>
                          <a:schemeClr val="bg1"/>
                        </a:solidFill>
                      </a:rPr>
                      <a:t>, </a:t>
                    </a:r>
                    <a:fld id="{F0362010-88F1-4011-A5E7-E64BA6734843}" type="SERIESNAME">
                      <a:rPr lang="en-US" baseline="0">
                        <a:solidFill>
                          <a:schemeClr val="bg1"/>
                        </a:solidFill>
                      </a:rPr>
                      <a:pPr>
                        <a:defRPr sz="1200" b="1">
                          <a:solidFill>
                            <a:schemeClr val="bg1"/>
                          </a:solidFill>
                        </a:defRPr>
                      </a:pPr>
                      <a:t>[SERIES NAME]</a:t>
                    </a:fld>
                    <a:r>
                      <a:rPr lang="en-US" baseline="0">
                        <a:solidFill>
                          <a:schemeClr val="bg1"/>
                        </a:solidFill>
                      </a:rPr>
                      <a:t>, </a:t>
                    </a:r>
                    <a:fld id="{014AA78F-DA41-448F-A88C-77F0043008EB}" type="VALUE">
                      <a:rPr lang="en-US" baseline="0">
                        <a:solidFill>
                          <a:schemeClr val="bg1"/>
                        </a:solidFill>
                      </a:rPr>
                      <a:pPr>
                        <a:defRPr sz="1200" b="1">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596862903966691"/>
                      <c:h val="8.2547096346547028E-2"/>
                    </c:manualLayout>
                  </c15:layout>
                  <c15:dlblFieldTable/>
                  <c15:showDataLabelsRange val="1"/>
                </c:ext>
                <c:ext xmlns:c16="http://schemas.microsoft.com/office/drawing/2014/chart" uri="{C3380CC4-5D6E-409C-BE32-E72D297353CC}">
                  <c16:uniqueId val="{00000002-904F-4060-A1E1-DD339B02AA9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Chart!$P$47</c:f>
              <c:numCache>
                <c:formatCode>_(* #,##0_);_(* \(#,##0\);_(* "-"??_);_(@_)</c:formatCode>
                <c:ptCount val="1"/>
                <c:pt idx="0">
                  <c:v>68.781727577402933</c:v>
                </c:pt>
              </c:numCache>
            </c:numRef>
          </c:val>
          <c:extLst>
            <c:ext xmlns:c15="http://schemas.microsoft.com/office/drawing/2012/chart" uri="{02D57815-91ED-43cb-92C2-25804820EDAC}">
              <c15:datalabelsRange>
                <c15:f>Chart!$Q$47</c15:f>
                <c15:dlblRangeCache>
                  <c:ptCount val="1"/>
                  <c:pt idx="0">
                    <c:v>9%</c:v>
                  </c:pt>
                </c15:dlblRangeCache>
              </c15:datalabelsRange>
            </c:ext>
            <c:ext xmlns:c16="http://schemas.microsoft.com/office/drawing/2014/chart" uri="{C3380CC4-5D6E-409C-BE32-E72D297353CC}">
              <c16:uniqueId val="{00000003-904F-4060-A1E1-DD339B02AA94}"/>
            </c:ext>
          </c:extLst>
        </c:ser>
        <c:ser>
          <c:idx val="2"/>
          <c:order val="2"/>
          <c:tx>
            <c:strRef>
              <c:f>Chart!$O$48</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04D6A780-4D80-43B9-B0DE-8436A8CBD7D5}" type="CELLRANGE">
                      <a:rPr lang="en-US" sz="1200" b="1" baseline="0"/>
                      <a:pPr>
                        <a:defRPr sz="1200" b="1">
                          <a:solidFill>
                            <a:schemeClr val="bg1"/>
                          </a:solidFill>
                        </a:defRPr>
                      </a:pPr>
                      <a:t>[CELLRANGE]</a:t>
                    </a:fld>
                    <a:r>
                      <a:rPr lang="en-US" sz="1200" b="1" baseline="0"/>
                      <a:t>, </a:t>
                    </a:r>
                    <a:fld id="{9C8B27CB-A16F-47F4-83A6-82C9F285828A}" type="SERIESNAME">
                      <a:rPr lang="en-US" sz="1200" b="1" baseline="0"/>
                      <a:pPr>
                        <a:defRPr sz="1200" b="1">
                          <a:solidFill>
                            <a:schemeClr val="bg1"/>
                          </a:solidFill>
                        </a:defRPr>
                      </a:pPr>
                      <a:t>[SERIES NAME]</a:t>
                    </a:fld>
                    <a:r>
                      <a:rPr lang="en-US" sz="1200" b="1" baseline="0"/>
                      <a:t>, </a:t>
                    </a:r>
                    <a:fld id="{382B0FC8-3799-4CCB-BD17-174E90934623}"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931603071347847"/>
                      <c:h val="8.252951443039229E-2"/>
                    </c:manualLayout>
                  </c15:layout>
                  <c15:dlblFieldTable/>
                  <c15:showDataLabelsRange val="1"/>
                </c:ext>
                <c:ext xmlns:c16="http://schemas.microsoft.com/office/drawing/2014/chart" uri="{C3380CC4-5D6E-409C-BE32-E72D297353CC}">
                  <c16:uniqueId val="{00000004-904F-4060-A1E1-DD339B02AA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Chart!$P$48</c:f>
              <c:numCache>
                <c:formatCode>_(* #,##0_);_(* \(#,##0\);_(* "-"??_);_(@_)</c:formatCode>
                <c:ptCount val="1"/>
                <c:pt idx="0">
                  <c:v>125.48017868850536</c:v>
                </c:pt>
              </c:numCache>
            </c:numRef>
          </c:val>
          <c:extLst>
            <c:ext xmlns:c15="http://schemas.microsoft.com/office/drawing/2012/chart" uri="{02D57815-91ED-43cb-92C2-25804820EDAC}">
              <c15:datalabelsRange>
                <c15:f>Chart!$Q$48</c15:f>
                <c15:dlblRangeCache>
                  <c:ptCount val="1"/>
                  <c:pt idx="0">
                    <c:v>16%</c:v>
                  </c:pt>
                </c15:dlblRangeCache>
              </c15:datalabelsRange>
            </c:ext>
            <c:ext xmlns:c16="http://schemas.microsoft.com/office/drawing/2014/chart" uri="{C3380CC4-5D6E-409C-BE32-E72D297353CC}">
              <c16:uniqueId val="{00000005-904F-4060-A1E1-DD339B02AA94}"/>
            </c:ext>
          </c:extLst>
        </c:ser>
        <c:ser>
          <c:idx val="3"/>
          <c:order val="3"/>
          <c:tx>
            <c:strRef>
              <c:f>Chart!$O$49</c:f>
              <c:strCache>
                <c:ptCount val="1"/>
                <c:pt idx="0">
                  <c:v>Chi phí sản xuất _Băm</c:v>
                </c:pt>
              </c:strCache>
            </c:strRef>
          </c:tx>
          <c:spPr>
            <a:solidFill>
              <a:schemeClr val="accent4"/>
            </a:solidFill>
            <a:ln>
              <a:noFill/>
            </a:ln>
            <a:effectLst/>
          </c:spPr>
          <c:invertIfNegative val="0"/>
          <c:dLbls>
            <c:dLbl>
              <c:idx val="0"/>
              <c:layout>
                <c:manualLayout>
                  <c:x val="-7.0286358801346397E-3"/>
                  <c:y val="6.9220142309298759E-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6C64792-394F-4406-AC19-A2BAC0C43935}" type="CELLRANGE">
                      <a:rPr lang="en-US" sz="1200" b="1">
                        <a:solidFill>
                          <a:schemeClr val="bg1"/>
                        </a:solidFill>
                      </a:rPr>
                      <a:pPr>
                        <a:defRPr>
                          <a:solidFill>
                            <a:schemeClr val="bg1"/>
                          </a:solidFill>
                        </a:defRPr>
                      </a:pPr>
                      <a:t>[CELLRANGE]</a:t>
                    </a:fld>
                    <a:r>
                      <a:rPr lang="en-US" baseline="0">
                        <a:solidFill>
                          <a:schemeClr val="bg1"/>
                        </a:solidFill>
                      </a:rPr>
                      <a:t>, </a:t>
                    </a:r>
                    <a:fld id="{A9E29C84-8A9B-4288-A646-5843A8413DD2}" type="SERIESNAME">
                      <a:rPr lang="en-US" sz="1200" b="1" baseline="0">
                        <a:solidFill>
                          <a:schemeClr val="bg1"/>
                        </a:solidFill>
                      </a:rPr>
                      <a:pPr>
                        <a:defRPr>
                          <a:solidFill>
                            <a:schemeClr val="bg1"/>
                          </a:solidFill>
                        </a:defRPr>
                      </a:pPr>
                      <a:t>[SERIES NAME]</a:t>
                    </a:fld>
                    <a:r>
                      <a:rPr lang="en-US" baseline="0">
                        <a:solidFill>
                          <a:schemeClr val="bg1"/>
                        </a:solidFill>
                      </a:rPr>
                      <a:t>, </a:t>
                    </a:r>
                    <a:fld id="{88C14F9A-DCDC-42A2-8ECA-6664D9A56136}"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388649251145885"/>
                      <c:h val="6.3215848754542739E-2"/>
                    </c:manualLayout>
                  </c15:layout>
                  <c15:dlblFieldTable/>
                  <c15:showDataLabelsRange val="1"/>
                </c:ext>
                <c:ext xmlns:c16="http://schemas.microsoft.com/office/drawing/2014/chart" uri="{C3380CC4-5D6E-409C-BE32-E72D297353CC}">
                  <c16:uniqueId val="{00000006-904F-4060-A1E1-DD339B02AA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Chart!$P$49</c:f>
              <c:numCache>
                <c:formatCode>_(* #,##0_);_(* \(#,##0\);_(* "-"??_);_(@_)</c:formatCode>
                <c:ptCount val="1"/>
                <c:pt idx="0">
                  <c:v>74.843636129026763</c:v>
                </c:pt>
              </c:numCache>
            </c:numRef>
          </c:val>
          <c:extLst>
            <c:ext xmlns:c15="http://schemas.microsoft.com/office/drawing/2012/chart" uri="{02D57815-91ED-43cb-92C2-25804820EDAC}">
              <c15:datalabelsRange>
                <c15:f>Chart!$Q$49</c15:f>
                <c15:dlblRangeCache>
                  <c:ptCount val="1"/>
                  <c:pt idx="0">
                    <c:v>10%</c:v>
                  </c:pt>
                </c15:dlblRangeCache>
              </c15:datalabelsRange>
            </c:ext>
            <c:ext xmlns:c16="http://schemas.microsoft.com/office/drawing/2014/chart" uri="{C3380CC4-5D6E-409C-BE32-E72D297353CC}">
              <c16:uniqueId val="{00000007-904F-4060-A1E1-DD339B02AA94}"/>
            </c:ext>
          </c:extLst>
        </c:ser>
        <c:ser>
          <c:idx val="4"/>
          <c:order val="4"/>
          <c:tx>
            <c:strRef>
              <c:f>Chart!$O$50</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4B4A0426-709F-44D1-8875-2E53BC678CD5}"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381A18DD-0718-4992-8D46-92B108879BD0}"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FA68D4E3-CBAB-4137-9346-6EA9C7209594}"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083256682461724"/>
                      <c:h val="6.3215848754542739E-2"/>
                    </c:manualLayout>
                  </c15:layout>
                  <c15:dlblFieldTable/>
                  <c15:showDataLabelsRange val="1"/>
                </c:ext>
                <c:ext xmlns:c16="http://schemas.microsoft.com/office/drawing/2014/chart" uri="{C3380CC4-5D6E-409C-BE32-E72D297353CC}">
                  <c16:uniqueId val="{00000008-904F-4060-A1E1-DD339B02AA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Chart!$P$50</c:f>
              <c:numCache>
                <c:formatCode>_(* #,##0_);_(* \(#,##0\);_(* "-"??_);_(@_)</c:formatCode>
                <c:ptCount val="1"/>
                <c:pt idx="0">
                  <c:v>48.070032068254285</c:v>
                </c:pt>
              </c:numCache>
            </c:numRef>
          </c:val>
          <c:extLst>
            <c:ext xmlns:c15="http://schemas.microsoft.com/office/drawing/2012/chart" uri="{02D57815-91ED-43cb-92C2-25804820EDAC}">
              <c15:datalabelsRange>
                <c15:f>Chart!$Q$50</c15:f>
                <c15:dlblRangeCache>
                  <c:ptCount val="1"/>
                  <c:pt idx="0">
                    <c:v>6%</c:v>
                  </c:pt>
                </c15:dlblRangeCache>
              </c15:datalabelsRange>
            </c:ext>
            <c:ext xmlns:c16="http://schemas.microsoft.com/office/drawing/2014/chart" uri="{C3380CC4-5D6E-409C-BE32-E72D297353CC}">
              <c16:uniqueId val="{00000009-904F-4060-A1E1-DD339B02AA94}"/>
            </c:ext>
          </c:extLst>
        </c:ser>
        <c:ser>
          <c:idx val="5"/>
          <c:order val="5"/>
          <c:tx>
            <c:strRef>
              <c:f>Chart!$O$51</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4E2D6A4D-364A-4FD7-87F6-DA0EE14FC3A2}" type="CELLRANGE">
                      <a:rPr lang="en-US" sz="1000" b="1" baseline="0">
                        <a:solidFill>
                          <a:schemeClr val="bg1"/>
                        </a:solidFill>
                      </a:rPr>
                      <a:pPr>
                        <a:defRPr sz="1000" b="1">
                          <a:solidFill>
                            <a:schemeClr val="bg1"/>
                          </a:solidFill>
                        </a:defRPr>
                      </a:pPr>
                      <a:t>[CELLRANGE]</a:t>
                    </a:fld>
                    <a:r>
                      <a:rPr lang="en-US" sz="1000" b="1" baseline="0">
                        <a:solidFill>
                          <a:schemeClr val="bg1"/>
                        </a:solidFill>
                      </a:rPr>
                      <a:t>, </a:t>
                    </a:r>
                    <a:fld id="{5DCF8470-8D89-4A54-B2CF-A7C0587ADA93}" type="SERIESNAME">
                      <a:rPr lang="en-US" sz="1000" b="1" baseline="0">
                        <a:solidFill>
                          <a:schemeClr val="bg1"/>
                        </a:solidFill>
                      </a:rPr>
                      <a:pPr>
                        <a:defRPr sz="1000" b="1">
                          <a:solidFill>
                            <a:schemeClr val="bg1"/>
                          </a:solidFill>
                        </a:defRPr>
                      </a:pPr>
                      <a:t>[SERIES NAME]</a:t>
                    </a:fld>
                    <a:r>
                      <a:rPr lang="en-US" sz="1000" b="1" baseline="0">
                        <a:solidFill>
                          <a:schemeClr val="bg1"/>
                        </a:solidFill>
                      </a:rPr>
                      <a:t>, </a:t>
                    </a:r>
                    <a:fld id="{C97C6039-ABDD-4192-8696-4A5DF0A0CAF9}" type="VALUE">
                      <a:rPr lang="en-US" sz="1000" b="1" baseline="0">
                        <a:solidFill>
                          <a:schemeClr val="bg1"/>
                        </a:solidFill>
                      </a:rPr>
                      <a:pPr>
                        <a:defRPr sz="1000" b="1">
                          <a:solidFill>
                            <a:schemeClr val="bg1"/>
                          </a:solidFill>
                        </a:defRPr>
                      </a:pPr>
                      <a:t>[VALUE]</a:t>
                    </a:fld>
                    <a:endParaRPr lang="en-US" sz="10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2948085945327961"/>
                      <c:h val="4.2672612216123361E-2"/>
                    </c:manualLayout>
                  </c15:layout>
                  <c15:dlblFieldTable/>
                  <c15:showDataLabelsRange val="1"/>
                </c:ext>
                <c:ext xmlns:c16="http://schemas.microsoft.com/office/drawing/2014/chart" uri="{C3380CC4-5D6E-409C-BE32-E72D297353CC}">
                  <c16:uniqueId val="{00000000-75A2-4D04-AB8A-FE4C98BECC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Chart!$P$51</c:f>
              <c:numCache>
                <c:formatCode>_(* #,##0_);_(* \(#,##0\);_(* "-"??_);_(@_)</c:formatCode>
                <c:ptCount val="1"/>
                <c:pt idx="0">
                  <c:v>-28.431536496492715</c:v>
                </c:pt>
              </c:numCache>
            </c:numRef>
          </c:val>
          <c:extLst>
            <c:ext xmlns:c15="http://schemas.microsoft.com/office/drawing/2012/chart" uri="{02D57815-91ED-43cb-92C2-25804820EDAC}">
              <c15:datalabelsRange>
                <c15:f>Chart!$Q$51</c15:f>
                <c15:dlblRangeCache>
                  <c:ptCount val="1"/>
                  <c:pt idx="0">
                    <c:v>-4%</c:v>
                  </c:pt>
                </c15:dlblRangeCache>
              </c15:datalabelsRange>
            </c:ext>
            <c:ext xmlns:c16="http://schemas.microsoft.com/office/drawing/2014/chart" uri="{C3380CC4-5D6E-409C-BE32-E72D297353CC}">
              <c16:uniqueId val="{0000000A-904F-4060-A1E1-DD339B02AA94}"/>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Vảy</a:t>
            </a:r>
            <a:r>
              <a:rPr lang="en-US" b="1" baseline="0">
                <a:solidFill>
                  <a:srgbClr val="0000FF"/>
                </a:solidFill>
              </a:rPr>
              <a:t> B1_A1 DT</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Chart!$O$7</c:f>
              <c:strCache>
                <c:ptCount val="1"/>
                <c:pt idx="0">
                  <c:v>Chi phí NVL</c:v>
                </c:pt>
              </c:strCache>
            </c:strRef>
          </c:tx>
          <c:spPr>
            <a:solidFill>
              <a:schemeClr val="accent1"/>
            </a:solidFill>
            <a:ln>
              <a:noFill/>
            </a:ln>
            <a:effectLst/>
          </c:spPr>
          <c:invertIfNegative val="0"/>
          <c:dLbls>
            <c:dLbl>
              <c:idx val="0"/>
              <c:tx>
                <c:rich>
                  <a:bodyPr/>
                  <a:lstStyle/>
                  <a:p>
                    <a:fld id="{3D6E2ABC-246A-43F8-85BA-F37E7C940F8F}" type="CELLRANGE">
                      <a:rPr lang="en-US" baseline="0"/>
                      <a:pPr/>
                      <a:t>[CELLRANGE]</a:t>
                    </a:fld>
                    <a:r>
                      <a:rPr lang="en-US" baseline="0"/>
                      <a:t>, </a:t>
                    </a:r>
                    <a:fld id="{CB36D718-822F-4913-88D9-9B58E2D524EF}" type="SERIESNAME">
                      <a:rPr lang="en-US" baseline="0"/>
                      <a:pPr/>
                      <a:t>[SERIES NAME]</a:t>
                    </a:fld>
                    <a:r>
                      <a:rPr lang="en-US" baseline="0"/>
                      <a:t>, </a:t>
                    </a:r>
                    <a:fld id="{1FD1D3B4-C79F-45CD-AD78-41C9B40C0D2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30761633195436"/>
                      <c:h val="8.1529229732582628E-2"/>
                    </c:manualLayout>
                  </c15:layout>
                  <c15:dlblFieldTable/>
                  <c15:showDataLabelsRange val="1"/>
                </c:ext>
                <c:ext xmlns:c16="http://schemas.microsoft.com/office/drawing/2014/chart" uri="{C3380CC4-5D6E-409C-BE32-E72D297353CC}">
                  <c16:uniqueId val="{00000000-1893-46E2-B2D7-51E1CDD8DDF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Chart!$P$7</c:f>
              <c:numCache>
                <c:formatCode>_(* #,##0_);_(* \(#,##0\);_(* "-"??_);_(@_)</c:formatCode>
                <c:ptCount val="1"/>
                <c:pt idx="0">
                  <c:v>575.08762517024286</c:v>
                </c:pt>
              </c:numCache>
            </c:numRef>
          </c:val>
          <c:extLst>
            <c:ext xmlns:c15="http://schemas.microsoft.com/office/drawing/2012/chart" uri="{02D57815-91ED-43cb-92C2-25804820EDAC}">
              <c15:datalabelsRange>
                <c15:f>Chart!$E$178</c15:f>
                <c15:dlblRangeCache>
                  <c:ptCount val="1"/>
                  <c:pt idx="0">
                    <c:v>65%</c:v>
                  </c:pt>
                </c15:dlblRangeCache>
              </c15:datalabelsRange>
            </c:ext>
            <c:ext xmlns:c16="http://schemas.microsoft.com/office/drawing/2014/chart" uri="{C3380CC4-5D6E-409C-BE32-E72D297353CC}">
              <c16:uniqueId val="{00000001-1893-46E2-B2D7-51E1CDD8DDFD}"/>
            </c:ext>
          </c:extLst>
        </c:ser>
        <c:ser>
          <c:idx val="1"/>
          <c:order val="1"/>
          <c:tx>
            <c:strRef>
              <c:f>Chart!$O$8</c:f>
              <c:strCache>
                <c:ptCount val="1"/>
                <c:pt idx="0">
                  <c:v>Hao hụt về tiền</c:v>
                </c:pt>
              </c:strCache>
            </c:strRef>
          </c:tx>
          <c:spPr>
            <a:solidFill>
              <a:schemeClr val="accent2"/>
            </a:solidFill>
            <a:ln>
              <a:noFill/>
            </a:ln>
            <a:effectLst/>
          </c:spPr>
          <c:invertIfNegative val="0"/>
          <c:dLbls>
            <c:dLbl>
              <c:idx val="0"/>
              <c:tx>
                <c:rich>
                  <a:bodyPr/>
                  <a:lstStyle/>
                  <a:p>
                    <a:fld id="{0A35159D-65E6-486E-8C7A-89C93295C6A0}" type="CELLRANGE">
                      <a:rPr lang="en-US" baseline="0"/>
                      <a:pPr/>
                      <a:t>[CELLRANGE]</a:t>
                    </a:fld>
                    <a:r>
                      <a:rPr lang="en-US" baseline="0"/>
                      <a:t>, </a:t>
                    </a:r>
                    <a:fld id="{4C0F4293-18BA-41BB-A6DB-CB36F2AA6D10}" type="SERIESNAME">
                      <a:rPr lang="en-US" baseline="0"/>
                      <a:pPr/>
                      <a:t>[SERIES NAME]</a:t>
                    </a:fld>
                    <a:r>
                      <a:rPr lang="en-US" baseline="0"/>
                      <a:t>, </a:t>
                    </a:r>
                    <a:fld id="{110E75C4-56E6-4169-A86C-9B086C471F5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586329488611392"/>
                      <c:h val="8.1529229732582628E-2"/>
                    </c:manualLayout>
                  </c15:layout>
                  <c15:dlblFieldTable/>
                  <c15:showDataLabelsRange val="1"/>
                </c:ext>
                <c:ext xmlns:c16="http://schemas.microsoft.com/office/drawing/2014/chart" uri="{C3380CC4-5D6E-409C-BE32-E72D297353CC}">
                  <c16:uniqueId val="{00000002-1893-46E2-B2D7-51E1CDD8DDF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Chart!$P$8</c:f>
              <c:numCache>
                <c:formatCode>_(* #,##0_);_(* \(#,##0\);_(* "-"??_);_(@_)</c:formatCode>
                <c:ptCount val="1"/>
                <c:pt idx="0">
                  <c:v>80.1440381593182</c:v>
                </c:pt>
              </c:numCache>
            </c:numRef>
          </c:val>
          <c:extLst>
            <c:ext xmlns:c15="http://schemas.microsoft.com/office/drawing/2012/chart" uri="{02D57815-91ED-43cb-92C2-25804820EDAC}">
              <c15:datalabelsRange>
                <c15:f>Chart!$Q$8</c15:f>
                <c15:dlblRangeCache>
                  <c:ptCount val="1"/>
                  <c:pt idx="0">
                    <c:v>9%</c:v>
                  </c:pt>
                </c15:dlblRangeCache>
              </c15:datalabelsRange>
            </c:ext>
            <c:ext xmlns:c16="http://schemas.microsoft.com/office/drawing/2014/chart" uri="{C3380CC4-5D6E-409C-BE32-E72D297353CC}">
              <c16:uniqueId val="{00000003-1893-46E2-B2D7-51E1CDD8DDFD}"/>
            </c:ext>
          </c:extLst>
        </c:ser>
        <c:ser>
          <c:idx val="2"/>
          <c:order val="2"/>
          <c:tx>
            <c:strRef>
              <c:f>Chart!$O$9</c:f>
              <c:strCache>
                <c:ptCount val="1"/>
                <c:pt idx="0">
                  <c:v>Chi phí sản xuất _Phân loại</c:v>
                </c:pt>
              </c:strCache>
            </c:strRef>
          </c:tx>
          <c:spPr>
            <a:solidFill>
              <a:schemeClr val="accent3"/>
            </a:solidFill>
            <a:ln>
              <a:noFill/>
            </a:ln>
            <a:effectLst/>
          </c:spPr>
          <c:invertIfNegative val="0"/>
          <c:dLbls>
            <c:dLbl>
              <c:idx val="0"/>
              <c:tx>
                <c:rich>
                  <a:bodyPr/>
                  <a:lstStyle/>
                  <a:p>
                    <a:fld id="{B022FB1D-9170-4C19-BD1A-14FC49FADA62}" type="CELLRANGE">
                      <a:rPr lang="en-US" baseline="0"/>
                      <a:pPr/>
                      <a:t>[CELLRANGE]</a:t>
                    </a:fld>
                    <a:r>
                      <a:rPr lang="en-US" baseline="0"/>
                      <a:t>, </a:t>
                    </a:r>
                    <a:fld id="{832B7277-171E-4863-A2DA-D54BD5417269}" type="SERIESNAME">
                      <a:rPr lang="en-US" baseline="0"/>
                      <a:pPr/>
                      <a:t>[SERIES NAME]</a:t>
                    </a:fld>
                    <a:r>
                      <a:rPr lang="en-US" baseline="0"/>
                      <a:t>, </a:t>
                    </a:r>
                    <a:fld id="{9EE8521E-37C1-4302-BE0B-B9F4EEB693C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4636355864435691"/>
                      <c:h val="8.1511864614428747E-2"/>
                    </c:manualLayout>
                  </c15:layout>
                  <c15:dlblFieldTable/>
                  <c15:showDataLabelsRange val="1"/>
                </c:ext>
                <c:ext xmlns:c16="http://schemas.microsoft.com/office/drawing/2014/chart" uri="{C3380CC4-5D6E-409C-BE32-E72D297353CC}">
                  <c16:uniqueId val="{00000004-1893-46E2-B2D7-51E1CDD8DDF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Chart!$P$9</c:f>
              <c:numCache>
                <c:formatCode>_(* #,##0_);_(* \(#,##0\);_(* "-"??_);_(@_)</c:formatCode>
                <c:ptCount val="1"/>
                <c:pt idx="0">
                  <c:v>146.20871826362105</c:v>
                </c:pt>
              </c:numCache>
            </c:numRef>
          </c:val>
          <c:extLst>
            <c:ext xmlns:c15="http://schemas.microsoft.com/office/drawing/2012/chart" uri="{02D57815-91ED-43cb-92C2-25804820EDAC}">
              <c15:datalabelsRange>
                <c15:f>Chart!$Q$9</c15:f>
                <c15:dlblRangeCache>
                  <c:ptCount val="1"/>
                  <c:pt idx="0">
                    <c:v>16%</c:v>
                  </c:pt>
                </c15:dlblRangeCache>
              </c15:datalabelsRange>
            </c:ext>
            <c:ext xmlns:c16="http://schemas.microsoft.com/office/drawing/2014/chart" uri="{C3380CC4-5D6E-409C-BE32-E72D297353CC}">
              <c16:uniqueId val="{00000005-1893-46E2-B2D7-51E1CDD8DDFD}"/>
            </c:ext>
          </c:extLst>
        </c:ser>
        <c:ser>
          <c:idx val="3"/>
          <c:order val="3"/>
          <c:tx>
            <c:strRef>
              <c:f>Chart!$O$10</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EFA83E32-71EF-421E-8454-35CB4489865E}"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973AE9E3-B3E6-475E-A834-4203CFD4BD9F}"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2783B4AD-D017-427D-A782-D4E09C4F4C91}"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127260946929197"/>
                      <c:h val="6.2436350688971319E-2"/>
                    </c:manualLayout>
                  </c15:layout>
                  <c15:dlblFieldTable/>
                  <c15:showDataLabelsRange val="1"/>
                </c:ext>
                <c:ext xmlns:c16="http://schemas.microsoft.com/office/drawing/2014/chart" uri="{C3380CC4-5D6E-409C-BE32-E72D297353CC}">
                  <c16:uniqueId val="{00000006-1893-46E2-B2D7-51E1CDD8DD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Chart!$P$10</c:f>
              <c:numCache>
                <c:formatCode>_(* #,##0_);_(* \(#,##0\);_(* "-"??_);_(@_)</c:formatCode>
                <c:ptCount val="1"/>
                <c:pt idx="0">
                  <c:v>75.882007184483669</c:v>
                </c:pt>
              </c:numCache>
            </c:numRef>
          </c:val>
          <c:extLst>
            <c:ext xmlns:c15="http://schemas.microsoft.com/office/drawing/2012/chart" uri="{02D57815-91ED-43cb-92C2-25804820EDAC}">
              <c15:datalabelsRange>
                <c15:f>Chart!$Q$181</c15:f>
                <c15:dlblRangeCache>
                  <c:ptCount val="1"/>
                  <c:pt idx="0">
                    <c:v>9%</c:v>
                  </c:pt>
                </c15:dlblRangeCache>
              </c15:datalabelsRange>
            </c:ext>
            <c:ext xmlns:c16="http://schemas.microsoft.com/office/drawing/2014/chart" uri="{C3380CC4-5D6E-409C-BE32-E72D297353CC}">
              <c16:uniqueId val="{00000007-1893-46E2-B2D7-51E1CDD8DDFD}"/>
            </c:ext>
          </c:extLst>
        </c:ser>
        <c:ser>
          <c:idx val="4"/>
          <c:order val="4"/>
          <c:tx>
            <c:strRef>
              <c:f>Chart!$O$11</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856D8D5-0EB8-4CE1-9246-85E1309BD194}" type="CELLRANGE">
                      <a:rPr lang="en-US" sz="1100" b="1" baseline="0"/>
                      <a:pPr>
                        <a:defRPr sz="1100" b="1">
                          <a:solidFill>
                            <a:schemeClr val="bg1"/>
                          </a:solidFill>
                        </a:defRPr>
                      </a:pPr>
                      <a:t>[CELLRANGE]</a:t>
                    </a:fld>
                    <a:r>
                      <a:rPr lang="en-US" sz="1100" b="1" baseline="0"/>
                      <a:t>, </a:t>
                    </a:r>
                    <a:fld id="{8F727296-3F7A-4FF9-BF8A-EFFAC21866DE}" type="SERIESNAME">
                      <a:rPr lang="en-US" sz="1100" b="1" baseline="0"/>
                      <a:pPr>
                        <a:defRPr sz="1100" b="1">
                          <a:solidFill>
                            <a:schemeClr val="bg1"/>
                          </a:solidFill>
                        </a:defRPr>
                      </a:pPr>
                      <a:t>[SERIES NAME]</a:t>
                    </a:fld>
                    <a:r>
                      <a:rPr lang="en-US" sz="1100" b="1" baseline="0"/>
                      <a:t>, </a:t>
                    </a:r>
                    <a:fld id="{C1DDB153-5804-4469-98CE-1534BB802372}"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2571044980195458"/>
                      <c:h val="6.2436350688971319E-2"/>
                    </c:manualLayout>
                  </c15:layout>
                  <c15:dlblFieldTable/>
                  <c15:showDataLabelsRange val="1"/>
                </c:ext>
                <c:ext xmlns:c16="http://schemas.microsoft.com/office/drawing/2014/chart" uri="{C3380CC4-5D6E-409C-BE32-E72D297353CC}">
                  <c16:uniqueId val="{00000008-1893-46E2-B2D7-51E1CDD8DD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Chart!$P$11</c:f>
              <c:numCache>
                <c:formatCode>_(* #,##0_);_(* \(#,##0\);_(* "-"??_);_(@_)</c:formatCode>
                <c:ptCount val="1"/>
                <c:pt idx="0">
                  <c:v>48.070032068254285</c:v>
                </c:pt>
              </c:numCache>
            </c:numRef>
          </c:val>
          <c:extLst>
            <c:ext xmlns:c15="http://schemas.microsoft.com/office/drawing/2012/chart" uri="{02D57815-91ED-43cb-92C2-25804820EDAC}">
              <c15:datalabelsRange>
                <c15:f>Chart!$Q$11</c15:f>
                <c15:dlblRangeCache>
                  <c:ptCount val="1"/>
                  <c:pt idx="0">
                    <c:v>5%</c:v>
                  </c:pt>
                </c15:dlblRangeCache>
              </c15:datalabelsRange>
            </c:ext>
            <c:ext xmlns:c16="http://schemas.microsoft.com/office/drawing/2014/chart" uri="{C3380CC4-5D6E-409C-BE32-E72D297353CC}">
              <c16:uniqueId val="{00000009-1893-46E2-B2D7-51E1CDD8DDFD}"/>
            </c:ext>
          </c:extLst>
        </c:ser>
        <c:ser>
          <c:idx val="5"/>
          <c:order val="5"/>
          <c:tx>
            <c:strRef>
              <c:f>Chart!$O$12</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9C09B09C-4E0A-42C6-8EF4-2B3729C4EFB7}" type="CELLRANGE">
                      <a:rPr lang="en-US" sz="1100" b="1" baseline="0"/>
                      <a:pPr>
                        <a:defRPr sz="1100" b="1">
                          <a:solidFill>
                            <a:schemeClr val="bg1"/>
                          </a:solidFill>
                        </a:defRPr>
                      </a:pPr>
                      <a:t>[CELLRANGE]</a:t>
                    </a:fld>
                    <a:r>
                      <a:rPr lang="en-US" sz="1100" b="1" baseline="0"/>
                      <a:t>, </a:t>
                    </a:r>
                    <a:fld id="{77381E24-23F2-4413-B84D-4605C2562541}" type="SERIESNAME">
                      <a:rPr lang="en-US" sz="1100" b="1" baseline="0"/>
                      <a:pPr>
                        <a:defRPr sz="1100" b="1">
                          <a:solidFill>
                            <a:schemeClr val="bg1"/>
                          </a:solidFill>
                        </a:defRPr>
                      </a:pPr>
                      <a:t>[SERIES NAME]</a:t>
                    </a:fld>
                    <a:r>
                      <a:rPr lang="en-US" sz="1100" b="1" baseline="0"/>
                      <a:t>, </a:t>
                    </a:r>
                    <a:fld id="{8AA00A20-924D-41CD-AEF4-D4A438ECAB4B}"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069975688906493"/>
                      <c:h val="4.3902044638408515E-2"/>
                    </c:manualLayout>
                  </c15:layout>
                  <c15:dlblFieldTable/>
                  <c15:showDataLabelsRange val="1"/>
                </c:ext>
                <c:ext xmlns:c16="http://schemas.microsoft.com/office/drawing/2014/chart" uri="{C3380CC4-5D6E-409C-BE32-E72D297353CC}">
                  <c16:uniqueId val="{00000000-1781-4397-86D2-E9F71D1380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Chart!$P$12</c:f>
              <c:numCache>
                <c:formatCode>_(* #,##0_);_(* \(#,##0\);_(* "-"??_);_(@_)</c:formatCode>
                <c:ptCount val="1"/>
                <c:pt idx="0">
                  <c:v>-38.228175897557961</c:v>
                </c:pt>
              </c:numCache>
            </c:numRef>
          </c:val>
          <c:extLst>
            <c:ext xmlns:c15="http://schemas.microsoft.com/office/drawing/2012/chart" uri="{02D57815-91ED-43cb-92C2-25804820EDAC}">
              <c15:datalabelsRange>
                <c15:f>Chart!$Q$12</c15:f>
                <c15:dlblRangeCache>
                  <c:ptCount val="1"/>
                  <c:pt idx="0">
                    <c:v>-4%</c:v>
                  </c:pt>
                </c15:dlblRangeCache>
              </c15:datalabelsRange>
            </c:ext>
            <c:ext xmlns:c16="http://schemas.microsoft.com/office/drawing/2014/chart" uri="{C3380CC4-5D6E-409C-BE32-E72D297353CC}">
              <c16:uniqueId val="{0000000A-1893-46E2-B2D7-51E1CDD8DDFD}"/>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iSS1084G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Chart!$AA$7</c:f>
              <c:strCache>
                <c:ptCount val="1"/>
                <c:pt idx="0">
                  <c:v>Chi phí NVL</c:v>
                </c:pt>
              </c:strCache>
            </c:strRef>
          </c:tx>
          <c:spPr>
            <a:solidFill>
              <a:schemeClr val="accent1"/>
            </a:solidFill>
            <a:ln>
              <a:noFill/>
            </a:ln>
            <a:effectLst/>
          </c:spPr>
          <c:invertIfNegative val="0"/>
          <c:dLbls>
            <c:dLbl>
              <c:idx val="0"/>
              <c:layout>
                <c:manualLayout>
                  <c:x val="-3.4911200475232153E-3"/>
                  <c:y val="1.7365118153903445E-3"/>
                </c:manualLayout>
              </c:layout>
              <c:tx>
                <c:rich>
                  <a:bodyPr/>
                  <a:lstStyle/>
                  <a:p>
                    <a:fld id="{84DBDE4D-4AEB-4CBD-925A-6C2F8F7AC828}" type="CELLRANGE">
                      <a:rPr lang="en-US" baseline="0"/>
                      <a:pPr/>
                      <a:t>[CELLRANGE]</a:t>
                    </a:fld>
                    <a:r>
                      <a:rPr lang="en-US" baseline="0"/>
                      <a:t>, </a:t>
                    </a:r>
                    <a:fld id="{A679EDE1-3102-422C-8B4F-4F58B93174AE}" type="SERIESNAME">
                      <a:rPr lang="en-US" baseline="0"/>
                      <a:pPr/>
                      <a:t>[SERIES NAME]</a:t>
                    </a:fld>
                    <a:r>
                      <a:rPr lang="en-US" baseline="0"/>
                      <a:t>, </a:t>
                    </a:r>
                    <a:fld id="{6E965C94-B524-4070-A683-B4FF4F49624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9526788298755209"/>
                      <c:h val="4.3360700030300077E-2"/>
                    </c:manualLayout>
                  </c15:layout>
                  <c15:dlblFieldTable/>
                  <c15:showDataLabelsRange val="1"/>
                </c:ext>
                <c:ext xmlns:c16="http://schemas.microsoft.com/office/drawing/2014/chart" uri="{C3380CC4-5D6E-409C-BE32-E72D297353CC}">
                  <c16:uniqueId val="{00000000-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Chart!$AB$7</c:f>
              <c:numCache>
                <c:formatCode>_(* #,##0_);_(* \(#,##0\);_(* "-"??_);_(@_)</c:formatCode>
                <c:ptCount val="1"/>
                <c:pt idx="0">
                  <c:v>15825.360401881033</c:v>
                </c:pt>
              </c:numCache>
            </c:numRef>
          </c:val>
          <c:extLst>
            <c:ext xmlns:c15="http://schemas.microsoft.com/office/drawing/2012/chart" uri="{02D57815-91ED-43cb-92C2-25804820EDAC}">
              <c15:datalabelsRange>
                <c15:f>Chart!$AC$7</c15:f>
                <c15:dlblRangeCache>
                  <c:ptCount val="1"/>
                  <c:pt idx="0">
                    <c:v>56%</c:v>
                  </c:pt>
                </c15:dlblRangeCache>
              </c15:datalabelsRange>
            </c:ext>
            <c:ext xmlns:c16="http://schemas.microsoft.com/office/drawing/2014/chart" uri="{C3380CC4-5D6E-409C-BE32-E72D297353CC}">
              <c16:uniqueId val="{00000001-DBD3-4004-AACD-D330FDBFEA47}"/>
            </c:ext>
          </c:extLst>
        </c:ser>
        <c:ser>
          <c:idx val="1"/>
          <c:order val="1"/>
          <c:tx>
            <c:strRef>
              <c:f>Chart!$AA$8</c:f>
              <c:strCache>
                <c:ptCount val="1"/>
                <c:pt idx="0">
                  <c:v>Hao hụt về tiền</c:v>
                </c:pt>
              </c:strCache>
            </c:strRef>
          </c:tx>
          <c:spPr>
            <a:solidFill>
              <a:schemeClr val="accent2"/>
            </a:solidFill>
            <a:ln>
              <a:noFill/>
            </a:ln>
            <a:effectLst/>
          </c:spPr>
          <c:invertIfNegative val="0"/>
          <c:dLbls>
            <c:dLbl>
              <c:idx val="0"/>
              <c:tx>
                <c:rich>
                  <a:bodyPr/>
                  <a:lstStyle/>
                  <a:p>
                    <a:fld id="{6AF01C04-7FB7-48A6-A610-69A31798D81B}" type="CELLRANGE">
                      <a:rPr lang="en-US" baseline="0"/>
                      <a:pPr/>
                      <a:t>[CELLRANGE]</a:t>
                    </a:fld>
                    <a:r>
                      <a:rPr lang="en-US" baseline="0"/>
                      <a:t>, </a:t>
                    </a:r>
                    <a:fld id="{DBEAF272-4888-4C6D-8E54-8558BC924860}" type="SERIESNAME">
                      <a:rPr lang="en-US" baseline="0"/>
                      <a:pPr/>
                      <a:t>[SERIES NAME]</a:t>
                    </a:fld>
                    <a:r>
                      <a:rPr lang="en-US" baseline="0"/>
                      <a:t>, </a:t>
                    </a:r>
                    <a:fld id="{3263C205-40E2-471A-A920-5E8978B4A78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8716521327032449"/>
                      <c:h val="4.3360700030300077E-2"/>
                    </c:manualLayout>
                  </c15:layout>
                  <c15:dlblFieldTable/>
                  <c15:showDataLabelsRange val="1"/>
                </c:ext>
                <c:ext xmlns:c16="http://schemas.microsoft.com/office/drawing/2014/chart" uri="{C3380CC4-5D6E-409C-BE32-E72D297353CC}">
                  <c16:uniqueId val="{00000002-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Chart!$AB$8</c:f>
              <c:numCache>
                <c:formatCode>_(* #,##0_);_(* \(#,##0\);_(* "-"??_);_(@_)</c:formatCode>
                <c:ptCount val="1"/>
                <c:pt idx="0">
                  <c:v>2205.4174571359626</c:v>
                </c:pt>
              </c:numCache>
            </c:numRef>
          </c:val>
          <c:extLst>
            <c:ext xmlns:c15="http://schemas.microsoft.com/office/drawing/2012/chart" uri="{02D57815-91ED-43cb-92C2-25804820EDAC}">
              <c15:datalabelsRange>
                <c15:f>Chart!$AC$8</c15:f>
                <c15:dlblRangeCache>
                  <c:ptCount val="1"/>
                  <c:pt idx="0">
                    <c:v>8%</c:v>
                  </c:pt>
                </c15:dlblRangeCache>
              </c15:datalabelsRange>
            </c:ext>
            <c:ext xmlns:c16="http://schemas.microsoft.com/office/drawing/2014/chart" uri="{C3380CC4-5D6E-409C-BE32-E72D297353CC}">
              <c16:uniqueId val="{00000003-DBD3-4004-AACD-D330FDBFEA47}"/>
            </c:ext>
          </c:extLst>
        </c:ser>
        <c:ser>
          <c:idx val="2"/>
          <c:order val="2"/>
          <c:tx>
            <c:strRef>
              <c:f>Chart!$AA$9</c:f>
              <c:strCache>
                <c:ptCount val="1"/>
                <c:pt idx="0">
                  <c:v>Chi phí sản xuất _Phân loại</c:v>
                </c:pt>
              </c:strCache>
            </c:strRef>
          </c:tx>
          <c:spPr>
            <a:solidFill>
              <a:schemeClr val="accent3"/>
            </a:solidFill>
            <a:ln>
              <a:noFill/>
            </a:ln>
            <a:effectLst/>
          </c:spPr>
          <c:invertIfNegative val="0"/>
          <c:dLbls>
            <c:dLbl>
              <c:idx val="0"/>
              <c:tx>
                <c:rich>
                  <a:bodyPr/>
                  <a:lstStyle/>
                  <a:p>
                    <a:fld id="{D3824788-2837-490C-919A-D321668F6B38}" type="CELLRANGE">
                      <a:rPr lang="en-US" baseline="0"/>
                      <a:pPr/>
                      <a:t>[CELLRANGE]</a:t>
                    </a:fld>
                    <a:r>
                      <a:rPr lang="en-US" baseline="0"/>
                      <a:t>, </a:t>
                    </a:r>
                    <a:fld id="{D3356D45-352B-48ED-B9A5-FCC8A143BDFD}" type="SERIESNAME">
                      <a:rPr lang="en-US" baseline="0"/>
                      <a:pPr/>
                      <a:t>[SERIES NAME]</a:t>
                    </a:fld>
                    <a:r>
                      <a:rPr lang="en-US" baseline="0"/>
                      <a:t>, </a:t>
                    </a:r>
                    <a:fld id="{B265ABA4-96E4-43A2-942D-F8EB9C47412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7647433160857329"/>
                      <c:h val="6.2436350688971319E-2"/>
                    </c:manualLayout>
                  </c15:layout>
                  <c15:dlblFieldTable/>
                  <c15:showDataLabelsRange val="1"/>
                </c:ext>
                <c:ext xmlns:c16="http://schemas.microsoft.com/office/drawing/2014/chart" uri="{C3380CC4-5D6E-409C-BE32-E72D297353CC}">
                  <c16:uniqueId val="{00000004-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Chart!$AB$9</c:f>
              <c:numCache>
                <c:formatCode>_(* #,##0_);_(* \(#,##0\);_(* "-"??_);_(@_)</c:formatCode>
                <c:ptCount val="1"/>
                <c:pt idx="0">
                  <c:v>4023.3967123426346</c:v>
                </c:pt>
              </c:numCache>
            </c:numRef>
          </c:val>
          <c:extLst>
            <c:ext xmlns:c15="http://schemas.microsoft.com/office/drawing/2012/chart" uri="{02D57815-91ED-43cb-92C2-25804820EDAC}">
              <c15:datalabelsRange>
                <c15:f>Chart!$AC$9</c15:f>
                <c15:dlblRangeCache>
                  <c:ptCount val="1"/>
                  <c:pt idx="0">
                    <c:v>14%</c:v>
                  </c:pt>
                </c15:dlblRangeCache>
              </c15:datalabelsRange>
            </c:ext>
            <c:ext xmlns:c16="http://schemas.microsoft.com/office/drawing/2014/chart" uri="{C3380CC4-5D6E-409C-BE32-E72D297353CC}">
              <c16:uniqueId val="{00000005-DBD3-4004-AACD-D330FDBFEA47}"/>
            </c:ext>
          </c:extLst>
        </c:ser>
        <c:ser>
          <c:idx val="3"/>
          <c:order val="3"/>
          <c:tx>
            <c:strRef>
              <c:f>Chart!$AA$10</c:f>
              <c:strCache>
                <c:ptCount val="1"/>
                <c:pt idx="0">
                  <c:v>Chi phí sản xuất _Băm</c:v>
                </c:pt>
              </c:strCache>
            </c:strRef>
          </c:tx>
          <c:spPr>
            <a:solidFill>
              <a:schemeClr val="accent4"/>
            </a:solidFill>
            <a:ln>
              <a:noFill/>
            </a:ln>
            <a:effectLst/>
          </c:spPr>
          <c:invertIfNegative val="0"/>
          <c:dLbls>
            <c:dLbl>
              <c:idx val="0"/>
              <c:tx>
                <c:rich>
                  <a:bodyPr/>
                  <a:lstStyle/>
                  <a:p>
                    <a:fld id="{5BDA101D-B522-4A77-A557-3A7FACE4B5C4}" type="CELLRANGE">
                      <a:rPr lang="en-US" baseline="0"/>
                      <a:pPr/>
                      <a:t>[CELLRANGE]</a:t>
                    </a:fld>
                    <a:r>
                      <a:rPr lang="en-US" baseline="0"/>
                      <a:t>, </a:t>
                    </a:r>
                    <a:fld id="{D939C0C9-6B4C-4FAB-9596-171EE4EAE98A}" type="SERIESNAME">
                      <a:rPr lang="en-US" baseline="0"/>
                      <a:pPr/>
                      <a:t>[SERIES NAME]</a:t>
                    </a:fld>
                    <a:r>
                      <a:rPr lang="en-US" baseline="0"/>
                      <a:t>, </a:t>
                    </a:r>
                    <a:fld id="{801251EC-B9EB-4BF4-9EDB-73084F13B01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6700712875718042"/>
                      <c:h val="6.2436350688971319E-2"/>
                    </c:manualLayout>
                  </c15:layout>
                  <c15:dlblFieldTable/>
                  <c15:showDataLabelsRange val="1"/>
                </c:ext>
                <c:ext xmlns:c16="http://schemas.microsoft.com/office/drawing/2014/chart" uri="{C3380CC4-5D6E-409C-BE32-E72D297353CC}">
                  <c16:uniqueId val="{00000006-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Chart!$AB$10</c:f>
              <c:numCache>
                <c:formatCode>_(* #,##0_);_(* \(#,##0\);_(* "-"??_);_(@_)</c:formatCode>
                <c:ptCount val="1"/>
                <c:pt idx="0">
                  <c:v>2088.1341540901526</c:v>
                </c:pt>
              </c:numCache>
            </c:numRef>
          </c:val>
          <c:extLst>
            <c:ext xmlns:c15="http://schemas.microsoft.com/office/drawing/2012/chart" uri="{02D57815-91ED-43cb-92C2-25804820EDAC}">
              <c15:datalabelsRange>
                <c15:f>Chart!$AC$10</c15:f>
                <c15:dlblRangeCache>
                  <c:ptCount val="1"/>
                  <c:pt idx="0">
                    <c:v>7%</c:v>
                  </c:pt>
                </c15:dlblRangeCache>
              </c15:datalabelsRange>
            </c:ext>
            <c:ext xmlns:c16="http://schemas.microsoft.com/office/drawing/2014/chart" uri="{C3380CC4-5D6E-409C-BE32-E72D297353CC}">
              <c16:uniqueId val="{00000007-DBD3-4004-AACD-D330FDBFEA47}"/>
            </c:ext>
          </c:extLst>
        </c:ser>
        <c:ser>
          <c:idx val="4"/>
          <c:order val="4"/>
          <c:tx>
            <c:strRef>
              <c:f>Chart!$AA$11</c:f>
              <c:strCache>
                <c:ptCount val="1"/>
                <c:pt idx="0">
                  <c:v>Chi phí sản xuất _Rữa</c:v>
                </c:pt>
              </c:strCache>
            </c:strRef>
          </c:tx>
          <c:spPr>
            <a:solidFill>
              <a:schemeClr val="accent5"/>
            </a:solidFill>
            <a:ln>
              <a:noFill/>
            </a:ln>
            <a:effectLst/>
          </c:spPr>
          <c:invertIfNegative val="0"/>
          <c:dLbls>
            <c:dLbl>
              <c:idx val="0"/>
              <c:tx>
                <c:rich>
                  <a:bodyPr/>
                  <a:lstStyle/>
                  <a:p>
                    <a:fld id="{7F23B43C-6BAB-4F2C-9689-1FD2CEB8793C}" type="CELLRANGE">
                      <a:rPr lang="en-US" baseline="0"/>
                      <a:pPr/>
                      <a:t>[CELLRANGE]</a:t>
                    </a:fld>
                    <a:r>
                      <a:rPr lang="en-US" baseline="0"/>
                      <a:t>, </a:t>
                    </a:r>
                    <a:fld id="{C8497A9D-E216-4D18-B0C3-C10B2BAC91CC}" type="SERIESNAME">
                      <a:rPr lang="en-US" baseline="0"/>
                      <a:pPr/>
                      <a:t>[SERIES NAME]</a:t>
                    </a:fld>
                    <a:r>
                      <a:rPr lang="en-US" baseline="0"/>
                      <a:t>, </a:t>
                    </a:r>
                    <a:fld id="{7187A302-F2A1-4E8A-A7E0-7909A99E433D}"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9617857051553946"/>
                      <c:h val="6.2436350688971319E-2"/>
                    </c:manualLayout>
                  </c15:layout>
                  <c15:dlblFieldTable/>
                  <c15:showDataLabelsRange val="1"/>
                </c:ext>
                <c:ext xmlns:c16="http://schemas.microsoft.com/office/drawing/2014/chart" uri="{C3380CC4-5D6E-409C-BE32-E72D297353CC}">
                  <c16:uniqueId val="{00000008-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Chart!$AB$11</c:f>
              <c:numCache>
                <c:formatCode>_(* #,##0_);_(* \(#,##0\);_(* "-"??_);_(@_)</c:formatCode>
                <c:ptCount val="1"/>
                <c:pt idx="0">
                  <c:v>1322.7994286695105</c:v>
                </c:pt>
              </c:numCache>
            </c:numRef>
          </c:val>
          <c:extLst>
            <c:ext xmlns:c15="http://schemas.microsoft.com/office/drawing/2012/chart" uri="{02D57815-91ED-43cb-92C2-25804820EDAC}">
              <c15:datalabelsRange>
                <c15:f>Chart!$AC$11</c15:f>
                <c15:dlblRangeCache>
                  <c:ptCount val="1"/>
                  <c:pt idx="0">
                    <c:v>5%</c:v>
                  </c:pt>
                </c15:dlblRangeCache>
              </c15:datalabelsRange>
            </c:ext>
            <c:ext xmlns:c16="http://schemas.microsoft.com/office/drawing/2014/chart" uri="{C3380CC4-5D6E-409C-BE32-E72D297353CC}">
              <c16:uniqueId val="{00000009-DBD3-4004-AACD-D330FDBFEA47}"/>
            </c:ext>
          </c:extLst>
        </c:ser>
        <c:ser>
          <c:idx val="5"/>
          <c:order val="5"/>
          <c:tx>
            <c:strRef>
              <c:f>Chart!$AA$12</c:f>
              <c:strCache>
                <c:ptCount val="1"/>
                <c:pt idx="0">
                  <c:v>Chi phí sản xuất _Tạo hạt</c:v>
                </c:pt>
              </c:strCache>
            </c:strRef>
          </c:tx>
          <c:spPr>
            <a:solidFill>
              <a:schemeClr val="accent6"/>
            </a:solidFill>
            <a:ln>
              <a:noFill/>
            </a:ln>
            <a:effectLst/>
          </c:spPr>
          <c:invertIfNegative val="0"/>
          <c:dLbls>
            <c:dLbl>
              <c:idx val="0"/>
              <c:tx>
                <c:rich>
                  <a:bodyPr/>
                  <a:lstStyle/>
                  <a:p>
                    <a:fld id="{C585D623-D970-4718-903A-B780EF8D7E28}" type="CELLRANGE">
                      <a:rPr lang="en-US" baseline="0"/>
                      <a:pPr/>
                      <a:t>[CELLRANGE]</a:t>
                    </a:fld>
                    <a:r>
                      <a:rPr lang="en-US" baseline="0"/>
                      <a:t>, </a:t>
                    </a:r>
                    <a:fld id="{2C135723-398A-4BD3-B9EB-C24CE8BC0CA1}" type="SERIESNAME">
                      <a:rPr lang="en-US" baseline="0"/>
                      <a:pPr/>
                      <a:t>[SERIES NAME]</a:t>
                    </a:fld>
                    <a:r>
                      <a:rPr lang="en-US" baseline="0"/>
                      <a:t>, </a:t>
                    </a:r>
                    <a:fld id="{F31F65C6-92C3-41D2-B151-2F4FE583D13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4185674257607819"/>
                      <c:h val="6.2436350688971319E-2"/>
                    </c:manualLayout>
                  </c15:layout>
                  <c15:dlblFieldTable/>
                  <c15:showDataLabelsRange val="1"/>
                </c:ext>
                <c:ext xmlns:c16="http://schemas.microsoft.com/office/drawing/2014/chart" uri="{C3380CC4-5D6E-409C-BE32-E72D297353CC}">
                  <c16:uniqueId val="{0000000D-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Chart!$AB$12</c:f>
              <c:numCache>
                <c:formatCode>_(* #,##0_);_(* \(#,##0\);_(* "-"??_);_(@_)</c:formatCode>
                <c:ptCount val="1"/>
                <c:pt idx="0">
                  <c:v>2000.939404729972</c:v>
                </c:pt>
              </c:numCache>
            </c:numRef>
          </c:val>
          <c:extLst>
            <c:ext xmlns:c15="http://schemas.microsoft.com/office/drawing/2012/chart" uri="{02D57815-91ED-43cb-92C2-25804820EDAC}">
              <c15:datalabelsRange>
                <c15:f>Chart!$AC$12</c15:f>
                <c15:dlblRangeCache>
                  <c:ptCount val="1"/>
                  <c:pt idx="0">
                    <c:v>7%</c:v>
                  </c:pt>
                </c15:dlblRangeCache>
              </c15:datalabelsRange>
            </c:ext>
            <c:ext xmlns:c16="http://schemas.microsoft.com/office/drawing/2014/chart" uri="{C3380CC4-5D6E-409C-BE32-E72D297353CC}">
              <c16:uniqueId val="{0000000A-DBD3-4004-AACD-D330FDBFEA47}"/>
            </c:ext>
          </c:extLst>
        </c:ser>
        <c:ser>
          <c:idx val="6"/>
          <c:order val="6"/>
          <c:tx>
            <c:strRef>
              <c:f>Chart!$AA$13</c:f>
              <c:strCache>
                <c:ptCount val="1"/>
                <c:pt idx="0">
                  <c:v>Chi phí sản xuất _Nâng IV</c:v>
                </c:pt>
              </c:strCache>
            </c:strRef>
          </c:tx>
          <c:spPr>
            <a:solidFill>
              <a:schemeClr val="accent1">
                <a:lumMod val="60000"/>
              </a:schemeClr>
            </a:solidFill>
            <a:ln>
              <a:noFill/>
            </a:ln>
            <a:effectLst/>
          </c:spPr>
          <c:invertIfNegative val="0"/>
          <c:dLbls>
            <c:dLbl>
              <c:idx val="0"/>
              <c:tx>
                <c:rich>
                  <a:bodyPr/>
                  <a:lstStyle/>
                  <a:p>
                    <a:fld id="{09F95EA4-FAAC-4635-987E-3EE5C21439A0}" type="CELLRANGE">
                      <a:rPr lang="en-US" baseline="0"/>
                      <a:pPr/>
                      <a:t>[CELLRANGE]</a:t>
                    </a:fld>
                    <a:r>
                      <a:rPr lang="en-US" baseline="0"/>
                      <a:t>, </a:t>
                    </a:r>
                    <a:fld id="{9EC86B57-5611-4148-AE6F-6B83822F57BA}" type="SERIESNAME">
                      <a:rPr lang="en-US" baseline="0"/>
                      <a:pPr/>
                      <a:t>[SERIES NAME]</a:t>
                    </a:fld>
                    <a:r>
                      <a:rPr lang="en-US" baseline="0"/>
                      <a:t>, </a:t>
                    </a:r>
                    <a:fld id="{035DDFB0-C2C0-447A-91E9-9C1745A8DAD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6032476762747596"/>
                      <c:h val="6.2436350688971319E-2"/>
                    </c:manualLayout>
                  </c15:layout>
                  <c15:dlblFieldTable/>
                  <c15:showDataLabelsRange val="1"/>
                </c:ext>
                <c:ext xmlns:c16="http://schemas.microsoft.com/office/drawing/2014/chart" uri="{C3380CC4-5D6E-409C-BE32-E72D297353CC}">
                  <c16:uniqueId val="{0000000E-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Chart!$AB$13</c:f>
              <c:numCache>
                <c:formatCode>_(* #,##0_);_(* \(#,##0\);_(* "-"??_);_(@_)</c:formatCode>
                <c:ptCount val="1"/>
                <c:pt idx="0">
                  <c:v>2332</c:v>
                </c:pt>
              </c:numCache>
            </c:numRef>
          </c:val>
          <c:extLst>
            <c:ext xmlns:c15="http://schemas.microsoft.com/office/drawing/2012/chart" uri="{02D57815-91ED-43cb-92C2-25804820EDAC}">
              <c15:datalabelsRange>
                <c15:f>Chart!$AC$13</c15:f>
                <c15:dlblRangeCache>
                  <c:ptCount val="1"/>
                  <c:pt idx="0">
                    <c:v>8%</c:v>
                  </c:pt>
                </c15:dlblRangeCache>
              </c15:datalabelsRange>
            </c:ext>
            <c:ext xmlns:c16="http://schemas.microsoft.com/office/drawing/2014/chart" uri="{C3380CC4-5D6E-409C-BE32-E72D297353CC}">
              <c16:uniqueId val="{0000000B-DBD3-4004-AACD-D330FDBFEA47}"/>
            </c:ext>
          </c:extLst>
        </c:ser>
        <c:ser>
          <c:idx val="7"/>
          <c:order val="7"/>
          <c:tx>
            <c:strRef>
              <c:f>Chart!$AA$14</c:f>
              <c:strCache>
                <c:ptCount val="1"/>
                <c:pt idx="0">
                  <c:v>Phó sản thu hồi</c:v>
                </c:pt>
              </c:strCache>
            </c:strRef>
          </c:tx>
          <c:spPr>
            <a:solidFill>
              <a:schemeClr val="accent2">
                <a:lumMod val="60000"/>
              </a:schemeClr>
            </a:solidFill>
            <a:ln>
              <a:noFill/>
            </a:ln>
            <a:effectLst/>
          </c:spPr>
          <c:invertIfNegative val="0"/>
          <c:dLbls>
            <c:dLbl>
              <c:idx val="0"/>
              <c:tx>
                <c:rich>
                  <a:bodyPr/>
                  <a:lstStyle/>
                  <a:p>
                    <a:fld id="{69C71881-DC6F-456D-BB7F-5DD71AA0D899}" type="CELLRANGE">
                      <a:rPr lang="en-US" baseline="0"/>
                      <a:pPr/>
                      <a:t>[CELLRANGE]</a:t>
                    </a:fld>
                    <a:r>
                      <a:rPr lang="en-US" baseline="0"/>
                      <a:t>, </a:t>
                    </a:r>
                    <a:fld id="{E83DD6D3-55D9-480A-BB8A-7D5EE17ED371}" type="SERIESNAME">
                      <a:rPr lang="en-US" baseline="0"/>
                      <a:pPr/>
                      <a:t>[SERIES NAME]</a:t>
                    </a:fld>
                    <a:r>
                      <a:rPr lang="en-US" baseline="0"/>
                      <a:t>, </a:t>
                    </a:r>
                    <a:fld id="{E3336DD0-BC34-4E03-909F-95B7C99FFD3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6393494311535999"/>
                      <c:h val="4.3360700030300077E-2"/>
                    </c:manualLayout>
                  </c15:layout>
                  <c15:dlblFieldTable/>
                  <c15:showDataLabelsRange val="1"/>
                </c:ext>
                <c:ext xmlns:c16="http://schemas.microsoft.com/office/drawing/2014/chart" uri="{C3380CC4-5D6E-409C-BE32-E72D297353CC}">
                  <c16:uniqueId val="{0000000F-DBD3-4004-AACD-D330FDBFEA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Chart!$AB$14</c:f>
              <c:numCache>
                <c:formatCode>_(* #,##0_);_(* \(#,##0\);_(* "-"??_);_(@_)</c:formatCode>
                <c:ptCount val="1"/>
                <c:pt idx="0">
                  <c:v>-1373.7808477504077</c:v>
                </c:pt>
              </c:numCache>
            </c:numRef>
          </c:val>
          <c:extLst>
            <c:ext xmlns:c15="http://schemas.microsoft.com/office/drawing/2012/chart" uri="{02D57815-91ED-43cb-92C2-25804820EDAC}">
              <c15:datalabelsRange>
                <c15:f>Chart!$AC$14</c15:f>
                <c15:dlblRangeCache>
                  <c:ptCount val="1"/>
                  <c:pt idx="0">
                    <c:v>-5%</c:v>
                  </c:pt>
                </c15:dlblRangeCache>
              </c15:datalabelsRange>
            </c:ext>
            <c:ext xmlns:c16="http://schemas.microsoft.com/office/drawing/2014/chart" uri="{C3380CC4-5D6E-409C-BE32-E72D297353CC}">
              <c16:uniqueId val="{0000000C-DBD3-4004-AACD-D330FDBFEA47}"/>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iSS01G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Chart!$AA$47</c:f>
              <c:strCache>
                <c:ptCount val="1"/>
                <c:pt idx="0">
                  <c:v>Chi phí NVL</c:v>
                </c:pt>
              </c:strCache>
            </c:strRef>
          </c:tx>
          <c:spPr>
            <a:solidFill>
              <a:schemeClr val="accent1"/>
            </a:solidFill>
            <a:ln>
              <a:noFill/>
            </a:ln>
            <a:effectLst/>
          </c:spPr>
          <c:invertIfNegative val="0"/>
          <c:dLbls>
            <c:dLbl>
              <c:idx val="0"/>
              <c:tx>
                <c:rich>
                  <a:bodyPr/>
                  <a:lstStyle/>
                  <a:p>
                    <a:fld id="{D877BB36-502E-4A60-A180-3C68F8F282C4}" type="CELLRANGE">
                      <a:rPr lang="en-US" baseline="0"/>
                      <a:pPr/>
                      <a:t>[CELLRANGE]</a:t>
                    </a:fld>
                    <a:r>
                      <a:rPr lang="en-US" baseline="0"/>
                      <a:t>, </a:t>
                    </a:r>
                    <a:fld id="{1CE818E8-C6B3-4F95-B4CB-8A9AF459AF04}" type="SERIESNAME">
                      <a:rPr lang="en-US" baseline="0"/>
                      <a:pPr/>
                      <a:t>[SERIES NAME]</a:t>
                    </a:fld>
                    <a:r>
                      <a:rPr lang="en-US" baseline="0"/>
                      <a:t>, </a:t>
                    </a:r>
                    <a:fld id="{C22B980F-BE5A-4145-BC4C-A168A8A8A2C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9526788298755209"/>
                      <c:h val="4.2672612216123361E-2"/>
                    </c:manualLayout>
                  </c15:layout>
                  <c15:dlblFieldTable/>
                  <c15:showDataLabelsRange val="1"/>
                </c:ext>
                <c:ext xmlns:c16="http://schemas.microsoft.com/office/drawing/2014/chart" uri="{C3380CC4-5D6E-409C-BE32-E72D297353CC}">
                  <c16:uniqueId val="{00000000-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Chart!$AB$47</c:f>
              <c:numCache>
                <c:formatCode>_(* #,##0_);_(* \(#,##0\);_(* "-"??_);_(@_)</c:formatCode>
                <c:ptCount val="1"/>
                <c:pt idx="0">
                  <c:v>15482.625624403183</c:v>
                </c:pt>
              </c:numCache>
            </c:numRef>
          </c:val>
          <c:extLst>
            <c:ext xmlns:c15="http://schemas.microsoft.com/office/drawing/2012/chart" uri="{02D57815-91ED-43cb-92C2-25804820EDAC}">
              <c15:datalabelsRange>
                <c15:f>Chart!$AC$47</c15:f>
                <c15:dlblRangeCache>
                  <c:ptCount val="1"/>
                  <c:pt idx="0">
                    <c:v>56%</c:v>
                  </c:pt>
                </c15:dlblRangeCache>
              </c15:datalabelsRange>
            </c:ext>
            <c:ext xmlns:c16="http://schemas.microsoft.com/office/drawing/2014/chart" uri="{C3380CC4-5D6E-409C-BE32-E72D297353CC}">
              <c16:uniqueId val="{00000001-5D71-42DF-A062-CF333C96A26E}"/>
            </c:ext>
          </c:extLst>
        </c:ser>
        <c:ser>
          <c:idx val="1"/>
          <c:order val="1"/>
          <c:tx>
            <c:strRef>
              <c:f>Chart!$AA$48</c:f>
              <c:strCache>
                <c:ptCount val="1"/>
                <c:pt idx="0">
                  <c:v>Hao hụt về tiền</c:v>
                </c:pt>
              </c:strCache>
            </c:strRef>
          </c:tx>
          <c:spPr>
            <a:solidFill>
              <a:schemeClr val="accent2"/>
            </a:solidFill>
            <a:ln>
              <a:noFill/>
            </a:ln>
            <a:effectLst/>
          </c:spPr>
          <c:invertIfNegative val="0"/>
          <c:dLbls>
            <c:dLbl>
              <c:idx val="0"/>
              <c:tx>
                <c:rich>
                  <a:bodyPr/>
                  <a:lstStyle/>
                  <a:p>
                    <a:fld id="{C85700E9-FF2B-400C-A728-CB0E66AEC352}" type="CELLRANGE">
                      <a:rPr lang="en-US" baseline="0"/>
                      <a:pPr/>
                      <a:t>[CELLRANGE]</a:t>
                    </a:fld>
                    <a:r>
                      <a:rPr lang="en-US" baseline="0"/>
                      <a:t>, </a:t>
                    </a:r>
                    <a:fld id="{5A1BD64D-7CE3-4955-919E-F894F4EBFAD0}" type="SERIESNAME">
                      <a:rPr lang="en-US" baseline="0"/>
                      <a:pPr/>
                      <a:t>[SERIES NAME]</a:t>
                    </a:fld>
                    <a:r>
                      <a:rPr lang="en-US" baseline="0"/>
                      <a:t>, </a:t>
                    </a:r>
                    <a:fld id="{92669F03-E6C7-40D9-B6B9-6706A9DCAF9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6047873426831204"/>
                      <c:h val="4.2672612216123361E-2"/>
                    </c:manualLayout>
                  </c15:layout>
                  <c15:dlblFieldTable/>
                  <c15:showDataLabelsRange val="1"/>
                </c:ext>
                <c:ext xmlns:c16="http://schemas.microsoft.com/office/drawing/2014/chart" uri="{C3380CC4-5D6E-409C-BE32-E72D297353CC}">
                  <c16:uniqueId val="{00000002-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Chart!$AB$48</c:f>
              <c:numCache>
                <c:formatCode>_(* #,##0_);_(* \(#,##0\);_(* "-"??_);_(@_)</c:formatCode>
                <c:ptCount val="1"/>
                <c:pt idx="0">
                  <c:v>2157.6540418188988</c:v>
                </c:pt>
              </c:numCache>
            </c:numRef>
          </c:val>
          <c:extLst>
            <c:ext xmlns:c15="http://schemas.microsoft.com/office/drawing/2012/chart" uri="{02D57815-91ED-43cb-92C2-25804820EDAC}">
              <c15:datalabelsRange>
                <c15:f>Chart!$AC$48</c15:f>
                <c15:dlblRangeCache>
                  <c:ptCount val="1"/>
                  <c:pt idx="0">
                    <c:v>8%</c:v>
                  </c:pt>
                </c15:dlblRangeCache>
              </c15:datalabelsRange>
            </c:ext>
            <c:ext xmlns:c16="http://schemas.microsoft.com/office/drawing/2014/chart" uri="{C3380CC4-5D6E-409C-BE32-E72D297353CC}">
              <c16:uniqueId val="{00000003-5D71-42DF-A062-CF333C96A26E}"/>
            </c:ext>
          </c:extLst>
        </c:ser>
        <c:ser>
          <c:idx val="2"/>
          <c:order val="2"/>
          <c:tx>
            <c:strRef>
              <c:f>Chart!$AA$49</c:f>
              <c:strCache>
                <c:ptCount val="1"/>
                <c:pt idx="0">
                  <c:v>Chi phí sản xuất _Phân loại</c:v>
                </c:pt>
              </c:strCache>
            </c:strRef>
          </c:tx>
          <c:spPr>
            <a:solidFill>
              <a:schemeClr val="accent3"/>
            </a:solidFill>
            <a:ln>
              <a:noFill/>
            </a:ln>
            <a:effectLst/>
          </c:spPr>
          <c:invertIfNegative val="0"/>
          <c:dLbls>
            <c:dLbl>
              <c:idx val="0"/>
              <c:tx>
                <c:rich>
                  <a:bodyPr/>
                  <a:lstStyle/>
                  <a:p>
                    <a:fld id="{E1055E71-B118-4F5A-9622-9DFED4476465}" type="CELLRANGE">
                      <a:rPr lang="en-US" baseline="0"/>
                      <a:pPr/>
                      <a:t>[CELLRANGE]</a:t>
                    </a:fld>
                    <a:r>
                      <a:rPr lang="en-US" baseline="0"/>
                      <a:t>, </a:t>
                    </a:r>
                    <a:fld id="{818B9E82-5DCF-4BF3-9FF5-B02F32FE3AD0}" type="SERIESNAME">
                      <a:rPr lang="en-US" baseline="0"/>
                      <a:pPr/>
                      <a:t>[SERIES NAME]</a:t>
                    </a:fld>
                    <a:r>
                      <a:rPr lang="en-US" baseline="0"/>
                      <a:t>, </a:t>
                    </a:r>
                    <a:fld id="{C5059E0F-87D8-4F21-8674-16EF1809B2F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8097160894727331"/>
                      <c:h val="6.1445552753496932E-2"/>
                    </c:manualLayout>
                  </c15:layout>
                  <c15:dlblFieldTable/>
                  <c15:showDataLabelsRange val="1"/>
                </c:ext>
                <c:ext xmlns:c16="http://schemas.microsoft.com/office/drawing/2014/chart" uri="{C3380CC4-5D6E-409C-BE32-E72D297353CC}">
                  <c16:uniqueId val="{00000004-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Chart!$AB$49</c:f>
              <c:numCache>
                <c:formatCode>_(* #,##0_);_(* \(#,##0\);_(* "-"??_);_(@_)</c:formatCode>
                <c:ptCount val="1"/>
                <c:pt idx="0">
                  <c:v>3936.2607519669095</c:v>
                </c:pt>
              </c:numCache>
            </c:numRef>
          </c:val>
          <c:extLst>
            <c:ext xmlns:c15="http://schemas.microsoft.com/office/drawing/2012/chart" uri="{02D57815-91ED-43cb-92C2-25804820EDAC}">
              <c15:datalabelsRange>
                <c15:f>Chart!$AC$49</c15:f>
                <c15:dlblRangeCache>
                  <c:ptCount val="1"/>
                  <c:pt idx="0">
                    <c:v>14%</c:v>
                  </c:pt>
                </c15:dlblRangeCache>
              </c15:datalabelsRange>
            </c:ext>
            <c:ext xmlns:c16="http://schemas.microsoft.com/office/drawing/2014/chart" uri="{C3380CC4-5D6E-409C-BE32-E72D297353CC}">
              <c16:uniqueId val="{00000005-5D71-42DF-A062-CF333C96A26E}"/>
            </c:ext>
          </c:extLst>
        </c:ser>
        <c:ser>
          <c:idx val="3"/>
          <c:order val="3"/>
          <c:tx>
            <c:strRef>
              <c:f>Chart!$AA$50</c:f>
              <c:strCache>
                <c:ptCount val="1"/>
                <c:pt idx="0">
                  <c:v>Chi phí sản xuất _Băm</c:v>
                </c:pt>
              </c:strCache>
            </c:strRef>
          </c:tx>
          <c:spPr>
            <a:solidFill>
              <a:schemeClr val="accent4"/>
            </a:solidFill>
            <a:ln>
              <a:noFill/>
            </a:ln>
            <a:effectLst/>
          </c:spPr>
          <c:invertIfNegative val="0"/>
          <c:dLbls>
            <c:dLbl>
              <c:idx val="0"/>
              <c:layout>
                <c:manualLayout>
                  <c:x val="-6.8178550723363143E-3"/>
                  <c:y val="1.3456340432494854E-7"/>
                </c:manualLayout>
              </c:layout>
              <c:tx>
                <c:rich>
                  <a:bodyPr/>
                  <a:lstStyle/>
                  <a:p>
                    <a:fld id="{6CB5125B-3DB6-4FE3-BA7D-A9D9139ABFF6}" type="CELLRANGE">
                      <a:rPr lang="en-US" baseline="0"/>
                      <a:pPr/>
                      <a:t>[CELLRANGE]</a:t>
                    </a:fld>
                    <a:r>
                      <a:rPr lang="en-US" baseline="0"/>
                      <a:t>, </a:t>
                    </a:r>
                    <a:fld id="{95249022-63FC-448A-BDF3-CEC5F2B51E47}" type="SERIESNAME">
                      <a:rPr lang="en-US" baseline="0"/>
                      <a:pPr/>
                      <a:t>[SERIES NAME]</a:t>
                    </a:fld>
                    <a:r>
                      <a:rPr lang="en-US" baseline="0"/>
                      <a:t>, </a:t>
                    </a:r>
                    <a:fld id="{A41CF8CE-0D2E-4E65-9445-587135F39C8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999981857171407"/>
                      <c:h val="6.1445552753496932E-2"/>
                    </c:manualLayout>
                  </c15:layout>
                  <c15:dlblFieldTable/>
                  <c15:showDataLabelsRange val="1"/>
                </c:ext>
                <c:ext xmlns:c16="http://schemas.microsoft.com/office/drawing/2014/chart" uri="{C3380CC4-5D6E-409C-BE32-E72D297353CC}">
                  <c16:uniqueId val="{00000006-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Chart!$AB$50</c:f>
              <c:numCache>
                <c:formatCode>_(* #,##0_);_(* \(#,##0\);_(* "-"??_);_(@_)</c:formatCode>
                <c:ptCount val="1"/>
                <c:pt idx="0">
                  <c:v>2042.9107799317401</c:v>
                </c:pt>
              </c:numCache>
            </c:numRef>
          </c:val>
          <c:extLst>
            <c:ext xmlns:c15="http://schemas.microsoft.com/office/drawing/2012/chart" uri="{02D57815-91ED-43cb-92C2-25804820EDAC}">
              <c15:datalabelsRange>
                <c15:f>Chart!$AC$50</c15:f>
                <c15:dlblRangeCache>
                  <c:ptCount val="1"/>
                  <c:pt idx="0">
                    <c:v>7%</c:v>
                  </c:pt>
                </c15:dlblRangeCache>
              </c15:datalabelsRange>
            </c:ext>
            <c:ext xmlns:c16="http://schemas.microsoft.com/office/drawing/2014/chart" uri="{C3380CC4-5D6E-409C-BE32-E72D297353CC}">
              <c16:uniqueId val="{00000007-5D71-42DF-A062-CF333C96A26E}"/>
            </c:ext>
          </c:extLst>
        </c:ser>
        <c:ser>
          <c:idx val="4"/>
          <c:order val="4"/>
          <c:tx>
            <c:strRef>
              <c:f>Chart!$AA$51</c:f>
              <c:strCache>
                <c:ptCount val="1"/>
                <c:pt idx="0">
                  <c:v>Chi phí sản xuất _Rữa</c:v>
                </c:pt>
              </c:strCache>
            </c:strRef>
          </c:tx>
          <c:spPr>
            <a:solidFill>
              <a:schemeClr val="accent5"/>
            </a:solidFill>
            <a:ln>
              <a:noFill/>
            </a:ln>
            <a:effectLst/>
          </c:spPr>
          <c:invertIfNegative val="0"/>
          <c:dLbls>
            <c:dLbl>
              <c:idx val="0"/>
              <c:layout>
                <c:manualLayout>
                  <c:x val="2.4437840332662442E-2"/>
                  <c:y val="3.4180450332580181E-3"/>
                </c:manualLayout>
              </c:layout>
              <c:tx>
                <c:rich>
                  <a:bodyPr/>
                  <a:lstStyle/>
                  <a:p>
                    <a:fld id="{90D03061-9903-4402-B191-A6B35CF09E8F}" type="CELLRANGE">
                      <a:rPr lang="en-US" baseline="0"/>
                      <a:pPr/>
                      <a:t>[CELLRANGE]</a:t>
                    </a:fld>
                    <a:r>
                      <a:rPr lang="en-US" baseline="0"/>
                      <a:t>, </a:t>
                    </a:r>
                    <a:fld id="{730D7860-972E-4902-900C-4833B552F8EF}" type="SERIESNAME">
                      <a:rPr lang="en-US" baseline="0"/>
                      <a:pPr/>
                      <a:t>[SERIES NAME]</a:t>
                    </a:fld>
                    <a:r>
                      <a:rPr lang="en-US" baseline="0"/>
                      <a:t>, </a:t>
                    </a:r>
                    <a:fld id="{D2108DEF-3DBD-4929-A529-99B8DA0D812D}"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191832923241264"/>
                      <c:h val="6.1445552753496932E-2"/>
                    </c:manualLayout>
                  </c15:layout>
                  <c15:dlblFieldTable/>
                  <c15:showDataLabelsRange val="1"/>
                </c:ext>
                <c:ext xmlns:c16="http://schemas.microsoft.com/office/drawing/2014/chart" uri="{C3380CC4-5D6E-409C-BE32-E72D297353CC}">
                  <c16:uniqueId val="{00000008-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Chart!$AB$51</c:f>
              <c:numCache>
                <c:formatCode>_(* #,##0_);_(* \(#,##0\);_(* "-"??_);_(@_)</c:formatCode>
                <c:ptCount val="1"/>
                <c:pt idx="0">
                  <c:v>1294.1511479150965</c:v>
                </c:pt>
              </c:numCache>
            </c:numRef>
          </c:val>
          <c:extLst>
            <c:ext xmlns:c15="http://schemas.microsoft.com/office/drawing/2012/chart" uri="{02D57815-91ED-43cb-92C2-25804820EDAC}">
              <c15:datalabelsRange>
                <c15:f>Chart!$AC$51</c15:f>
                <c15:dlblRangeCache>
                  <c:ptCount val="1"/>
                  <c:pt idx="0">
                    <c:v>5%</c:v>
                  </c:pt>
                </c15:dlblRangeCache>
              </c15:datalabelsRange>
            </c:ext>
            <c:ext xmlns:c16="http://schemas.microsoft.com/office/drawing/2014/chart" uri="{C3380CC4-5D6E-409C-BE32-E72D297353CC}">
              <c16:uniqueId val="{00000009-5D71-42DF-A062-CF333C96A26E}"/>
            </c:ext>
          </c:extLst>
        </c:ser>
        <c:ser>
          <c:idx val="5"/>
          <c:order val="5"/>
          <c:tx>
            <c:strRef>
              <c:f>Chart!$AA$52</c:f>
              <c:strCache>
                <c:ptCount val="1"/>
                <c:pt idx="0">
                  <c:v>Chi phí sản xuất _Tạo hạt</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09DA7175-F3D0-4343-8A92-2998C7E2BD6C}" type="CELLRANGE">
                      <a:rPr lang="en-US" baseline="0"/>
                      <a:pPr>
                        <a:defRPr>
                          <a:solidFill>
                            <a:schemeClr val="bg1"/>
                          </a:solidFill>
                        </a:defRPr>
                      </a:pPr>
                      <a:t>[CELLRANGE]</a:t>
                    </a:fld>
                    <a:r>
                      <a:rPr lang="en-US" baseline="0"/>
                      <a:t>, </a:t>
                    </a:r>
                    <a:fld id="{CD98C4B9-49E8-4CF5-9FF1-E6BEA00B5BFA}" type="SERIESNAME">
                      <a:rPr lang="en-US" baseline="0"/>
                      <a:pPr>
                        <a:defRPr>
                          <a:solidFill>
                            <a:schemeClr val="bg1"/>
                          </a:solidFill>
                        </a:defRPr>
                      </a:pPr>
                      <a:t>[SERIES NAME]</a:t>
                    </a:fld>
                    <a:r>
                      <a:rPr lang="en-US" baseline="0"/>
                      <a:t>, </a:t>
                    </a:r>
                    <a:fld id="{EFAAFC10-A8D7-4EDC-8665-F23930B56A0A}"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8619097086399171"/>
                      <c:h val="2.7317716712007806E-2"/>
                    </c:manualLayout>
                  </c15:layout>
                  <c15:dlblFieldTable/>
                  <c15:showDataLabelsRange val="1"/>
                </c:ext>
                <c:ext xmlns:c16="http://schemas.microsoft.com/office/drawing/2014/chart" uri="{C3380CC4-5D6E-409C-BE32-E72D297353CC}">
                  <c16:uniqueId val="{0000000E-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Chart!$AB$52</c:f>
              <c:numCache>
                <c:formatCode>_(* #,##0_);_(* \(#,##0\);_(* "-"??_);_(@_)</c:formatCode>
                <c:ptCount val="1"/>
                <c:pt idx="0">
                  <c:v>2000.939404729972</c:v>
                </c:pt>
              </c:numCache>
            </c:numRef>
          </c:val>
          <c:extLst>
            <c:ext xmlns:c15="http://schemas.microsoft.com/office/drawing/2012/chart" uri="{02D57815-91ED-43cb-92C2-25804820EDAC}">
              <c15:datalabelsRange>
                <c15:f>Chart!$AC$52</c15:f>
                <c15:dlblRangeCache>
                  <c:ptCount val="1"/>
                  <c:pt idx="0">
                    <c:v>7%</c:v>
                  </c:pt>
                </c15:dlblRangeCache>
              </c15:datalabelsRange>
            </c:ext>
            <c:ext xmlns:c16="http://schemas.microsoft.com/office/drawing/2014/chart" uri="{C3380CC4-5D6E-409C-BE32-E72D297353CC}">
              <c16:uniqueId val="{0000000A-5D71-42DF-A062-CF333C96A26E}"/>
            </c:ext>
          </c:extLst>
        </c:ser>
        <c:ser>
          <c:idx val="6"/>
          <c:order val="6"/>
          <c:tx>
            <c:strRef>
              <c:f>Chart!$AA$53</c:f>
              <c:strCache>
                <c:ptCount val="1"/>
                <c:pt idx="0">
                  <c:v>Chi phí sản xuất _Nâng IV</c:v>
                </c:pt>
              </c:strCache>
            </c:strRef>
          </c:tx>
          <c:spPr>
            <a:solidFill>
              <a:schemeClr val="accent1">
                <a:lumMod val="60000"/>
              </a:schemeClr>
            </a:solidFill>
            <a:ln>
              <a:noFill/>
            </a:ln>
            <a:effectLst/>
          </c:spPr>
          <c:invertIfNegative val="0"/>
          <c:dLbls>
            <c:dLbl>
              <c:idx val="0"/>
              <c:layout>
                <c:manualLayout>
                  <c:x val="0"/>
                  <c:y val="-8.5447761746345469E-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D30FAC7-5E92-444D-B3C5-AD9DBBEF79E2}" type="CELLRANGE">
                      <a:rPr lang="en-US" baseline="0"/>
                      <a:pPr>
                        <a:defRPr>
                          <a:solidFill>
                            <a:schemeClr val="bg1"/>
                          </a:solidFill>
                        </a:defRPr>
                      </a:pPr>
                      <a:t>[CELLRANGE]</a:t>
                    </a:fld>
                    <a:r>
                      <a:rPr lang="en-US" baseline="0"/>
                      <a:t>, </a:t>
                    </a:r>
                    <a:fld id="{0CEEF7C9-713A-4DD3-A245-A2FE65A83317}" type="SERIESNAME">
                      <a:rPr lang="en-US" baseline="0"/>
                      <a:pPr>
                        <a:defRPr>
                          <a:solidFill>
                            <a:schemeClr val="bg1"/>
                          </a:solidFill>
                        </a:defRPr>
                      </a:pPr>
                      <a:t>[SERIES NAME]</a:t>
                    </a:fld>
                    <a:r>
                      <a:rPr lang="en-US" baseline="0"/>
                      <a:t>, </a:t>
                    </a:r>
                    <a:fld id="{444374B7-91CD-4865-AF0D-1B1DCBBD316B}"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896954506307519"/>
                      <c:h val="6.1419851143270865E-2"/>
                    </c:manualLayout>
                  </c15:layout>
                  <c15:dlblFieldTable/>
                  <c15:showDataLabelsRange val="1"/>
                </c:ext>
                <c:ext xmlns:c16="http://schemas.microsoft.com/office/drawing/2014/chart" uri="{C3380CC4-5D6E-409C-BE32-E72D297353CC}">
                  <c16:uniqueId val="{0000000D-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Chart!$AB$53</c:f>
              <c:numCache>
                <c:formatCode>_(* #,##0_);_(* \(#,##0\);_(* "-"??_);_(@_)</c:formatCode>
                <c:ptCount val="1"/>
                <c:pt idx="0">
                  <c:v>2332</c:v>
                </c:pt>
              </c:numCache>
            </c:numRef>
          </c:val>
          <c:extLst>
            <c:ext xmlns:c15="http://schemas.microsoft.com/office/drawing/2012/chart" uri="{02D57815-91ED-43cb-92C2-25804820EDAC}">
              <c15:datalabelsRange>
                <c15:f>Chart!$AC$53</c15:f>
                <c15:dlblRangeCache>
                  <c:ptCount val="1"/>
                  <c:pt idx="0">
                    <c:v>8%</c:v>
                  </c:pt>
                </c15:dlblRangeCache>
              </c15:datalabelsRange>
            </c:ext>
            <c:ext xmlns:c16="http://schemas.microsoft.com/office/drawing/2014/chart" uri="{C3380CC4-5D6E-409C-BE32-E72D297353CC}">
              <c16:uniqueId val="{0000000B-5D71-42DF-A062-CF333C96A26E}"/>
            </c:ext>
          </c:extLst>
        </c:ser>
        <c:ser>
          <c:idx val="7"/>
          <c:order val="7"/>
          <c:tx>
            <c:strRef>
              <c:f>Chart!$AA$54</c:f>
              <c:strCache>
                <c:ptCount val="1"/>
                <c:pt idx="0">
                  <c:v>Phó sản thu hồi</c:v>
                </c:pt>
              </c:strCache>
            </c:strRef>
          </c:tx>
          <c:spPr>
            <a:solidFill>
              <a:schemeClr val="accent2">
                <a:lumMod val="60000"/>
              </a:schemeClr>
            </a:solidFill>
            <a:ln>
              <a:noFill/>
            </a:ln>
            <a:effectLst/>
          </c:spPr>
          <c:invertIfNegative val="0"/>
          <c:dLbls>
            <c:dLbl>
              <c:idx val="0"/>
              <c:tx>
                <c:rich>
                  <a:bodyPr/>
                  <a:lstStyle/>
                  <a:p>
                    <a:fld id="{AD6B4484-E53B-408C-A75A-B3AC88020D2D}" type="CELLRANGE">
                      <a:rPr lang="en-US" baseline="0"/>
                      <a:pPr/>
                      <a:t>[CELLRANGE]</a:t>
                    </a:fld>
                    <a:r>
                      <a:rPr lang="en-US" baseline="0"/>
                      <a:t>, </a:t>
                    </a:r>
                    <a:fld id="{DD69E9AF-57DD-468C-9DC1-64729BF2BEC2}" type="SERIESNAME">
                      <a:rPr lang="en-US" baseline="0"/>
                      <a:pPr/>
                      <a:t>[SERIES NAME]</a:t>
                    </a:fld>
                    <a:r>
                      <a:rPr lang="en-US" baseline="0"/>
                      <a:t>, </a:t>
                    </a:r>
                    <a:fld id="{EEFB3AB4-9406-4F51-8183-AB20980AD52B}"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4298822283022077"/>
                      <c:h val="4.2672612216123361E-2"/>
                    </c:manualLayout>
                  </c15:layout>
                  <c15:dlblFieldTable/>
                  <c15:showDataLabelsRange val="1"/>
                </c:ext>
                <c:ext xmlns:c16="http://schemas.microsoft.com/office/drawing/2014/chart" uri="{C3380CC4-5D6E-409C-BE32-E72D297353CC}">
                  <c16:uniqueId val="{0000000F-5D71-42DF-A062-CF333C96A2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Chart!$AB$54</c:f>
              <c:numCache>
                <c:formatCode>_(* #,##0_);_(* \(#,##0\);_(* "-"??_);_(@_)</c:formatCode>
                <c:ptCount val="1"/>
                <c:pt idx="0">
                  <c:v>-1350.9980146895243</c:v>
                </c:pt>
              </c:numCache>
            </c:numRef>
          </c:val>
          <c:extLst>
            <c:ext xmlns:c15="http://schemas.microsoft.com/office/drawing/2012/chart" uri="{02D57815-91ED-43cb-92C2-25804820EDAC}">
              <c15:datalabelsRange>
                <c15:f>Chart!$AC$54</c15:f>
                <c15:dlblRangeCache>
                  <c:ptCount val="1"/>
                  <c:pt idx="0">
                    <c:v>-5%</c:v>
                  </c:pt>
                </c15:dlblRangeCache>
              </c15:datalabelsRange>
            </c:ext>
            <c:ext xmlns:c16="http://schemas.microsoft.com/office/drawing/2014/chart" uri="{C3380CC4-5D6E-409C-BE32-E72D297353CC}">
              <c16:uniqueId val="{0000000C-5D71-42DF-A062-CF333C96A26E}"/>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WSS01G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Chart!$AA$90</c:f>
              <c:strCache>
                <c:ptCount val="1"/>
                <c:pt idx="0">
                  <c:v>Chi phí NVL</c:v>
                </c:pt>
              </c:strCache>
            </c:strRef>
          </c:tx>
          <c:spPr>
            <a:solidFill>
              <a:schemeClr val="accent1"/>
            </a:solidFill>
            <a:ln>
              <a:noFill/>
            </a:ln>
            <a:effectLst/>
          </c:spPr>
          <c:invertIfNegative val="0"/>
          <c:dLbls>
            <c:dLbl>
              <c:idx val="0"/>
              <c:tx>
                <c:rich>
                  <a:bodyPr/>
                  <a:lstStyle/>
                  <a:p>
                    <a:fld id="{CB5EE9E3-2016-4A80-98D5-FE9E771BF51B}" type="CELLRANGE">
                      <a:rPr lang="en-US" baseline="0"/>
                      <a:pPr/>
                      <a:t>[CELLRANGE]</a:t>
                    </a:fld>
                    <a:r>
                      <a:rPr lang="en-US" baseline="0"/>
                      <a:t>, </a:t>
                    </a:r>
                    <a:fld id="{D3E6D364-DF5C-4F55-8B64-C54A27A7A230}" type="SERIESNAME">
                      <a:rPr lang="en-US" baseline="0"/>
                      <a:pPr/>
                      <a:t>[SERIES NAME]</a:t>
                    </a:fld>
                    <a:r>
                      <a:rPr lang="en-US" baseline="0"/>
                      <a:t>, </a:t>
                    </a:r>
                    <a:fld id="{05DFA9A8-DA2E-4142-AB98-D967605A981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895281242706788"/>
                      <c:h val="4.1990108618234795E-2"/>
                    </c:manualLayout>
                  </c15:layout>
                  <c15:dlblFieldTable/>
                  <c15:showDataLabelsRange val="1"/>
                </c:ext>
                <c:ext xmlns:c16="http://schemas.microsoft.com/office/drawing/2014/chart" uri="{C3380CC4-5D6E-409C-BE32-E72D297353CC}">
                  <c16:uniqueId val="{00000000-43B7-46B3-B2C4-5C18E23523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Chart!$AB$90</c:f>
              <c:numCache>
                <c:formatCode>_(* #,##0_);_(* \(#,##0\);_(* "-"??_);_(@_)</c:formatCode>
                <c:ptCount val="1"/>
                <c:pt idx="0">
                  <c:v>15092.307331351003</c:v>
                </c:pt>
              </c:numCache>
            </c:numRef>
          </c:val>
          <c:extLst>
            <c:ext xmlns:c15="http://schemas.microsoft.com/office/drawing/2012/chart" uri="{02D57815-91ED-43cb-92C2-25804820EDAC}">
              <c15:datalabelsRange>
                <c15:f>Chart!$AC$90</c15:f>
                <c15:dlblRangeCache>
                  <c:ptCount val="1"/>
                  <c:pt idx="0">
                    <c:v>57%</c:v>
                  </c:pt>
                </c15:dlblRangeCache>
              </c15:datalabelsRange>
            </c:ext>
            <c:ext xmlns:c16="http://schemas.microsoft.com/office/drawing/2014/chart" uri="{C3380CC4-5D6E-409C-BE32-E72D297353CC}">
              <c16:uniqueId val="{00000001-43B7-46B3-B2C4-5C18E235235D}"/>
            </c:ext>
          </c:extLst>
        </c:ser>
        <c:ser>
          <c:idx val="1"/>
          <c:order val="1"/>
          <c:tx>
            <c:strRef>
              <c:f>Chart!$AA$91</c:f>
              <c:strCache>
                <c:ptCount val="1"/>
                <c:pt idx="0">
                  <c:v>Hao hụt về tiền</c:v>
                </c:pt>
              </c:strCache>
            </c:strRef>
          </c:tx>
          <c:spPr>
            <a:solidFill>
              <a:schemeClr val="accent2"/>
            </a:solidFill>
            <a:ln>
              <a:noFill/>
            </a:ln>
            <a:effectLst/>
          </c:spPr>
          <c:invertIfNegative val="0"/>
          <c:dLbls>
            <c:dLbl>
              <c:idx val="0"/>
              <c:tx>
                <c:rich>
                  <a:bodyPr/>
                  <a:lstStyle/>
                  <a:p>
                    <a:fld id="{13268A08-112A-49EC-B876-C135DF65A5A7}" type="CELLRANGE">
                      <a:rPr lang="en-US" baseline="0"/>
                      <a:pPr/>
                      <a:t>[CELLRANGE]</a:t>
                    </a:fld>
                    <a:r>
                      <a:rPr lang="en-US" baseline="0"/>
                      <a:t>, </a:t>
                    </a:r>
                    <a:fld id="{4B5F5CA0-4573-4E82-8B7D-123958CFDB10}" type="SERIESNAME">
                      <a:rPr lang="en-US" baseline="0"/>
                      <a:pPr/>
                      <a:t>[SERIES NAME]</a:t>
                    </a:fld>
                    <a:r>
                      <a:rPr lang="en-US" baseline="0"/>
                      <a:t>, </a:t>
                    </a:r>
                    <a:fld id="{E6D9CEF0-0A93-4596-92DD-94EFF6A9060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6320180790538018"/>
                      <c:h val="4.1990108618234795E-2"/>
                    </c:manualLayout>
                  </c15:layout>
                  <c15:dlblFieldTable/>
                  <c15:showDataLabelsRange val="1"/>
                </c:ext>
                <c:ext xmlns:c16="http://schemas.microsoft.com/office/drawing/2014/chart" uri="{C3380CC4-5D6E-409C-BE32-E72D297353CC}">
                  <c16:uniqueId val="{00000002-43B7-46B3-B2C4-5C18E235235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Chart!$AB$91</c:f>
              <c:numCache>
                <c:formatCode>_(* #,##0_);_(* \(#,##0\);_(* "-"??_);_(@_)</c:formatCode>
                <c:ptCount val="1"/>
                <c:pt idx="0">
                  <c:v>2103.2594021091791</c:v>
                </c:pt>
              </c:numCache>
            </c:numRef>
          </c:val>
          <c:extLst>
            <c:ext xmlns:c15="http://schemas.microsoft.com/office/drawing/2012/chart" uri="{02D57815-91ED-43cb-92C2-25804820EDAC}">
              <c15:datalabelsRange>
                <c15:f>Chart!$AC$91</c15:f>
                <c15:dlblRangeCache>
                  <c:ptCount val="1"/>
                  <c:pt idx="0">
                    <c:v>8%</c:v>
                  </c:pt>
                </c15:dlblRangeCache>
              </c15:datalabelsRange>
            </c:ext>
            <c:ext xmlns:c16="http://schemas.microsoft.com/office/drawing/2014/chart" uri="{C3380CC4-5D6E-409C-BE32-E72D297353CC}">
              <c16:uniqueId val="{00000003-43B7-46B3-B2C4-5C18E235235D}"/>
            </c:ext>
          </c:extLst>
        </c:ser>
        <c:ser>
          <c:idx val="2"/>
          <c:order val="2"/>
          <c:tx>
            <c:strRef>
              <c:f>Chart!$AA$92</c:f>
              <c:strCache>
                <c:ptCount val="1"/>
                <c:pt idx="0">
                  <c:v>Chi phí sản xuất _Phân loại</c:v>
                </c:pt>
              </c:strCache>
            </c:strRef>
          </c:tx>
          <c:spPr>
            <a:solidFill>
              <a:schemeClr val="accent3"/>
            </a:solidFill>
            <a:ln>
              <a:noFill/>
            </a:ln>
            <a:effectLst/>
          </c:spPr>
          <c:invertIfNegative val="0"/>
          <c:dLbls>
            <c:dLbl>
              <c:idx val="0"/>
              <c:layout>
                <c:manualLayout>
                  <c:x val="1.7455600237615756E-3"/>
                  <c:y val="0"/>
                </c:manualLayout>
              </c:layout>
              <c:tx>
                <c:rich>
                  <a:bodyPr/>
                  <a:lstStyle/>
                  <a:p>
                    <a:fld id="{7CDCC0F0-057E-4224-BD7E-7529C8D9A33D}" type="CELLRANGE">
                      <a:rPr lang="en-US" baseline="0"/>
                      <a:pPr/>
                      <a:t>[CELLRANGE]</a:t>
                    </a:fld>
                    <a:r>
                      <a:rPr lang="en-US" baseline="0"/>
                      <a:t>, </a:t>
                    </a:r>
                    <a:fld id="{130024D1-13DF-4125-9046-4F047FAD634C}" type="SERIESNAME">
                      <a:rPr lang="en-US" baseline="0"/>
                      <a:pPr/>
                      <a:t>[SERIES NAME]</a:t>
                    </a:fld>
                    <a:r>
                      <a:rPr lang="en-US" baseline="0"/>
                      <a:t>, </a:t>
                    </a:r>
                    <a:fld id="{71CE1006-3F6C-4025-AFCE-DC806E01777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6600097146600379"/>
                      <c:h val="6.0462795695735469E-2"/>
                    </c:manualLayout>
                  </c15:layout>
                  <c15:dlblFieldTable/>
                  <c15:showDataLabelsRange val="1"/>
                </c:ext>
                <c:ext xmlns:c16="http://schemas.microsoft.com/office/drawing/2014/chart" uri="{C3380CC4-5D6E-409C-BE32-E72D297353CC}">
                  <c16:uniqueId val="{00000004-43B7-46B3-B2C4-5C18E235235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Chart!$AB$92</c:f>
              <c:numCache>
                <c:formatCode>_(* #,##0_);_(* \(#,##0\);_(* "-"??_);_(@_)</c:formatCode>
                <c:ptCount val="1"/>
                <c:pt idx="0">
                  <c:v>3837.0272876316099</c:v>
                </c:pt>
              </c:numCache>
            </c:numRef>
          </c:val>
          <c:extLst>
            <c:ext xmlns:c15="http://schemas.microsoft.com/office/drawing/2012/chart" uri="{02D57815-91ED-43cb-92C2-25804820EDAC}">
              <c15:datalabelsRange>
                <c15:f>Chart!$AC$92</c15:f>
                <c15:dlblRangeCache>
                  <c:ptCount val="1"/>
                  <c:pt idx="0">
                    <c:v>15%</c:v>
                  </c:pt>
                </c15:dlblRangeCache>
              </c15:datalabelsRange>
            </c:ext>
            <c:ext xmlns:c16="http://schemas.microsoft.com/office/drawing/2014/chart" uri="{C3380CC4-5D6E-409C-BE32-E72D297353CC}">
              <c16:uniqueId val="{00000005-43B7-46B3-B2C4-5C18E235235D}"/>
            </c:ext>
          </c:extLst>
        </c:ser>
        <c:ser>
          <c:idx val="3"/>
          <c:order val="3"/>
          <c:tx>
            <c:strRef>
              <c:f>Chart!$AA$93</c:f>
              <c:strCache>
                <c:ptCount val="1"/>
                <c:pt idx="0">
                  <c:v>Chi phí sản xuất _Băm</c:v>
                </c:pt>
              </c:strCache>
            </c:strRef>
          </c:tx>
          <c:spPr>
            <a:solidFill>
              <a:schemeClr val="accent4"/>
            </a:solidFill>
            <a:ln>
              <a:noFill/>
            </a:ln>
            <a:effectLst/>
          </c:spPr>
          <c:invertIfNegative val="0"/>
          <c:dLbls>
            <c:dLbl>
              <c:idx val="0"/>
              <c:layout>
                <c:manualLayout>
                  <c:x val="3.4913949388655401E-3"/>
                  <c:y val="0"/>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C875113A-C7AD-4E1C-BAA9-99C02D716F69}"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2D36A43B-01ED-491C-A3CD-32765549F23C}"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507FE288-54D9-4991-B850-51A4B8EC96A7}"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6949209151352695"/>
                      <c:h val="6.0462795695735469E-2"/>
                    </c:manualLayout>
                  </c15:layout>
                  <c15:dlblFieldTable/>
                  <c15:showDataLabelsRange val="1"/>
                </c:ext>
                <c:ext xmlns:c16="http://schemas.microsoft.com/office/drawing/2014/chart" uri="{C3380CC4-5D6E-409C-BE32-E72D297353CC}">
                  <c16:uniqueId val="{00000006-43B7-46B3-B2C4-5C18E235235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Chart!$AB$93</c:f>
              <c:numCache>
                <c:formatCode>_(* #,##0_);_(* \(#,##0\);_(* "-"??_);_(@_)</c:formatCode>
                <c:ptCount val="1"/>
                <c:pt idx="0">
                  <c:v>1991.4088274964863</c:v>
                </c:pt>
              </c:numCache>
            </c:numRef>
          </c:val>
          <c:extLst>
            <c:ext xmlns:c15="http://schemas.microsoft.com/office/drawing/2012/chart" uri="{02D57815-91ED-43cb-92C2-25804820EDAC}">
              <c15:datalabelsRange>
                <c15:f>Chart!$AC$93</c15:f>
                <c15:dlblRangeCache>
                  <c:ptCount val="1"/>
                  <c:pt idx="0">
                    <c:v>8%</c:v>
                  </c:pt>
                </c15:dlblRangeCache>
              </c15:datalabelsRange>
            </c:ext>
            <c:ext xmlns:c16="http://schemas.microsoft.com/office/drawing/2014/chart" uri="{C3380CC4-5D6E-409C-BE32-E72D297353CC}">
              <c16:uniqueId val="{00000007-43B7-46B3-B2C4-5C18E235235D}"/>
            </c:ext>
          </c:extLst>
        </c:ser>
        <c:ser>
          <c:idx val="4"/>
          <c:order val="4"/>
          <c:tx>
            <c:strRef>
              <c:f>Chart!$AA$94</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64331EA7-B090-4E80-BE60-4B318658758C}" type="CELLRANGE">
                      <a:rPr lang="en-US" sz="1000" b="1" baseline="0"/>
                      <a:pPr>
                        <a:defRPr sz="1000" b="1">
                          <a:solidFill>
                            <a:schemeClr val="bg1"/>
                          </a:solidFill>
                        </a:defRPr>
                      </a:pPr>
                      <a:t>[CELLRANGE]</a:t>
                    </a:fld>
                    <a:r>
                      <a:rPr lang="en-US" sz="1000" b="1" baseline="0"/>
                      <a:t>, </a:t>
                    </a:r>
                    <a:fld id="{22C0FE8C-10DF-4095-81FF-8DDB7062DEBB}" type="SERIESNAME">
                      <a:rPr lang="en-US" sz="1000" b="1" baseline="0"/>
                      <a:pPr>
                        <a:defRPr sz="1000" b="1">
                          <a:solidFill>
                            <a:schemeClr val="bg1"/>
                          </a:solidFill>
                        </a:defRPr>
                      </a:pPr>
                      <a:t>[SERIES NAME]</a:t>
                    </a:fld>
                    <a:r>
                      <a:rPr lang="en-US" sz="1000" b="1" baseline="0"/>
                      <a:t>, </a:t>
                    </a:r>
                    <a:fld id="{564D1A25-FF46-40AE-BCC7-A80D0484F6EA}" type="VALUE">
                      <a:rPr lang="en-US" sz="1000" b="1" baseline="0"/>
                      <a:pPr>
                        <a:defRPr sz="1000" b="1">
                          <a:solidFill>
                            <a:schemeClr val="bg1"/>
                          </a:solidFill>
                        </a:defRPr>
                      </a:pPr>
                      <a:t>[VALUE]</a:t>
                    </a:fld>
                    <a:endParaRPr lang="en-US" sz="1000" b="1"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872297027792341"/>
                      <c:h val="4.8691439655381294E-2"/>
                    </c:manualLayout>
                  </c15:layout>
                  <c15:dlblFieldTable/>
                  <c15:showDataLabelsRange val="1"/>
                </c:ext>
                <c:ext xmlns:c16="http://schemas.microsoft.com/office/drawing/2014/chart" uri="{C3380CC4-5D6E-409C-BE32-E72D297353CC}">
                  <c16:uniqueId val="{00000008-43B7-46B3-B2C4-5C18E235235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Chart!$AB$94</c:f>
              <c:numCache>
                <c:formatCode>_(* #,##0_);_(* \(#,##0\);_(* "-"??_);_(@_)</c:formatCode>
                <c:ptCount val="1"/>
                <c:pt idx="0">
                  <c:v>1261.5254887239598</c:v>
                </c:pt>
              </c:numCache>
            </c:numRef>
          </c:val>
          <c:extLst>
            <c:ext xmlns:c15="http://schemas.microsoft.com/office/drawing/2012/chart" uri="{02D57815-91ED-43cb-92C2-25804820EDAC}">
              <c15:datalabelsRange>
                <c15:f>Chart!$AC$94</c15:f>
                <c15:dlblRangeCache>
                  <c:ptCount val="1"/>
                  <c:pt idx="0">
                    <c:v>5%</c:v>
                  </c:pt>
                </c15:dlblRangeCache>
              </c15:datalabelsRange>
            </c:ext>
            <c:ext xmlns:c16="http://schemas.microsoft.com/office/drawing/2014/chart" uri="{C3380CC4-5D6E-409C-BE32-E72D297353CC}">
              <c16:uniqueId val="{00000009-43B7-46B3-B2C4-5C18E235235D}"/>
            </c:ext>
          </c:extLst>
        </c:ser>
        <c:ser>
          <c:idx val="5"/>
          <c:order val="5"/>
          <c:tx>
            <c:strRef>
              <c:f>Chart!$AA$95</c:f>
              <c:strCache>
                <c:ptCount val="1"/>
                <c:pt idx="0">
                  <c:v>Chi phí sản xuất _Tạo hạt</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FEACA6F2-61FA-43B9-A8CC-34831EFA18C3}" type="CELLRANGE">
                      <a:rPr lang="en-US" sz="1000" b="1" baseline="0"/>
                      <a:pPr>
                        <a:defRPr sz="1000" b="1">
                          <a:solidFill>
                            <a:schemeClr val="bg1"/>
                          </a:solidFill>
                        </a:defRPr>
                      </a:pPr>
                      <a:t>[CELLRANGE]</a:t>
                    </a:fld>
                    <a:r>
                      <a:rPr lang="en-US" sz="1000" b="1" baseline="0"/>
                      <a:t>, </a:t>
                    </a:r>
                    <a:fld id="{ECB41E4E-0611-47F1-A153-865450DD5AAA}" type="SERIESNAME">
                      <a:rPr lang="en-US" sz="1000" b="1" baseline="0"/>
                      <a:pPr>
                        <a:defRPr sz="1000" b="1">
                          <a:solidFill>
                            <a:schemeClr val="bg1"/>
                          </a:solidFill>
                        </a:defRPr>
                      </a:pPr>
                      <a:t>[SERIES NAME]</a:t>
                    </a:fld>
                    <a:r>
                      <a:rPr lang="en-US" sz="1000" b="1" baseline="0"/>
                      <a:t>, </a:t>
                    </a:r>
                    <a:fld id="{E7ED3BD8-4C31-4E37-9972-45DAB165DD71}" type="VALUE">
                      <a:rPr lang="en-US" sz="1000" b="1" baseline="0"/>
                      <a:pPr>
                        <a:defRPr sz="1000" b="1">
                          <a:solidFill>
                            <a:schemeClr val="bg1"/>
                          </a:solidFill>
                        </a:defRPr>
                      </a:pPr>
                      <a:t>[VALUE]</a:t>
                    </a:fld>
                    <a:endParaRPr lang="en-US" sz="1000" b="1"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280346286121741"/>
                      <c:h val="5.7099551112777133E-2"/>
                    </c:manualLayout>
                  </c15:layout>
                  <c15:dlblFieldTable/>
                  <c15:showDataLabelsRange val="1"/>
                </c:ext>
                <c:ext xmlns:c16="http://schemas.microsoft.com/office/drawing/2014/chart" uri="{C3380CC4-5D6E-409C-BE32-E72D297353CC}">
                  <c16:uniqueId val="{0000000E-43B7-46B3-B2C4-5C18E235235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Chart!$AB$95</c:f>
              <c:numCache>
                <c:formatCode>_(* #,##0_);_(* \(#,##0\);_(* "-"??_);_(@_)</c:formatCode>
                <c:ptCount val="1"/>
                <c:pt idx="0">
                  <c:v>2000.939404729972</c:v>
                </c:pt>
              </c:numCache>
            </c:numRef>
          </c:val>
          <c:extLst>
            <c:ext xmlns:c15="http://schemas.microsoft.com/office/drawing/2012/chart" uri="{02D57815-91ED-43cb-92C2-25804820EDAC}">
              <c15:datalabelsRange>
                <c15:f>Chart!$AC$95</c15:f>
                <c15:dlblRangeCache>
                  <c:ptCount val="1"/>
                  <c:pt idx="0">
                    <c:v>8%</c:v>
                  </c:pt>
                </c15:dlblRangeCache>
              </c15:datalabelsRange>
            </c:ext>
            <c:ext xmlns:c16="http://schemas.microsoft.com/office/drawing/2014/chart" uri="{C3380CC4-5D6E-409C-BE32-E72D297353CC}">
              <c16:uniqueId val="{0000000A-43B7-46B3-B2C4-5C18E235235D}"/>
            </c:ext>
          </c:extLst>
        </c:ser>
        <c:ser>
          <c:idx val="6"/>
          <c:order val="6"/>
          <c:tx>
            <c:strRef>
              <c:f>Chart!$AA$96</c:f>
              <c:strCache>
                <c:ptCount val="1"/>
                <c:pt idx="0">
                  <c:v>Chi phí sản xuất _Nâng IV</c:v>
                </c:pt>
              </c:strCache>
            </c:strRef>
          </c:tx>
          <c:spPr>
            <a:solidFill>
              <a:schemeClr val="accent1">
                <a:lumMod val="60000"/>
              </a:schemeClr>
            </a:solidFill>
            <a:ln>
              <a:noFill/>
            </a:ln>
            <a:effectLst/>
          </c:spPr>
          <c:invertIfNegative val="0"/>
          <c:dLbls>
            <c:dLbl>
              <c:idx val="0"/>
              <c:layout>
                <c:manualLayout>
                  <c:x val="-3.4911200475232153E-3"/>
                  <c:y val="3.3632445829583028E-3"/>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E87FF46B-9C0C-4674-8F5E-04760C6B19E1}" type="CELLRANGE">
                      <a:rPr lang="en-US" sz="1000" b="1" baseline="0">
                        <a:solidFill>
                          <a:schemeClr val="bg1"/>
                        </a:solidFill>
                      </a:rPr>
                      <a:pPr>
                        <a:defRPr sz="1000" b="1">
                          <a:solidFill>
                            <a:schemeClr val="bg1"/>
                          </a:solidFill>
                        </a:defRPr>
                      </a:pPr>
                      <a:t>[CELLRANGE]</a:t>
                    </a:fld>
                    <a:r>
                      <a:rPr lang="en-US" sz="1000" b="1" baseline="0">
                        <a:solidFill>
                          <a:schemeClr val="bg1"/>
                        </a:solidFill>
                      </a:rPr>
                      <a:t>, </a:t>
                    </a:r>
                    <a:fld id="{127E5DE3-0B61-4D1B-ACF0-37E2A6CFAE65}" type="SERIESNAME">
                      <a:rPr lang="en-US" sz="1000" b="1" baseline="0">
                        <a:solidFill>
                          <a:schemeClr val="bg1"/>
                        </a:solidFill>
                      </a:rPr>
                      <a:pPr>
                        <a:defRPr sz="1000" b="1">
                          <a:solidFill>
                            <a:schemeClr val="bg1"/>
                          </a:solidFill>
                        </a:defRPr>
                      </a:pPr>
                      <a:t>[SERIES NAME]</a:t>
                    </a:fld>
                    <a:r>
                      <a:rPr lang="en-US" sz="1000" b="1" baseline="0">
                        <a:solidFill>
                          <a:schemeClr val="bg1"/>
                        </a:solidFill>
                      </a:rPr>
                      <a:t>, </a:t>
                    </a:r>
                    <a:fld id="{AA371E4E-7DE7-4F88-8FEB-6E79CE25A504}" type="VALUE">
                      <a:rPr lang="en-US" sz="1000" b="1" baseline="0">
                        <a:solidFill>
                          <a:schemeClr val="bg1"/>
                        </a:solidFill>
                      </a:rPr>
                      <a:pPr>
                        <a:defRPr sz="1000" b="1">
                          <a:solidFill>
                            <a:schemeClr val="bg1"/>
                          </a:solidFill>
                        </a:defRPr>
                      </a:pPr>
                      <a:t>[VALUE]</a:t>
                    </a:fld>
                    <a:endParaRPr lang="en-US" sz="1000"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997069108508129"/>
                      <c:h val="5.8755882864282093E-2"/>
                    </c:manualLayout>
                  </c15:layout>
                  <c15:dlblFieldTable/>
                  <c15:showDataLabelsRange val="1"/>
                </c:ext>
                <c:ext xmlns:c16="http://schemas.microsoft.com/office/drawing/2014/chart" uri="{C3380CC4-5D6E-409C-BE32-E72D297353CC}">
                  <c16:uniqueId val="{0000000D-43B7-46B3-B2C4-5C18E235235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Chart!$AB$96</c:f>
              <c:numCache>
                <c:formatCode>_(* #,##0_);_(* \(#,##0\);_(* "-"??_);_(@_)</c:formatCode>
                <c:ptCount val="1"/>
                <c:pt idx="0">
                  <c:v>1376.0623421472308</c:v>
                </c:pt>
              </c:numCache>
            </c:numRef>
          </c:val>
          <c:extLst>
            <c:ext xmlns:c15="http://schemas.microsoft.com/office/drawing/2012/chart" uri="{02D57815-91ED-43cb-92C2-25804820EDAC}">
              <c15:datalabelsRange>
                <c15:f>Chart!$AC$96</c15:f>
                <c15:dlblRangeCache>
                  <c:ptCount val="1"/>
                  <c:pt idx="0">
                    <c:v>5%</c:v>
                  </c:pt>
                </c15:dlblRangeCache>
              </c15:datalabelsRange>
            </c:ext>
            <c:ext xmlns:c16="http://schemas.microsoft.com/office/drawing/2014/chart" uri="{C3380CC4-5D6E-409C-BE32-E72D297353CC}">
              <c16:uniqueId val="{0000000B-43B7-46B3-B2C4-5C18E235235D}"/>
            </c:ext>
          </c:extLst>
        </c:ser>
        <c:ser>
          <c:idx val="7"/>
          <c:order val="7"/>
          <c:tx>
            <c:strRef>
              <c:f>Chart!$AA$97</c:f>
              <c:strCache>
                <c:ptCount val="1"/>
                <c:pt idx="0">
                  <c:v>Phó sản thu hồi</c:v>
                </c:pt>
              </c:strCache>
            </c:strRef>
          </c:tx>
          <c:spPr>
            <a:solidFill>
              <a:schemeClr val="accent2">
                <a:lumMod val="6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D6B68340-5535-43A4-9ABC-280BA9233D79}" type="CELLRANGE">
                      <a:rPr lang="en-US" sz="1000" baseline="0"/>
                      <a:pPr>
                        <a:defRPr sz="1000">
                          <a:solidFill>
                            <a:schemeClr val="bg1"/>
                          </a:solidFill>
                        </a:defRPr>
                      </a:pPr>
                      <a:t>[CELLRANGE]</a:t>
                    </a:fld>
                    <a:r>
                      <a:rPr lang="en-US" sz="1000" baseline="0"/>
                      <a:t>, </a:t>
                    </a:r>
                    <a:fld id="{ADA210FA-C4F9-416D-AE58-F9559F750A7E}" type="SERIESNAME">
                      <a:rPr lang="en-US" sz="1000" baseline="0"/>
                      <a:pPr>
                        <a:defRPr sz="1000">
                          <a:solidFill>
                            <a:schemeClr val="bg1"/>
                          </a:solidFill>
                        </a:defRPr>
                      </a:pPr>
                      <a:t>[SERIES NAME]</a:t>
                    </a:fld>
                    <a:r>
                      <a:rPr lang="en-US" sz="1000" baseline="0"/>
                      <a:t>, </a:t>
                    </a:r>
                    <a:fld id="{010F3A23-2782-440B-97EA-810A65FC3ABA}" type="VALUE">
                      <a:rPr lang="en-US" sz="1000" baseline="0"/>
                      <a:pPr>
                        <a:defRPr sz="1000">
                          <a:solidFill>
                            <a:schemeClr val="bg1"/>
                          </a:solidFill>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391869978594199"/>
                      <c:h val="6.0462795695735469E-2"/>
                    </c:manualLayout>
                  </c15:layout>
                  <c15:dlblFieldTable/>
                  <c15:showDataLabelsRange val="1"/>
                </c:ext>
                <c:ext xmlns:c16="http://schemas.microsoft.com/office/drawing/2014/chart" uri="{C3380CC4-5D6E-409C-BE32-E72D297353CC}">
                  <c16:uniqueId val="{0000000F-43B7-46B3-B2C4-5C18E23523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Chart!$AB$97</c:f>
              <c:numCache>
                <c:formatCode>_(* #,##0_);_(* \(#,##0\);_(* "-"??_);_(@_)</c:formatCode>
                <c:ptCount val="1"/>
                <c:pt idx="0">
                  <c:v>-1325.0521314714388</c:v>
                </c:pt>
              </c:numCache>
            </c:numRef>
          </c:val>
          <c:extLst>
            <c:ext xmlns:c15="http://schemas.microsoft.com/office/drawing/2012/chart" uri="{02D57815-91ED-43cb-92C2-25804820EDAC}">
              <c15:datalabelsRange>
                <c15:f>Chart!$AC$97</c15:f>
                <c15:dlblRangeCache>
                  <c:ptCount val="1"/>
                  <c:pt idx="0">
                    <c:v>-5%</c:v>
                  </c:pt>
                </c15:dlblRangeCache>
              </c15:datalabelsRange>
            </c:ext>
            <c:ext xmlns:c16="http://schemas.microsoft.com/office/drawing/2014/chart" uri="{C3380CC4-5D6E-409C-BE32-E72D297353CC}">
              <c16:uniqueId val="{0000000C-43B7-46B3-B2C4-5C18E235235D}"/>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WSS03G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Chart!$AA$134</c:f>
              <c:strCache>
                <c:ptCount val="1"/>
                <c:pt idx="0">
                  <c:v>Chi phí NVL</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B75910DE-B329-4000-9F6A-536E529404C7}" type="CELLRANGE">
                      <a:rPr lang="en-US" sz="1200" b="1" baseline="0"/>
                      <a:pPr>
                        <a:defRPr>
                          <a:solidFill>
                            <a:schemeClr val="bg1"/>
                          </a:solidFill>
                        </a:defRPr>
                      </a:pPr>
                      <a:t>[CELLRANGE]</a:t>
                    </a:fld>
                    <a:r>
                      <a:rPr lang="en-US" sz="1200" b="1" baseline="0"/>
                      <a:t>, </a:t>
                    </a:r>
                    <a:fld id="{8C3AC3BC-3AC1-41CE-9692-3B1D35580379}" type="SERIESNAME">
                      <a:rPr lang="en-US" sz="1200" b="1" baseline="0"/>
                      <a:pPr>
                        <a:defRPr>
                          <a:solidFill>
                            <a:schemeClr val="bg1"/>
                          </a:solidFill>
                        </a:defRPr>
                      </a:pPr>
                      <a:t>[SERIES NAME]</a:t>
                    </a:fld>
                    <a:r>
                      <a:rPr lang="en-US" sz="1200" b="1" baseline="0"/>
                      <a:t>, </a:t>
                    </a:r>
                    <a:fld id="{773485B8-4A50-4594-9FCC-6D9375572FD3}" type="VALUE">
                      <a:rPr lang="en-US" sz="1200" b="1" baseline="0"/>
                      <a:pPr>
                        <a:defRPr>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710598933757249"/>
                      <c:h val="3.754575156362696E-2"/>
                    </c:manualLayout>
                  </c15:layout>
                  <c15:dlblFieldTable/>
                  <c15:showDataLabelsRange val="1"/>
                </c:ext>
                <c:ext xmlns:c16="http://schemas.microsoft.com/office/drawing/2014/chart" uri="{C3380CC4-5D6E-409C-BE32-E72D297353CC}">
                  <c16:uniqueId val="{00000000-8727-42F1-97F4-2C0FFAB37B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Chart!$AB$134</c:f>
              <c:numCache>
                <c:formatCode>_(* #,##0_);_(* \(#,##0\);_(* "-"??_);_(@_)</c:formatCode>
                <c:ptCount val="1"/>
                <c:pt idx="0">
                  <c:v>14701.989038298821</c:v>
                </c:pt>
              </c:numCache>
            </c:numRef>
          </c:val>
          <c:extLst>
            <c:ext xmlns:c15="http://schemas.microsoft.com/office/drawing/2012/chart" uri="{02D57815-91ED-43cb-92C2-25804820EDAC}">
              <c15:datalabelsRange>
                <c15:f>Chart!$AC$134</c15:f>
                <c15:dlblRangeCache>
                  <c:ptCount val="1"/>
                  <c:pt idx="0">
                    <c:v>57%</c:v>
                  </c:pt>
                </c15:dlblRangeCache>
              </c15:datalabelsRange>
            </c:ext>
            <c:ext xmlns:c16="http://schemas.microsoft.com/office/drawing/2014/chart" uri="{C3380CC4-5D6E-409C-BE32-E72D297353CC}">
              <c16:uniqueId val="{00000001-8727-42F1-97F4-2C0FFAB37BC9}"/>
            </c:ext>
          </c:extLst>
        </c:ser>
        <c:ser>
          <c:idx val="1"/>
          <c:order val="1"/>
          <c:tx>
            <c:strRef>
              <c:f>Chart!$AA$135</c:f>
              <c:strCache>
                <c:ptCount val="1"/>
                <c:pt idx="0">
                  <c:v>Hao hụt về tiền</c:v>
                </c:pt>
              </c:strCache>
            </c:strRef>
          </c:tx>
          <c:spPr>
            <a:solidFill>
              <a:schemeClr val="accent2"/>
            </a:solidFill>
            <a:ln>
              <a:noFill/>
            </a:ln>
            <a:effectLst/>
          </c:spPr>
          <c:invertIfNegative val="0"/>
          <c:dLbls>
            <c:dLbl>
              <c:idx val="0"/>
              <c:tx>
                <c:rich>
                  <a:bodyPr/>
                  <a:lstStyle/>
                  <a:p>
                    <a:fld id="{71CE175A-F5EF-4B18-B39F-14FA053876E1}" type="CELLRANGE">
                      <a:rPr lang="en-US" baseline="0"/>
                      <a:pPr/>
                      <a:t>[CELLRANGE]</a:t>
                    </a:fld>
                    <a:r>
                      <a:rPr lang="en-US" baseline="0"/>
                      <a:t>, </a:t>
                    </a:r>
                    <a:fld id="{78443C3E-FCE8-4CAA-996C-7EA6E8C4324F}" type="SERIESNAME">
                      <a:rPr lang="en-US" baseline="0"/>
                      <a:pPr/>
                      <a:t>[SERIES NAME]</a:t>
                    </a:fld>
                    <a:r>
                      <a:rPr lang="en-US" baseline="0"/>
                      <a:t>, </a:t>
                    </a:r>
                    <a:fld id="{5328F35C-1B3D-470E-A70F-46FC1B98B30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0931270985950591"/>
                      <c:h val="4.2672617958296105E-2"/>
                    </c:manualLayout>
                  </c15:layout>
                  <c15:dlblFieldTable/>
                  <c15:showDataLabelsRange val="1"/>
                </c:ext>
                <c:ext xmlns:c16="http://schemas.microsoft.com/office/drawing/2014/chart" uri="{C3380CC4-5D6E-409C-BE32-E72D297353CC}">
                  <c16:uniqueId val="{00000002-8727-42F1-97F4-2C0FFAB37BC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Chart!$AB$135</c:f>
              <c:numCache>
                <c:formatCode>_(* #,##0_);_(* \(#,##0\);_(* "-"??_);_(@_)</c:formatCode>
                <c:ptCount val="1"/>
                <c:pt idx="0">
                  <c:v>2048.8647623994589</c:v>
                </c:pt>
              </c:numCache>
            </c:numRef>
          </c:val>
          <c:extLst>
            <c:ext xmlns:c15="http://schemas.microsoft.com/office/drawing/2012/chart" uri="{02D57815-91ED-43cb-92C2-25804820EDAC}">
              <c15:datalabelsRange>
                <c15:f>Chart!$AC$135</c15:f>
                <c15:dlblRangeCache>
                  <c:ptCount val="1"/>
                  <c:pt idx="0">
                    <c:v>8%</c:v>
                  </c:pt>
                </c15:dlblRangeCache>
              </c15:datalabelsRange>
            </c:ext>
            <c:ext xmlns:c16="http://schemas.microsoft.com/office/drawing/2014/chart" uri="{C3380CC4-5D6E-409C-BE32-E72D297353CC}">
              <c16:uniqueId val="{00000003-8727-42F1-97F4-2C0FFAB37BC9}"/>
            </c:ext>
          </c:extLst>
        </c:ser>
        <c:ser>
          <c:idx val="2"/>
          <c:order val="2"/>
          <c:tx>
            <c:strRef>
              <c:f>Chart!$AA$136</c:f>
              <c:strCache>
                <c:ptCount val="1"/>
                <c:pt idx="0">
                  <c:v>Chi phí sản xuất _Phân loại</c:v>
                </c:pt>
              </c:strCache>
            </c:strRef>
          </c:tx>
          <c:spPr>
            <a:solidFill>
              <a:schemeClr val="accent3"/>
            </a:solidFill>
            <a:ln>
              <a:noFill/>
            </a:ln>
            <a:effectLst/>
          </c:spPr>
          <c:invertIfNegative val="0"/>
          <c:dLbls>
            <c:dLbl>
              <c:idx val="0"/>
              <c:layout>
                <c:manualLayout>
                  <c:x val="-5.2520878082913513E-3"/>
                  <c:y val="0"/>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fld id="{CE0AC2D9-E6D6-4FC6-A749-F5920EFE4166}" type="CELLRANGE">
                      <a:rPr lang="en-US" baseline="0"/>
                      <a:pPr>
                        <a:defRPr sz="1100" b="1">
                          <a:solidFill>
                            <a:schemeClr val="bg1"/>
                          </a:solidFill>
                        </a:defRPr>
                      </a:pPr>
                      <a:t>[CELLRANGE]</a:t>
                    </a:fld>
                    <a:r>
                      <a:rPr lang="en-US" baseline="0"/>
                      <a:t>, </a:t>
                    </a:r>
                    <a:fld id="{32BB2425-6E56-4FDF-B7F8-2AF9049F5CE3}" type="SERIESNAME">
                      <a:rPr lang="en-US" baseline="0"/>
                      <a:pPr>
                        <a:defRPr sz="1100" b="1">
                          <a:solidFill>
                            <a:schemeClr val="bg1"/>
                          </a:solidFill>
                        </a:defRPr>
                      </a:pPr>
                      <a:t>[SERIES NAME]</a:t>
                    </a:fld>
                    <a:r>
                      <a:rPr lang="en-US" baseline="0"/>
                      <a:t>, </a:t>
                    </a:r>
                    <a:fld id="{607F03F2-5843-49D7-9D5D-A6CDC9C26C9E}" type="VALUE">
                      <a:rPr lang="en-US" baseline="0"/>
                      <a:pPr>
                        <a:defRPr sz="1100" b="1">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678037092146438"/>
                      <c:h val="8.192732498681278E-2"/>
                    </c:manualLayout>
                  </c15:layout>
                  <c15:dlblFieldTable/>
                  <c15:showDataLabelsRange val="1"/>
                </c:ext>
                <c:ext xmlns:c16="http://schemas.microsoft.com/office/drawing/2014/chart" uri="{C3380CC4-5D6E-409C-BE32-E72D297353CC}">
                  <c16:uniqueId val="{00000004-8727-42F1-97F4-2C0FFAB37BC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Chart!$AB$136</c:f>
              <c:numCache>
                <c:formatCode>_(* #,##0_);_(* \(#,##0\);_(* "-"??_);_(@_)</c:formatCode>
                <c:ptCount val="1"/>
                <c:pt idx="0">
                  <c:v>3737.7938232963093</c:v>
                </c:pt>
              </c:numCache>
            </c:numRef>
          </c:val>
          <c:extLst>
            <c:ext xmlns:c15="http://schemas.microsoft.com/office/drawing/2012/chart" uri="{02D57815-91ED-43cb-92C2-25804820EDAC}">
              <c15:datalabelsRange>
                <c15:f>Chart!$Q$136</c15:f>
                <c15:dlblRangeCache>
                  <c:ptCount val="1"/>
                  <c:pt idx="0">
                    <c:v>16%</c:v>
                  </c:pt>
                </c15:dlblRangeCache>
              </c15:datalabelsRange>
            </c:ext>
            <c:ext xmlns:c16="http://schemas.microsoft.com/office/drawing/2014/chart" uri="{C3380CC4-5D6E-409C-BE32-E72D297353CC}">
              <c16:uniqueId val="{00000005-8727-42F1-97F4-2C0FFAB37BC9}"/>
            </c:ext>
          </c:extLst>
        </c:ser>
        <c:ser>
          <c:idx val="3"/>
          <c:order val="3"/>
          <c:tx>
            <c:strRef>
              <c:f>Chart!$AA$137</c:f>
              <c:strCache>
                <c:ptCount val="1"/>
                <c:pt idx="0">
                  <c:v>Chi phí sản xuất _Băm</c:v>
                </c:pt>
              </c:strCache>
            </c:strRef>
          </c:tx>
          <c:spPr>
            <a:solidFill>
              <a:schemeClr val="accent4"/>
            </a:solidFill>
            <a:ln>
              <a:noFill/>
            </a:ln>
            <a:effectLst/>
          </c:spPr>
          <c:invertIfNegative val="0"/>
          <c:dLbls>
            <c:dLbl>
              <c:idx val="0"/>
              <c:layout>
                <c:manualLayout>
                  <c:x val="2.9676363867951758E-3"/>
                  <c:y val="3.4179109297794237E-3"/>
                </c:manualLayout>
              </c:layout>
              <c:showLegendKey val="0"/>
              <c:showVal val="1"/>
              <c:showCatName val="0"/>
              <c:showSerName val="1"/>
              <c:showPercent val="0"/>
              <c:showBubbleSize val="0"/>
              <c:extLst>
                <c:ext xmlns:c15="http://schemas.microsoft.com/office/drawing/2012/chart" uri="{CE6537A1-D6FC-4f65-9D91-7224C49458BB}">
                  <c15:layout>
                    <c:manualLayout>
                      <c:w val="0.59336406287176446"/>
                      <c:h val="6.1445561021820805E-2"/>
                    </c:manualLayout>
                  </c15:layout>
                </c:ext>
                <c:ext xmlns:c16="http://schemas.microsoft.com/office/drawing/2014/chart" uri="{C3380CC4-5D6E-409C-BE32-E72D297353CC}">
                  <c16:uniqueId val="{00000006-8727-42F1-97F4-2C0FFAB37B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Chart!$AB$137</c:f>
              <c:numCache>
                <c:formatCode>_(* #,##0_);_(* \(#,##0\);_(* "-"??_);_(@_)</c:formatCode>
                <c:ptCount val="1"/>
                <c:pt idx="0">
                  <c:v>1939.9068750612323</c:v>
                </c:pt>
              </c:numCache>
            </c:numRef>
          </c:val>
          <c:extLst>
            <c:ext xmlns:c16="http://schemas.microsoft.com/office/drawing/2014/chart" uri="{C3380CC4-5D6E-409C-BE32-E72D297353CC}">
              <c16:uniqueId val="{00000007-8727-42F1-97F4-2C0FFAB37BC9}"/>
            </c:ext>
          </c:extLst>
        </c:ser>
        <c:ser>
          <c:idx val="4"/>
          <c:order val="4"/>
          <c:tx>
            <c:strRef>
              <c:f>Chart!$AA$138</c:f>
              <c:strCache>
                <c:ptCount val="1"/>
                <c:pt idx="0">
                  <c:v>Chi phí sản xuất _Rữa</c:v>
                </c:pt>
              </c:strCache>
            </c:strRef>
          </c:tx>
          <c:spPr>
            <a:solidFill>
              <a:schemeClr val="accent5"/>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15:layout>
                    <c:manualLayout>
                      <c:w val="0.46487979887122838"/>
                      <c:h val="6.1445561021820805E-2"/>
                    </c:manualLayout>
                  </c15:layout>
                </c:ext>
                <c:ext xmlns:c16="http://schemas.microsoft.com/office/drawing/2014/chart" uri="{C3380CC4-5D6E-409C-BE32-E72D297353CC}">
                  <c16:uniqueId val="{00000008-8727-42F1-97F4-2C0FFAB37B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Chart!$AB$138</c:f>
              <c:numCache>
                <c:formatCode>_(* #,##0_);_(* \(#,##0\);_(* "-"??_);_(@_)</c:formatCode>
                <c:ptCount val="1"/>
                <c:pt idx="0">
                  <c:v>1228.8998295328229</c:v>
                </c:pt>
              </c:numCache>
            </c:numRef>
          </c:val>
          <c:extLst>
            <c:ext xmlns:c16="http://schemas.microsoft.com/office/drawing/2014/chart" uri="{C3380CC4-5D6E-409C-BE32-E72D297353CC}">
              <c16:uniqueId val="{00000009-8727-42F1-97F4-2C0FFAB37BC9}"/>
            </c:ext>
          </c:extLst>
        </c:ser>
        <c:ser>
          <c:idx val="5"/>
          <c:order val="5"/>
          <c:tx>
            <c:strRef>
              <c:f>Chart!$AA$139</c:f>
              <c:strCache>
                <c:ptCount val="1"/>
                <c:pt idx="0">
                  <c:v>Chi phí sản xuất _Tạo hạt</c:v>
                </c:pt>
              </c:strCache>
            </c:strRef>
          </c:tx>
          <c:spPr>
            <a:solidFill>
              <a:schemeClr val="accent6"/>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15:layout>
                    <c:manualLayout>
                      <c:w val="0.53644824873887842"/>
                      <c:h val="6.1445561021820805E-2"/>
                    </c:manualLayout>
                  </c15:layout>
                </c:ext>
                <c:ext xmlns:c16="http://schemas.microsoft.com/office/drawing/2014/chart" uri="{C3380CC4-5D6E-409C-BE32-E72D297353CC}">
                  <c16:uniqueId val="{0000000B-8727-42F1-97F4-2C0FFAB37B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Chart!$AB$139</c:f>
              <c:numCache>
                <c:formatCode>_(* #,##0_);_(* \(#,##0\);_(* "-"??_);_(@_)</c:formatCode>
                <c:ptCount val="1"/>
                <c:pt idx="0">
                  <c:v>2000.939404729972</c:v>
                </c:pt>
              </c:numCache>
            </c:numRef>
          </c:val>
          <c:extLst>
            <c:ext xmlns:c16="http://schemas.microsoft.com/office/drawing/2014/chart" uri="{C3380CC4-5D6E-409C-BE32-E72D297353CC}">
              <c16:uniqueId val="{0000000A-8727-42F1-97F4-2C0FFAB37BC9}"/>
            </c:ext>
          </c:extLst>
        </c:ser>
        <c:ser>
          <c:idx val="6"/>
          <c:order val="6"/>
          <c:tx>
            <c:strRef>
              <c:f>Chart!$AA$140</c:f>
              <c:strCache>
                <c:ptCount val="1"/>
                <c:pt idx="0">
                  <c:v>Chi phí sản xuất _Nâng IV</c:v>
                </c:pt>
              </c:strCache>
            </c:strRef>
          </c:tx>
          <c:spPr>
            <a:solidFill>
              <a:schemeClr val="accent1">
                <a:lumMod val="60000"/>
              </a:schemeClr>
            </a:solidFill>
            <a:ln>
              <a:noFill/>
            </a:ln>
            <a:effectLst/>
          </c:spPr>
          <c:invertIfNegative val="0"/>
          <c:dLbls>
            <c:dLbl>
              <c:idx val="0"/>
              <c:showLegendKey val="0"/>
              <c:showVal val="1"/>
              <c:showCatName val="0"/>
              <c:showSerName val="1"/>
              <c:showPercent val="0"/>
              <c:showBubbleSize val="0"/>
              <c:extLst>
                <c:ext xmlns:c15="http://schemas.microsoft.com/office/drawing/2012/chart" uri="{CE6537A1-D6FC-4f65-9D91-7224C49458BB}">
                  <c15:layout>
                    <c:manualLayout>
                      <c:w val="0.5199566930208438"/>
                      <c:h val="6.1445561021820805E-2"/>
                    </c:manualLayout>
                  </c15:layout>
                </c:ext>
                <c:ext xmlns:c16="http://schemas.microsoft.com/office/drawing/2014/chart" uri="{C3380CC4-5D6E-409C-BE32-E72D297353CC}">
                  <c16:uniqueId val="{0000000E-8727-42F1-97F4-2C0FFAB37B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Chart!$AB$140</c:f>
              <c:numCache>
                <c:formatCode>_(* #,##0_);_(* \(#,##0\);_(* "-"??_);_(@_)</c:formatCode>
                <c:ptCount val="1"/>
                <c:pt idx="0">
                  <c:v>1376.0623421472308</c:v>
                </c:pt>
              </c:numCache>
            </c:numRef>
          </c:val>
          <c:extLst>
            <c:ext xmlns:c16="http://schemas.microsoft.com/office/drawing/2014/chart" uri="{C3380CC4-5D6E-409C-BE32-E72D297353CC}">
              <c16:uniqueId val="{0000000C-8727-42F1-97F4-2C0FFAB37BC9}"/>
            </c:ext>
          </c:extLst>
        </c:ser>
        <c:ser>
          <c:idx val="7"/>
          <c:order val="7"/>
          <c:tx>
            <c:strRef>
              <c:f>Chart!$AA$141</c:f>
              <c:strCache>
                <c:ptCount val="1"/>
                <c:pt idx="0">
                  <c:v>Phó sản thu hồi</c:v>
                </c:pt>
              </c:strCache>
            </c:strRef>
          </c:tx>
          <c:spPr>
            <a:solidFill>
              <a:schemeClr val="accent2">
                <a:lumMod val="60000"/>
              </a:schemeClr>
            </a:solidFill>
            <a:ln>
              <a:noFill/>
            </a:ln>
            <a:effectLst/>
          </c:spPr>
          <c:invertIfNegative val="0"/>
          <c:dLbls>
            <c:dLbl>
              <c:idx val="0"/>
              <c:tx>
                <c:rich>
                  <a:bodyPr/>
                  <a:lstStyle/>
                  <a:p>
                    <a:fld id="{C81A2ABE-14CD-4C3D-B0D7-E990306E1C99}" type="CELLRANGE">
                      <a:rPr lang="en-US" baseline="0"/>
                      <a:pPr/>
                      <a:t>[CELLRANGE]</a:t>
                    </a:fld>
                    <a:r>
                      <a:rPr lang="en-US" baseline="0"/>
                      <a:t>, </a:t>
                    </a:r>
                    <a:fld id="{541F22B5-57BF-4FC4-9A05-CC32978FB8F5}" type="SERIESNAME">
                      <a:rPr lang="en-US" baseline="0"/>
                      <a:pPr/>
                      <a:t>[SERIES NAME]</a:t>
                    </a:fld>
                    <a:r>
                      <a:rPr lang="en-US" baseline="0"/>
                      <a:t>, </a:t>
                    </a:r>
                    <a:fld id="{F63F86A6-48A3-445E-BAB3-0A95DF5F6AD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3650087989702041"/>
                      <c:h val="6.1445561021820805E-2"/>
                    </c:manualLayout>
                  </c15:layout>
                  <c15:dlblFieldTable/>
                  <c15:showDataLabelsRange val="1"/>
                </c:ext>
                <c:ext xmlns:c16="http://schemas.microsoft.com/office/drawing/2014/chart" uri="{C3380CC4-5D6E-409C-BE32-E72D297353CC}">
                  <c16:uniqueId val="{0000000F-8727-42F1-97F4-2C0FFAB37B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Chart!$AB$141</c:f>
              <c:numCache>
                <c:formatCode>_(* #,##0_);_(* \(#,##0\);_(* "-"??_);_(@_)</c:formatCode>
                <c:ptCount val="1"/>
                <c:pt idx="0">
                  <c:v>-1299.106248253353</c:v>
                </c:pt>
              </c:numCache>
            </c:numRef>
          </c:val>
          <c:extLst>
            <c:ext xmlns:c15="http://schemas.microsoft.com/office/drawing/2012/chart" uri="{02D57815-91ED-43cb-92C2-25804820EDAC}">
              <c15:datalabelsRange>
                <c15:f>Chart!$AC$141</c15:f>
                <c15:dlblRangeCache>
                  <c:ptCount val="1"/>
                  <c:pt idx="0">
                    <c:v>-5%</c:v>
                  </c:pt>
                </c15:dlblRangeCache>
              </c15:datalabelsRange>
            </c:ext>
            <c:ext xmlns:c16="http://schemas.microsoft.com/office/drawing/2014/chart" uri="{C3380CC4-5D6E-409C-BE32-E72D297353CC}">
              <c16:uniqueId val="{0000000D-8727-42F1-97F4-2C0FFAB37BC9}"/>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r>
              <a:rPr lang="en-US">
                <a:solidFill>
                  <a:srgbClr val="0000FF"/>
                </a:solidFill>
              </a:rPr>
              <a:t>Hạt rPET iSS1084G</a:t>
            </a:r>
          </a:p>
        </c:rich>
      </c:tx>
      <c:layout>
        <c:manualLayout>
          <c:xMode val="edge"/>
          <c:yMode val="edge"/>
          <c:x val="0.32773068125496696"/>
          <c:y val="1.3892094523123774E-2"/>
        </c:manualLayout>
      </c:layout>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Chart!$AO$7</c:f>
              <c:strCache>
                <c:ptCount val="1"/>
                <c:pt idx="0">
                  <c:v>Chi phí NVL</c:v>
                </c:pt>
              </c:strCache>
            </c:strRef>
          </c:tx>
          <c:spPr>
            <a:solidFill>
              <a:schemeClr val="accent1"/>
            </a:solidFill>
            <a:ln>
              <a:noFill/>
            </a:ln>
            <a:effectLst/>
          </c:spPr>
          <c:invertIfNegative val="0"/>
          <c:dLbls>
            <c:dLbl>
              <c:idx val="0"/>
              <c:tx>
                <c:rich>
                  <a:bodyPr/>
                  <a:lstStyle/>
                  <a:p>
                    <a:fld id="{876E1FF8-C4AE-4891-A933-85D3BD604189}" type="CELLRANGE">
                      <a:rPr lang="en-US" baseline="0">
                        <a:solidFill>
                          <a:schemeClr val="bg1"/>
                        </a:solidFill>
                      </a:rPr>
                      <a:pPr/>
                      <a:t>[CELLRANGE]</a:t>
                    </a:fld>
                    <a:r>
                      <a:rPr lang="en-US" baseline="0">
                        <a:solidFill>
                          <a:schemeClr val="bg1"/>
                        </a:solidFill>
                      </a:rPr>
                      <a:t>, </a:t>
                    </a:r>
                    <a:fld id="{9D6166B3-0C58-4CCA-971F-6FA90B96A599}" type="SERIESNAME">
                      <a:rPr lang="en-US" baseline="0">
                        <a:solidFill>
                          <a:schemeClr val="bg1"/>
                        </a:solidFill>
                      </a:rPr>
                      <a:pPr/>
                      <a:t>[SERIES NAME]</a:t>
                    </a:fld>
                    <a:r>
                      <a:rPr lang="en-US" baseline="0">
                        <a:solidFill>
                          <a:schemeClr val="bg1"/>
                        </a:solidFill>
                      </a:rPr>
                      <a:t>, </a:t>
                    </a:r>
                    <a:fld id="{0C1E2E0F-C7D6-48E8-BE95-EBFDE5FE37BD}" type="VALUE">
                      <a:rPr lang="en-US" baseline="0">
                        <a:solidFill>
                          <a:schemeClr val="bg1"/>
                        </a:solidFill>
                      </a:rPr>
                      <a:pPr/>
                      <a:t>[VALUE]</a:t>
                    </a:fld>
                    <a:endParaRPr lang="en-US" baseline="0">
                      <a:solidFill>
                        <a:schemeClr val="bg1"/>
                      </a:solidFill>
                    </a:endParaRPr>
                  </a:p>
                </c:rich>
              </c:tx>
              <c:showLegendKey val="0"/>
              <c:showVal val="1"/>
              <c:showCatName val="0"/>
              <c:showSerName val="1"/>
              <c:showPercent val="0"/>
              <c:showBubbleSize val="0"/>
              <c:extLst>
                <c:ext xmlns:c15="http://schemas.microsoft.com/office/drawing/2012/chart" uri="{CE6537A1-D6FC-4f65-9D91-7224C49458BB}">
                  <c15:layout>
                    <c:manualLayout>
                      <c:w val="0.5137009968384747"/>
                      <c:h val="4.3360700030300077E-2"/>
                    </c:manualLayout>
                  </c15:layout>
                  <c15:dlblFieldTable/>
                  <c15:showDataLabelsRange val="1"/>
                </c:ext>
                <c:ext xmlns:c16="http://schemas.microsoft.com/office/drawing/2014/chart" uri="{C3380CC4-5D6E-409C-BE32-E72D297353CC}">
                  <c16:uniqueId val="{00000000-B679-4696-AABB-E8DFF5FCC11C}"/>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Chart!$AP$7</c:f>
              <c:numCache>
                <c:formatCode>_(* #,##0_);_(* \(#,##0\);_(* "-"??_);_(@_)</c:formatCode>
                <c:ptCount val="1"/>
                <c:pt idx="0">
                  <c:v>597.18341139173708</c:v>
                </c:pt>
              </c:numCache>
            </c:numRef>
          </c:val>
          <c:extLst>
            <c:ext xmlns:c15="http://schemas.microsoft.com/office/drawing/2012/chart" uri="{02D57815-91ED-43cb-92C2-25804820EDAC}">
              <c15:datalabelsRange>
                <c15:f>Chart!$AQ$7</c15:f>
                <c15:dlblRangeCache>
                  <c:ptCount val="1"/>
                  <c:pt idx="0">
                    <c:v>56%</c:v>
                  </c:pt>
                </c15:dlblRangeCache>
              </c15:datalabelsRange>
            </c:ext>
            <c:ext xmlns:c16="http://schemas.microsoft.com/office/drawing/2014/chart" uri="{C3380CC4-5D6E-409C-BE32-E72D297353CC}">
              <c16:uniqueId val="{00000001-B679-4696-AABB-E8DFF5FCC11C}"/>
            </c:ext>
          </c:extLst>
        </c:ser>
        <c:ser>
          <c:idx val="1"/>
          <c:order val="1"/>
          <c:tx>
            <c:strRef>
              <c:f>Chart!$AO$8</c:f>
              <c:strCache>
                <c:ptCount val="1"/>
                <c:pt idx="0">
                  <c:v>Hao hụt về tiền</c:v>
                </c:pt>
              </c:strCache>
            </c:strRef>
          </c:tx>
          <c:spPr>
            <a:solidFill>
              <a:schemeClr val="accent2"/>
            </a:solidFill>
            <a:ln>
              <a:noFill/>
            </a:ln>
            <a:effectLst/>
          </c:spPr>
          <c:invertIfNegative val="0"/>
          <c:dLbls>
            <c:dLbl>
              <c:idx val="0"/>
              <c:tx>
                <c:rich>
                  <a:bodyPr/>
                  <a:lstStyle/>
                  <a:p>
                    <a:fld id="{2EF30421-2B18-40F1-8012-78B2AEB29BD5}" type="CELLRANGE">
                      <a:rPr lang="en-US" baseline="0"/>
                      <a:pPr/>
                      <a:t>[CELLRANGE]</a:t>
                    </a:fld>
                    <a:r>
                      <a:rPr lang="en-US" baseline="0"/>
                      <a:t>, </a:t>
                    </a:r>
                    <a:fld id="{83BEF0DE-F9AE-4703-83D9-1E09A9717118}" type="SERIESNAME">
                      <a:rPr lang="en-US" baseline="0"/>
                      <a:pPr/>
                      <a:t>[SERIES NAME]</a:t>
                    </a:fld>
                    <a:r>
                      <a:rPr lang="en-US" baseline="0"/>
                      <a:t>, </a:t>
                    </a:r>
                    <a:fld id="{F1D4B91A-EDA2-4078-9FF5-B442D6A6A99D}"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352552544792857"/>
                      <c:h val="4.3360700030300077E-2"/>
                    </c:manualLayout>
                  </c15:layout>
                  <c15:dlblFieldTable/>
                  <c15:showDataLabelsRange val="1"/>
                </c:ext>
                <c:ext xmlns:c16="http://schemas.microsoft.com/office/drawing/2014/chart" uri="{C3380CC4-5D6E-409C-BE32-E72D297353CC}">
                  <c16:uniqueId val="{00000002-B679-4696-AABB-E8DFF5FCC11C}"/>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Chart!$AP$8</c:f>
              <c:numCache>
                <c:formatCode>_(* #,##0_);_(* \(#,##0\);_(* "-"??_);_(@_)</c:formatCode>
                <c:ptCount val="1"/>
                <c:pt idx="0">
                  <c:v>83.223300269281609</c:v>
                </c:pt>
              </c:numCache>
            </c:numRef>
          </c:val>
          <c:extLst>
            <c:ext xmlns:c15="http://schemas.microsoft.com/office/drawing/2012/chart" uri="{02D57815-91ED-43cb-92C2-25804820EDAC}">
              <c15:datalabelsRange>
                <c15:f>Chart!$AQ$8</c15:f>
                <c15:dlblRangeCache>
                  <c:ptCount val="1"/>
                  <c:pt idx="0">
                    <c:v>8%</c:v>
                  </c:pt>
                </c15:dlblRangeCache>
              </c15:datalabelsRange>
            </c:ext>
            <c:ext xmlns:c16="http://schemas.microsoft.com/office/drawing/2014/chart" uri="{C3380CC4-5D6E-409C-BE32-E72D297353CC}">
              <c16:uniqueId val="{00000003-B679-4696-AABB-E8DFF5FCC11C}"/>
            </c:ext>
          </c:extLst>
        </c:ser>
        <c:ser>
          <c:idx val="2"/>
          <c:order val="2"/>
          <c:tx>
            <c:strRef>
              <c:f>Chart!$AO$9</c:f>
              <c:strCache>
                <c:ptCount val="1"/>
                <c:pt idx="0">
                  <c:v>Chi phí sản xuất _Phân loại</c:v>
                </c:pt>
              </c:strCache>
            </c:strRef>
          </c:tx>
          <c:spPr>
            <a:solidFill>
              <a:schemeClr val="accent3"/>
            </a:solidFill>
            <a:ln>
              <a:noFill/>
            </a:ln>
            <a:effectLst/>
          </c:spPr>
          <c:invertIfNegative val="0"/>
          <c:dLbls>
            <c:dLbl>
              <c:idx val="0"/>
              <c:tx>
                <c:rich>
                  <a:bodyPr/>
                  <a:lstStyle/>
                  <a:p>
                    <a:fld id="{7D74F031-2272-4B67-99FD-2B21D291800C}" type="CELLRANGE">
                      <a:rPr lang="en-US" baseline="0"/>
                      <a:pPr/>
                      <a:t>[CELLRANGE]</a:t>
                    </a:fld>
                    <a:r>
                      <a:rPr lang="en-US" baseline="0"/>
                      <a:t>, </a:t>
                    </a:r>
                    <a:fld id="{FD530711-3228-4860-806E-6F471049151C}" type="SERIESNAME">
                      <a:rPr lang="en-US" baseline="0"/>
                      <a:pPr/>
                      <a:t>[SERIES NAME]</a:t>
                    </a:fld>
                    <a:r>
                      <a:rPr lang="en-US" baseline="0"/>
                      <a:t>, </a:t>
                    </a:r>
                    <a:fld id="{FEE31422-54D8-4D4A-9CE4-490F61D8F7E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6032803883444968"/>
                      <c:h val="8.1511864614428747E-2"/>
                    </c:manualLayout>
                  </c15:layout>
                  <c15:dlblFieldTable/>
                  <c15:showDataLabelsRange val="1"/>
                </c:ext>
                <c:ext xmlns:c16="http://schemas.microsoft.com/office/drawing/2014/chart" uri="{C3380CC4-5D6E-409C-BE32-E72D297353CC}">
                  <c16:uniqueId val="{00000004-B679-4696-AABB-E8DFF5FCC11C}"/>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c:f>
              <c:numCache>
                <c:formatCode>_(* #,##0_);_(* \(#,##0\);_(* "-"??_);_(@_)</c:formatCode>
                <c:ptCount val="1"/>
                <c:pt idx="0">
                  <c:v>151.82629103179752</c:v>
                </c:pt>
              </c:numCache>
            </c:numRef>
          </c:val>
          <c:extLst>
            <c:ext xmlns:c15="http://schemas.microsoft.com/office/drawing/2012/chart" uri="{02D57815-91ED-43cb-92C2-25804820EDAC}">
              <c15:datalabelsRange>
                <c15:f>Chart!$AQ$9</c15:f>
                <c15:dlblRangeCache>
                  <c:ptCount val="1"/>
                  <c:pt idx="0">
                    <c:v>14%</c:v>
                  </c:pt>
                </c15:dlblRangeCache>
              </c15:datalabelsRange>
            </c:ext>
            <c:ext xmlns:c16="http://schemas.microsoft.com/office/drawing/2014/chart" uri="{C3380CC4-5D6E-409C-BE32-E72D297353CC}">
              <c16:uniqueId val="{00000005-B679-4696-AABB-E8DFF5FCC11C}"/>
            </c:ext>
          </c:extLst>
        </c:ser>
        <c:ser>
          <c:idx val="3"/>
          <c:order val="3"/>
          <c:tx>
            <c:strRef>
              <c:f>Chart!$AO$10</c:f>
              <c:strCache>
                <c:ptCount val="1"/>
                <c:pt idx="0">
                  <c:v>Chi phí sản xuất _Băm</c:v>
                </c:pt>
              </c:strCache>
            </c:strRef>
          </c:tx>
          <c:spPr>
            <a:solidFill>
              <a:schemeClr val="accent4"/>
            </a:solidFill>
            <a:ln>
              <a:noFill/>
            </a:ln>
            <a:effectLst/>
          </c:spPr>
          <c:invertIfNegative val="0"/>
          <c:dLbls>
            <c:dLbl>
              <c:idx val="0"/>
              <c:tx>
                <c:rich>
                  <a:bodyPr/>
                  <a:lstStyle/>
                  <a:p>
                    <a:fld id="{30DA49C4-6F11-4ECF-8D98-CD16D96317F3}" type="CELLRANGE">
                      <a:rPr lang="en-US" baseline="0"/>
                      <a:pPr/>
                      <a:t>[CELLRANGE]</a:t>
                    </a:fld>
                    <a:r>
                      <a:rPr lang="en-US" baseline="0"/>
                      <a:t>, </a:t>
                    </a:r>
                    <a:fld id="{455C9DA9-E784-4503-B6B9-94EB5EF0456C}" type="SERIESNAME">
                      <a:rPr lang="en-US" baseline="0"/>
                      <a:pPr/>
                      <a:t>[SERIES NAME]</a:t>
                    </a:fld>
                    <a:r>
                      <a:rPr lang="en-US" baseline="0"/>
                      <a:t>, </a:t>
                    </a:r>
                    <a:fld id="{B1D02D97-44FC-45CA-92AF-6737A9661FAE}"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3807201108581801"/>
                      <c:h val="6.2436350688971319E-2"/>
                    </c:manualLayout>
                  </c15:layout>
                  <c15:dlblFieldTable/>
                  <c15:showDataLabelsRange val="1"/>
                </c:ext>
                <c:ext xmlns:c16="http://schemas.microsoft.com/office/drawing/2014/chart" uri="{C3380CC4-5D6E-409C-BE32-E72D297353CC}">
                  <c16:uniqueId val="{00000006-B679-4696-AABB-E8DFF5FCC11C}"/>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Chart!$AP$10</c:f>
              <c:numCache>
                <c:formatCode>_(* #,##0_);_(* \(#,##0\);_(* "-"??_);_(@_)</c:formatCode>
                <c:ptCount val="1"/>
                <c:pt idx="0">
                  <c:v>78.797515248685002</c:v>
                </c:pt>
              </c:numCache>
            </c:numRef>
          </c:val>
          <c:extLst>
            <c:ext xmlns:c15="http://schemas.microsoft.com/office/drawing/2012/chart" uri="{02D57815-91ED-43cb-92C2-25804820EDAC}">
              <c15:datalabelsRange>
                <c15:f>Chart!$AQ$10</c15:f>
                <c15:dlblRangeCache>
                  <c:ptCount val="1"/>
                  <c:pt idx="0">
                    <c:v>7%</c:v>
                  </c:pt>
                </c15:dlblRangeCache>
              </c15:datalabelsRange>
            </c:ext>
            <c:ext xmlns:c16="http://schemas.microsoft.com/office/drawing/2014/chart" uri="{C3380CC4-5D6E-409C-BE32-E72D297353CC}">
              <c16:uniqueId val="{00000007-B679-4696-AABB-E8DFF5FCC11C}"/>
            </c:ext>
          </c:extLst>
        </c:ser>
        <c:ser>
          <c:idx val="4"/>
          <c:order val="4"/>
          <c:tx>
            <c:strRef>
              <c:f>Chart!$AO$11</c:f>
              <c:strCache>
                <c:ptCount val="1"/>
                <c:pt idx="0">
                  <c:v>Chi phí sản xuất _Rữa</c:v>
                </c:pt>
              </c:strCache>
            </c:strRef>
          </c:tx>
          <c:spPr>
            <a:solidFill>
              <a:schemeClr val="accent5"/>
            </a:solidFill>
            <a:ln>
              <a:noFill/>
            </a:ln>
            <a:effectLst/>
          </c:spPr>
          <c:invertIfNegative val="0"/>
          <c:dLbls>
            <c:dLbl>
              <c:idx val="0"/>
              <c:tx>
                <c:rich>
                  <a:bodyPr/>
                  <a:lstStyle/>
                  <a:p>
                    <a:fld id="{B827F8AB-9E96-4D39-B3C5-6CF12A5ABE2C}" type="CELLRANGE">
                      <a:rPr lang="en-US" baseline="0"/>
                      <a:pPr/>
                      <a:t>[CELLRANGE]</a:t>
                    </a:fld>
                    <a:r>
                      <a:rPr lang="en-US" baseline="0"/>
                      <a:t>, </a:t>
                    </a:r>
                    <a:fld id="{6969D541-B8FA-4573-90D2-3762B7F4B819}" type="SERIESNAME">
                      <a:rPr lang="en-US" baseline="0"/>
                      <a:pPr/>
                      <a:t>[SERIES NAME]</a:t>
                    </a:fld>
                    <a:r>
                      <a:rPr lang="en-US" baseline="0"/>
                      <a:t>, </a:t>
                    </a:r>
                    <a:fld id="{BAABBD5E-CAED-4A91-A5E8-954B00C62F2D}"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9079924932672231"/>
                      <c:h val="6.2436350688971319E-2"/>
                    </c:manualLayout>
                  </c15:layout>
                  <c15:dlblFieldTable/>
                  <c15:showDataLabelsRange val="1"/>
                </c:ext>
                <c:ext xmlns:c16="http://schemas.microsoft.com/office/drawing/2014/chart" uri="{C3380CC4-5D6E-409C-BE32-E72D297353CC}">
                  <c16:uniqueId val="{00000008-B679-4696-AABB-E8DFF5FCC11C}"/>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Chart!$AP$11</c:f>
              <c:numCache>
                <c:formatCode>_(* #,##0_);_(* \(#,##0\);_(* "-"??_);_(@_)</c:formatCode>
                <c:ptCount val="1"/>
                <c:pt idx="0">
                  <c:v>49.916959572434358</c:v>
                </c:pt>
              </c:numCache>
            </c:numRef>
          </c:val>
          <c:extLst>
            <c:ext xmlns:c15="http://schemas.microsoft.com/office/drawing/2012/chart" uri="{02D57815-91ED-43cb-92C2-25804820EDAC}">
              <c15:datalabelsRange>
                <c15:f>Chart!$AQ$11</c15:f>
                <c15:dlblRangeCache>
                  <c:ptCount val="1"/>
                  <c:pt idx="0">
                    <c:v>5%</c:v>
                  </c:pt>
                </c15:dlblRangeCache>
              </c15:datalabelsRange>
            </c:ext>
            <c:ext xmlns:c16="http://schemas.microsoft.com/office/drawing/2014/chart" uri="{C3380CC4-5D6E-409C-BE32-E72D297353CC}">
              <c16:uniqueId val="{00000009-B679-4696-AABB-E8DFF5FCC11C}"/>
            </c:ext>
          </c:extLst>
        </c:ser>
        <c:ser>
          <c:idx val="5"/>
          <c:order val="5"/>
          <c:tx>
            <c:strRef>
              <c:f>Chart!$AO$12</c:f>
              <c:strCache>
                <c:ptCount val="1"/>
                <c:pt idx="0">
                  <c:v>Chi phí sản xuất _Tạo hạt</c:v>
                </c:pt>
              </c:strCache>
            </c:strRef>
          </c:tx>
          <c:spPr>
            <a:solidFill>
              <a:schemeClr val="accent6"/>
            </a:solidFill>
            <a:ln>
              <a:noFill/>
            </a:ln>
            <a:effectLst/>
          </c:spPr>
          <c:invertIfNegative val="0"/>
          <c:dLbls>
            <c:dLbl>
              <c:idx val="0"/>
              <c:tx>
                <c:rich>
                  <a:bodyPr/>
                  <a:lstStyle/>
                  <a:p>
                    <a:fld id="{30243FAB-7F53-4D0D-81F5-4C7A7A950108}" type="CELLRANGE">
                      <a:rPr lang="en-US" baseline="0"/>
                      <a:pPr/>
                      <a:t>[CELLRANGE]</a:t>
                    </a:fld>
                    <a:r>
                      <a:rPr lang="en-US" baseline="0"/>
                      <a:t>, </a:t>
                    </a:r>
                    <a:fld id="{8BC24AE3-A28E-410B-B9AE-8F2E63A2EDA1}" type="SERIESNAME">
                      <a:rPr lang="en-US" baseline="0"/>
                      <a:pPr/>
                      <a:t>[SERIES NAME]</a:t>
                    </a:fld>
                    <a:r>
                      <a:rPr lang="en-US" baseline="0"/>
                      <a:t>, </a:t>
                    </a:r>
                    <a:fld id="{6A3973D7-46E7-4DCB-BE7F-C2CDF00FABF4}"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3131356003255814"/>
                      <c:h val="6.2436350688971319E-2"/>
                    </c:manualLayout>
                  </c15:layout>
                  <c15:dlblFieldTable/>
                  <c15:showDataLabelsRange val="1"/>
                </c:ext>
                <c:ext xmlns:c16="http://schemas.microsoft.com/office/drawing/2014/chart" uri="{C3380CC4-5D6E-409C-BE32-E72D297353CC}">
                  <c16:uniqueId val="{0000000D-B679-4696-AABB-E8DFF5FCC11C}"/>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Chart!$AP$12</c:f>
              <c:numCache>
                <c:formatCode>_(* #,##0_);_(* \(#,##0\);_(* "-"??_);_(@_)</c:formatCode>
                <c:ptCount val="1"/>
                <c:pt idx="0">
                  <c:v>75.507147348300833</c:v>
                </c:pt>
              </c:numCache>
            </c:numRef>
          </c:val>
          <c:extLst>
            <c:ext xmlns:c15="http://schemas.microsoft.com/office/drawing/2012/chart" uri="{02D57815-91ED-43cb-92C2-25804820EDAC}">
              <c15:datalabelsRange>
                <c15:f>Chart!$AQ$12</c15:f>
                <c15:dlblRangeCache>
                  <c:ptCount val="1"/>
                  <c:pt idx="0">
                    <c:v>7%</c:v>
                  </c:pt>
                </c15:dlblRangeCache>
              </c15:datalabelsRange>
            </c:ext>
            <c:ext xmlns:c16="http://schemas.microsoft.com/office/drawing/2014/chart" uri="{C3380CC4-5D6E-409C-BE32-E72D297353CC}">
              <c16:uniqueId val="{0000000A-B679-4696-AABB-E8DFF5FCC11C}"/>
            </c:ext>
          </c:extLst>
        </c:ser>
        <c:ser>
          <c:idx val="6"/>
          <c:order val="6"/>
          <c:tx>
            <c:strRef>
              <c:f>Chart!$AO$13</c:f>
              <c:strCache>
                <c:ptCount val="1"/>
                <c:pt idx="0">
                  <c:v>Chi phí sản xuất _Nâng IV</c:v>
                </c:pt>
              </c:strCache>
            </c:strRef>
          </c:tx>
          <c:spPr>
            <a:solidFill>
              <a:schemeClr val="accent1">
                <a:lumMod val="60000"/>
              </a:schemeClr>
            </a:solidFill>
            <a:ln>
              <a:noFill/>
            </a:ln>
            <a:effectLst/>
          </c:spPr>
          <c:invertIfNegative val="0"/>
          <c:dLbls>
            <c:dLbl>
              <c:idx val="0"/>
              <c:layout>
                <c:manualLayout>
                  <c:x val="4.7130120641563383E-2"/>
                  <c:y val="1.7365118153904399E-3"/>
                </c:manualLayout>
              </c:layout>
              <c:tx>
                <c:rich>
                  <a:bodyPr/>
                  <a:lstStyle/>
                  <a:p>
                    <a:fld id="{B58A6C87-934C-4984-8B50-B800021321C8}" type="CELLRANGE">
                      <a:rPr lang="en-US" baseline="0"/>
                      <a:pPr/>
                      <a:t>[CELLRANGE]</a:t>
                    </a:fld>
                    <a:r>
                      <a:rPr lang="en-US" baseline="0"/>
                      <a:t>, </a:t>
                    </a:r>
                    <a:fld id="{005D9DAE-D084-4EB0-9533-B7618EF73205}" type="SERIESNAME">
                      <a:rPr lang="en-US" baseline="0"/>
                      <a:pPr/>
                      <a:t>[SERIES NAME]</a:t>
                    </a:fld>
                    <a:r>
                      <a:rPr lang="en-US" baseline="0"/>
                      <a:t>, </a:t>
                    </a:r>
                    <a:fld id="{6E77A154-5A70-4EBC-ACD3-14A5165DECD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9005151738646511"/>
                      <c:h val="6.2436350688971319E-2"/>
                    </c:manualLayout>
                  </c15:layout>
                  <c15:dlblFieldTable/>
                  <c15:showDataLabelsRange val="1"/>
                </c:ext>
                <c:ext xmlns:c16="http://schemas.microsoft.com/office/drawing/2014/chart" uri="{C3380CC4-5D6E-409C-BE32-E72D297353CC}">
                  <c16:uniqueId val="{0000000E-B679-4696-AABB-E8DFF5FCC11C}"/>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c:f>
              <c:numCache>
                <c:formatCode>_(* #,##0_);_(* \(#,##0\);_(* "-"??_);_(@_)</c:formatCode>
                <c:ptCount val="1"/>
                <c:pt idx="0">
                  <c:v>88</c:v>
                </c:pt>
              </c:numCache>
            </c:numRef>
          </c:val>
          <c:extLst>
            <c:ext xmlns:c15="http://schemas.microsoft.com/office/drawing/2012/chart" uri="{02D57815-91ED-43cb-92C2-25804820EDAC}">
              <c15:datalabelsRange>
                <c15:f>Chart!$AQ$13</c15:f>
                <c15:dlblRangeCache>
                  <c:ptCount val="1"/>
                  <c:pt idx="0">
                    <c:v>8%</c:v>
                  </c:pt>
                </c15:dlblRangeCache>
              </c15:datalabelsRange>
            </c:ext>
            <c:ext xmlns:c16="http://schemas.microsoft.com/office/drawing/2014/chart" uri="{C3380CC4-5D6E-409C-BE32-E72D297353CC}">
              <c16:uniqueId val="{0000000B-B679-4696-AABB-E8DFF5FCC11C}"/>
            </c:ext>
          </c:extLst>
        </c:ser>
        <c:ser>
          <c:idx val="7"/>
          <c:order val="7"/>
          <c:tx>
            <c:strRef>
              <c:f>Chart!$AO$14</c:f>
              <c:strCache>
                <c:ptCount val="1"/>
                <c:pt idx="0">
                  <c:v>Phó sản thu hồi</c:v>
                </c:pt>
              </c:strCache>
            </c:strRef>
          </c:tx>
          <c:spPr>
            <a:solidFill>
              <a:schemeClr val="accent2">
                <a:lumMod val="60000"/>
              </a:schemeClr>
            </a:solidFill>
            <a:ln>
              <a:noFill/>
            </a:ln>
            <a:effectLst/>
          </c:spPr>
          <c:invertIfNegative val="0"/>
          <c:dLbls>
            <c:dLbl>
              <c:idx val="0"/>
              <c:tx>
                <c:rich>
                  <a:bodyPr/>
                  <a:lstStyle/>
                  <a:p>
                    <a:fld id="{8764971F-AFD8-4599-A3EC-AFE6F2293E18}" type="CELLRANGE">
                      <a:rPr lang="en-US" baseline="0">
                        <a:solidFill>
                          <a:schemeClr val="bg1"/>
                        </a:solidFill>
                      </a:rPr>
                      <a:pPr/>
                      <a:t>[CELLRANGE]</a:t>
                    </a:fld>
                    <a:r>
                      <a:rPr lang="en-US" baseline="0">
                        <a:solidFill>
                          <a:schemeClr val="bg1"/>
                        </a:solidFill>
                      </a:rPr>
                      <a:t>, </a:t>
                    </a:r>
                    <a:fld id="{34E26D20-7951-4459-A9C6-7AB0CADD4718}" type="SERIESNAME">
                      <a:rPr lang="en-US" baseline="0">
                        <a:solidFill>
                          <a:schemeClr val="bg1"/>
                        </a:solidFill>
                      </a:rPr>
                      <a:pPr/>
                      <a:t>[SERIES NAME]</a:t>
                    </a:fld>
                    <a:r>
                      <a:rPr lang="en-US" baseline="0">
                        <a:solidFill>
                          <a:schemeClr val="bg1"/>
                        </a:solidFill>
                      </a:rPr>
                      <a:t>, </a:t>
                    </a:r>
                    <a:fld id="{C5149C97-0143-4CCB-B479-05F4D29DD397}" type="VALUE">
                      <a:rPr lang="en-US" baseline="0">
                        <a:solidFill>
                          <a:schemeClr val="bg1"/>
                        </a:solidFill>
                      </a:rPr>
                      <a:pPr/>
                      <a:t>[VALUE]</a:t>
                    </a:fld>
                    <a:endParaRPr lang="en-US" baseline="0">
                      <a:solidFill>
                        <a:schemeClr val="bg1"/>
                      </a:solidFill>
                    </a:endParaRPr>
                  </a:p>
                </c:rich>
              </c:tx>
              <c:showLegendKey val="0"/>
              <c:showVal val="1"/>
              <c:showCatName val="0"/>
              <c:showSerName val="1"/>
              <c:showPercent val="0"/>
              <c:showBubbleSize val="0"/>
              <c:extLst>
                <c:ext xmlns:c15="http://schemas.microsoft.com/office/drawing/2012/chart" uri="{CE6537A1-D6FC-4f65-9D91-7224C49458BB}">
                  <c15:layout>
                    <c:manualLayout>
                      <c:w val="0.51551637926318672"/>
                      <c:h val="4.3360700030300077E-2"/>
                    </c:manualLayout>
                  </c15:layout>
                  <c15:dlblFieldTable/>
                  <c15:showDataLabelsRange val="1"/>
                </c:ext>
                <c:ext xmlns:c16="http://schemas.microsoft.com/office/drawing/2014/chart" uri="{C3380CC4-5D6E-409C-BE32-E72D297353CC}">
                  <c16:uniqueId val="{0000000F-B679-4696-AABB-E8DFF5FCC11C}"/>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Chart!$AP$14</c:f>
              <c:numCache>
                <c:formatCode>_(* #,##0_);_(* \(#,##0\);_(* "-"??_);_(@_)</c:formatCode>
                <c:ptCount val="1"/>
                <c:pt idx="0">
                  <c:v>-51.840786707562557</c:v>
                </c:pt>
              </c:numCache>
            </c:numRef>
          </c:val>
          <c:extLst>
            <c:ext xmlns:c15="http://schemas.microsoft.com/office/drawing/2012/chart" uri="{02D57815-91ED-43cb-92C2-25804820EDAC}">
              <c15:datalabelsRange>
                <c15:f>Chart!$AQ$14</c15:f>
                <c15:dlblRangeCache>
                  <c:ptCount val="1"/>
                  <c:pt idx="0">
                    <c:v>-5%</c:v>
                  </c:pt>
                </c15:dlblRangeCache>
              </c15:datalabelsRange>
            </c:ext>
            <c:ext xmlns:c16="http://schemas.microsoft.com/office/drawing/2014/chart" uri="{C3380CC4-5D6E-409C-BE32-E72D297353CC}">
              <c16:uniqueId val="{0000000C-B679-4696-AABB-E8DFF5FCC11C}"/>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solidFill>
            <a:schemeClr val="bg1"/>
          </a:solidFill>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iSS01G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Chart!$AO$47</c:f>
              <c:strCache>
                <c:ptCount val="1"/>
                <c:pt idx="0">
                  <c:v>Chi phí NVL</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A9A78AFD-961B-419D-8E65-88B60C59D030}" type="CELLRANGE">
                      <a:rPr lang="en-US" sz="1200" b="1" baseline="0"/>
                      <a:pPr>
                        <a:defRPr sz="1200" b="1">
                          <a:solidFill>
                            <a:schemeClr val="bg1"/>
                          </a:solidFill>
                        </a:defRPr>
                      </a:pPr>
                      <a:t>[CELLRANGE]</a:t>
                    </a:fld>
                    <a:r>
                      <a:rPr lang="en-US" sz="1200" b="1" baseline="0"/>
                      <a:t>, </a:t>
                    </a:r>
                    <a:fld id="{E9693BEA-BE04-4EA5-A09F-7D475B8C4FE4}" type="SERIESNAME">
                      <a:rPr lang="en-US" sz="1200" b="1" baseline="0"/>
                      <a:pPr>
                        <a:defRPr sz="1200" b="1">
                          <a:solidFill>
                            <a:schemeClr val="bg1"/>
                          </a:solidFill>
                        </a:defRPr>
                      </a:pPr>
                      <a:t>[SERIES NAME]</a:t>
                    </a:fld>
                    <a:r>
                      <a:rPr lang="en-US" sz="1200" b="1" baseline="0"/>
                      <a:t>, </a:t>
                    </a:r>
                    <a:fld id="{224C5B50-E31B-4CBF-9AB3-118126B06031}"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3340523574544065"/>
                      <c:h val="4.2672612216123361E-2"/>
                    </c:manualLayout>
                  </c15:layout>
                  <c15:dlblFieldTable/>
                  <c15:showDataLabelsRange val="1"/>
                </c:ext>
                <c:ext xmlns:c16="http://schemas.microsoft.com/office/drawing/2014/chart" uri="{C3380CC4-5D6E-409C-BE32-E72D297353CC}">
                  <c16:uniqueId val="{00000000-9609-497F-9A9B-DFC62F7AD0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Chart!$AP$47</c:f>
              <c:numCache>
                <c:formatCode>_(* #,##0_);_(* \(#,##0\);_(* "-"??_);_(@_)</c:formatCode>
                <c:ptCount val="1"/>
                <c:pt idx="0">
                  <c:v>584.25002356238429</c:v>
                </c:pt>
              </c:numCache>
            </c:numRef>
          </c:val>
          <c:extLst>
            <c:ext xmlns:c15="http://schemas.microsoft.com/office/drawing/2012/chart" uri="{02D57815-91ED-43cb-92C2-25804820EDAC}">
              <c15:datalabelsRange>
                <c15:f>Chart!$AQ$47</c15:f>
                <c15:dlblRangeCache>
                  <c:ptCount val="1"/>
                  <c:pt idx="0">
                    <c:v>56%</c:v>
                  </c:pt>
                </c15:dlblRangeCache>
              </c15:datalabelsRange>
            </c:ext>
            <c:ext xmlns:c16="http://schemas.microsoft.com/office/drawing/2014/chart" uri="{C3380CC4-5D6E-409C-BE32-E72D297353CC}">
              <c16:uniqueId val="{00000001-9609-497F-9A9B-DFC62F7AD049}"/>
            </c:ext>
          </c:extLst>
        </c:ser>
        <c:ser>
          <c:idx val="1"/>
          <c:order val="1"/>
          <c:tx>
            <c:strRef>
              <c:f>Chart!$AO$48</c:f>
              <c:strCache>
                <c:ptCount val="1"/>
                <c:pt idx="0">
                  <c:v>Hao hụt về tiền</c:v>
                </c:pt>
              </c:strCache>
            </c:strRef>
          </c:tx>
          <c:spPr>
            <a:solidFill>
              <a:schemeClr val="accent2"/>
            </a:solidFill>
            <a:ln>
              <a:noFill/>
            </a:ln>
            <a:effectLst/>
          </c:spPr>
          <c:invertIfNegative val="0"/>
          <c:dLbls>
            <c:dLbl>
              <c:idx val="0"/>
              <c:layout>
                <c:manualLayout>
                  <c:x val="-3.4911200475232153E-3"/>
                  <c:y val="0"/>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15C534F9-52DC-4120-8E29-56C2C8EEE167}" type="CELLRANGE">
                      <a:rPr lang="en-US" sz="1200" baseline="0"/>
                      <a:pPr>
                        <a:defRPr sz="1200">
                          <a:solidFill>
                            <a:schemeClr val="bg1"/>
                          </a:solidFill>
                        </a:defRPr>
                      </a:pPr>
                      <a:t>[CELLRANGE]</a:t>
                    </a:fld>
                    <a:r>
                      <a:rPr lang="en-US" sz="1200" baseline="0"/>
                      <a:t>, </a:t>
                    </a:r>
                    <a:fld id="{8E70D431-C8FB-47CC-82C8-7F887D2626B9}" type="SERIESNAME">
                      <a:rPr lang="en-US" sz="1200" baseline="0"/>
                      <a:pPr>
                        <a:defRPr sz="1200">
                          <a:solidFill>
                            <a:schemeClr val="bg1"/>
                          </a:solidFill>
                        </a:defRPr>
                      </a:pPr>
                      <a:t>[SERIES NAME]</a:t>
                    </a:fld>
                    <a:r>
                      <a:rPr lang="en-US" sz="1200" baseline="0"/>
                      <a:t>, </a:t>
                    </a:r>
                    <a:fld id="{420DB7B6-BFBF-4D44-A7CD-ABE213DCB1EC}" type="VALUE">
                      <a:rPr lang="en-US" sz="1200" baseline="0"/>
                      <a:pPr>
                        <a:defRPr sz="1200">
                          <a:solidFill>
                            <a:schemeClr val="bg1"/>
                          </a:solidFill>
                        </a:defRPr>
                      </a:pPr>
                      <a:t>[VALUE]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904213561984291"/>
                      <c:h val="4.2672612216123361E-2"/>
                    </c:manualLayout>
                  </c15:layout>
                  <c15:dlblFieldTable/>
                  <c15:showDataLabelsRange val="1"/>
                </c:ext>
                <c:ext xmlns:c16="http://schemas.microsoft.com/office/drawing/2014/chart" uri="{C3380CC4-5D6E-409C-BE32-E72D297353CC}">
                  <c16:uniqueId val="{00000002-9609-497F-9A9B-DFC62F7AD0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Chart!$AP$48</c:f>
              <c:numCache>
                <c:formatCode>_(* #,##0_);_(* \(#,##0\);_(* "-"??_);_(@_)</c:formatCode>
                <c:ptCount val="1"/>
                <c:pt idx="0">
                  <c:v>81.420907238449018</c:v>
                </c:pt>
              </c:numCache>
            </c:numRef>
          </c:val>
          <c:extLst>
            <c:ext xmlns:c15="http://schemas.microsoft.com/office/drawing/2012/chart" uri="{02D57815-91ED-43cb-92C2-25804820EDAC}">
              <c15:datalabelsRange>
                <c15:f>Chart!$AQ$48</c15:f>
                <c15:dlblRangeCache>
                  <c:ptCount val="1"/>
                  <c:pt idx="0">
                    <c:v>8%</c:v>
                  </c:pt>
                </c15:dlblRangeCache>
              </c15:datalabelsRange>
            </c:ext>
            <c:ext xmlns:c16="http://schemas.microsoft.com/office/drawing/2014/chart" uri="{C3380CC4-5D6E-409C-BE32-E72D297353CC}">
              <c16:uniqueId val="{00000003-9609-497F-9A9B-DFC62F7AD049}"/>
            </c:ext>
          </c:extLst>
        </c:ser>
        <c:ser>
          <c:idx val="2"/>
          <c:order val="2"/>
          <c:tx>
            <c:strRef>
              <c:f>Chart!$AO$49</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C1560F16-0CF9-43F6-A787-D63971774534}" type="CELLRANGE">
                      <a:rPr lang="en-US" sz="1050" baseline="0"/>
                      <a:pPr>
                        <a:defRPr sz="1050">
                          <a:solidFill>
                            <a:schemeClr val="bg1"/>
                          </a:solidFill>
                        </a:defRPr>
                      </a:pPr>
                      <a:t>[CELLRANGE]</a:t>
                    </a:fld>
                    <a:r>
                      <a:rPr lang="en-US" sz="1050" baseline="0"/>
                      <a:t>, </a:t>
                    </a:r>
                    <a:fld id="{D4226E3C-BCFA-4A80-9102-52F661C65EAF}" type="SERIESNAME">
                      <a:rPr lang="en-US" sz="1050" baseline="0"/>
                      <a:pPr>
                        <a:defRPr sz="1050">
                          <a:solidFill>
                            <a:schemeClr val="bg1"/>
                          </a:solidFill>
                        </a:defRPr>
                      </a:pPr>
                      <a:t>[SERIES NAME]</a:t>
                    </a:fld>
                    <a:r>
                      <a:rPr lang="en-US" sz="1050" baseline="0"/>
                      <a:t>, </a:t>
                    </a:r>
                    <a:fld id="{48692A03-ADCB-469A-B708-3D5780C9D7C9}" type="VALUE">
                      <a:rPr lang="en-US" sz="1050" baseline="0"/>
                      <a:pPr>
                        <a:defRPr sz="1050">
                          <a:solidFill>
                            <a:schemeClr val="bg1"/>
                          </a:solidFill>
                        </a:defRPr>
                      </a:pPr>
                      <a:t>[VALUE]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476587916711218"/>
                      <c:h val="8.0218358727466174E-2"/>
                    </c:manualLayout>
                  </c15:layout>
                  <c15:dlblFieldTable/>
                  <c15:showDataLabelsRange val="1"/>
                </c:ext>
                <c:ext xmlns:c16="http://schemas.microsoft.com/office/drawing/2014/chart" uri="{C3380CC4-5D6E-409C-BE32-E72D297353CC}">
                  <c16:uniqueId val="{00000004-9609-497F-9A9B-DFC62F7AD04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Chart!$AP$49</c:f>
              <c:numCache>
                <c:formatCode>_(* #,##0_);_(* \(#,##0\);_(* "-"??_);_(@_)</c:formatCode>
                <c:ptCount val="1"/>
                <c:pt idx="0">
                  <c:v>148.53814158365697</c:v>
                </c:pt>
              </c:numCache>
            </c:numRef>
          </c:val>
          <c:extLst>
            <c:ext xmlns:c15="http://schemas.microsoft.com/office/drawing/2012/chart" uri="{02D57815-91ED-43cb-92C2-25804820EDAC}">
              <c15:datalabelsRange>
                <c15:f>Chart!$AQ$49</c15:f>
                <c15:dlblRangeCache>
                  <c:ptCount val="1"/>
                  <c:pt idx="0">
                    <c:v>14%</c:v>
                  </c:pt>
                </c15:dlblRangeCache>
              </c15:datalabelsRange>
            </c:ext>
            <c:ext xmlns:c16="http://schemas.microsoft.com/office/drawing/2014/chart" uri="{C3380CC4-5D6E-409C-BE32-E72D297353CC}">
              <c16:uniqueId val="{00000005-9609-497F-9A9B-DFC62F7AD049}"/>
            </c:ext>
          </c:extLst>
        </c:ser>
        <c:ser>
          <c:idx val="3"/>
          <c:order val="3"/>
          <c:tx>
            <c:strRef>
              <c:f>Chart!$AO$50</c:f>
              <c:strCache>
                <c:ptCount val="1"/>
                <c:pt idx="0">
                  <c:v>Chi phí sản xuất _Băm</c:v>
                </c:pt>
              </c:strCache>
            </c:strRef>
          </c:tx>
          <c:spPr>
            <a:solidFill>
              <a:schemeClr val="accent4"/>
            </a:solidFill>
            <a:ln>
              <a:noFill/>
            </a:ln>
            <a:effectLst/>
          </c:spPr>
          <c:invertIfNegative val="0"/>
          <c:dLbls>
            <c:dLbl>
              <c:idx val="0"/>
              <c:tx>
                <c:rich>
                  <a:bodyPr/>
                  <a:lstStyle/>
                  <a:p>
                    <a:fld id="{9820DE80-02A0-4B8F-B96B-B23E017FBA4E}" type="CELLRANGE">
                      <a:rPr lang="en-US" baseline="0"/>
                      <a:pPr/>
                      <a:t>[CELLRANGE]</a:t>
                    </a:fld>
                    <a:r>
                      <a:rPr lang="en-US" baseline="0"/>
                      <a:t>, </a:t>
                    </a:r>
                    <a:fld id="{FFD7C2BE-22F8-419D-BB98-A0D0E6FA438F}" type="SERIESNAME">
                      <a:rPr lang="en-US" baseline="0"/>
                      <a:pPr/>
                      <a:t>[SERIES NAME]</a:t>
                    </a:fld>
                    <a:r>
                      <a:rPr lang="en-US" baseline="0"/>
                      <a:t>, </a:t>
                    </a:r>
                    <a:fld id="{16C7980D-1DD6-47A5-9A9D-C19A0D7EE72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476372951681514"/>
                      <c:h val="6.1445552753496932E-2"/>
                    </c:manualLayout>
                  </c15:layout>
                  <c15:dlblFieldTable/>
                  <c15:showDataLabelsRange val="1"/>
                </c:ext>
                <c:ext xmlns:c16="http://schemas.microsoft.com/office/drawing/2014/chart" uri="{C3380CC4-5D6E-409C-BE32-E72D297353CC}">
                  <c16:uniqueId val="{00000006-9609-497F-9A9B-DFC62F7AD04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Chart!$AP$50</c:f>
              <c:numCache>
                <c:formatCode>_(* #,##0_);_(* \(#,##0\);_(* "-"??_);_(@_)</c:formatCode>
                <c:ptCount val="1"/>
                <c:pt idx="0">
                  <c:v>77.090972827612831</c:v>
                </c:pt>
              </c:numCache>
            </c:numRef>
          </c:val>
          <c:extLst>
            <c:ext xmlns:c15="http://schemas.microsoft.com/office/drawing/2012/chart" uri="{02D57815-91ED-43cb-92C2-25804820EDAC}">
              <c15:datalabelsRange>
                <c15:f>Chart!$AQ$50</c15:f>
                <c15:dlblRangeCache>
                  <c:ptCount val="1"/>
                  <c:pt idx="0">
                    <c:v>7%</c:v>
                  </c:pt>
                </c15:dlblRangeCache>
              </c15:datalabelsRange>
            </c:ext>
            <c:ext xmlns:c16="http://schemas.microsoft.com/office/drawing/2014/chart" uri="{C3380CC4-5D6E-409C-BE32-E72D297353CC}">
              <c16:uniqueId val="{00000007-9609-497F-9A9B-DFC62F7AD049}"/>
            </c:ext>
          </c:extLst>
        </c:ser>
        <c:ser>
          <c:idx val="4"/>
          <c:order val="4"/>
          <c:tx>
            <c:strRef>
              <c:f>Chart!$AO$51</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E384F13-2823-4481-9311-F99CC49D80DB}" type="CELLRANGE">
                      <a:rPr lang="en-US" sz="1100" baseline="0"/>
                      <a:pPr>
                        <a:defRPr sz="1100">
                          <a:solidFill>
                            <a:schemeClr val="bg1"/>
                          </a:solidFill>
                        </a:defRPr>
                      </a:pPr>
                      <a:t>[CELLRANGE]</a:t>
                    </a:fld>
                    <a:r>
                      <a:rPr lang="en-US" sz="1100" baseline="0"/>
                      <a:t>, </a:t>
                    </a:r>
                    <a:fld id="{F4D610AF-A389-4425-B9B6-85B169300CC8}" type="SERIESNAME">
                      <a:rPr lang="en-US" sz="1100" baseline="0"/>
                      <a:pPr>
                        <a:defRPr sz="1100">
                          <a:solidFill>
                            <a:schemeClr val="bg1"/>
                          </a:solidFill>
                        </a:defRPr>
                      </a:pPr>
                      <a:t>[SERIES NAME]</a:t>
                    </a:fld>
                    <a:r>
                      <a:rPr lang="en-US" sz="1100" baseline="0"/>
                      <a:t>, </a:t>
                    </a:r>
                    <a:fld id="{32017A2D-4EAE-427B-B585-D7C637FED1ED}" type="VALUE">
                      <a:rPr lang="en-US" sz="1100" baseline="0"/>
                      <a:pPr>
                        <a:defRPr sz="1100">
                          <a:solidFill>
                            <a:schemeClr val="bg1"/>
                          </a:solidFill>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079924932672231"/>
                      <c:h val="6.1445552753496932E-2"/>
                    </c:manualLayout>
                  </c15:layout>
                  <c15:dlblFieldTable/>
                  <c15:showDataLabelsRange val="1"/>
                </c:ext>
                <c:ext xmlns:c16="http://schemas.microsoft.com/office/drawing/2014/chart" uri="{C3380CC4-5D6E-409C-BE32-E72D297353CC}">
                  <c16:uniqueId val="{00000008-9609-497F-9A9B-DFC62F7AD0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Chart!$AP$51</c:f>
              <c:numCache>
                <c:formatCode>_(* #,##0_);_(* \(#,##0\);_(* "-"??_);_(@_)</c:formatCode>
                <c:ptCount val="1"/>
                <c:pt idx="0">
                  <c:v>48.835892374154589</c:v>
                </c:pt>
              </c:numCache>
            </c:numRef>
          </c:val>
          <c:extLst>
            <c:ext xmlns:c15="http://schemas.microsoft.com/office/drawing/2012/chart" uri="{02D57815-91ED-43cb-92C2-25804820EDAC}">
              <c15:datalabelsRange>
                <c15:f>Chart!$AQ$51</c15:f>
                <c15:dlblRangeCache>
                  <c:ptCount val="1"/>
                  <c:pt idx="0">
                    <c:v>5%</c:v>
                  </c:pt>
                </c15:dlblRangeCache>
              </c15:datalabelsRange>
            </c:ext>
            <c:ext xmlns:c16="http://schemas.microsoft.com/office/drawing/2014/chart" uri="{C3380CC4-5D6E-409C-BE32-E72D297353CC}">
              <c16:uniqueId val="{00000009-9609-497F-9A9B-DFC62F7AD049}"/>
            </c:ext>
          </c:extLst>
        </c:ser>
        <c:ser>
          <c:idx val="5"/>
          <c:order val="5"/>
          <c:tx>
            <c:strRef>
              <c:f>Chart!$AO$52</c:f>
              <c:strCache>
                <c:ptCount val="1"/>
                <c:pt idx="0">
                  <c:v>Chi phí sản xuất _Tạo hạt</c:v>
                </c:pt>
              </c:strCache>
            </c:strRef>
          </c:tx>
          <c:spPr>
            <a:solidFill>
              <a:schemeClr val="accent6"/>
            </a:solidFill>
            <a:ln>
              <a:noFill/>
            </a:ln>
            <a:effectLst/>
          </c:spPr>
          <c:invertIfNegative val="0"/>
          <c:dLbls>
            <c:dLbl>
              <c:idx val="0"/>
              <c:tx>
                <c:rich>
                  <a:bodyPr/>
                  <a:lstStyle/>
                  <a:p>
                    <a:fld id="{74EF059F-2C20-48C0-A52E-12D741C9D3CA}" type="CELLRANGE">
                      <a:rPr lang="en-US" baseline="0"/>
                      <a:pPr/>
                      <a:t>[CELLRANGE]</a:t>
                    </a:fld>
                    <a:r>
                      <a:rPr lang="en-US" baseline="0"/>
                      <a:t>, </a:t>
                    </a:r>
                    <a:fld id="{0A2233E2-6697-4CBA-9C61-4B55899116F4}" type="SERIESNAME">
                      <a:rPr lang="en-US" baseline="0"/>
                      <a:pPr/>
                      <a:t>[SERIES NAME]</a:t>
                    </a:fld>
                    <a:r>
                      <a:rPr lang="en-US" baseline="0"/>
                      <a:t>, </a:t>
                    </a:r>
                    <a:fld id="{810E40AF-45D1-49CF-8A2C-1410EE9C317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9066260084045275"/>
                      <c:h val="6.1445552753496932E-2"/>
                    </c:manualLayout>
                  </c15:layout>
                  <c15:dlblFieldTable/>
                  <c15:showDataLabelsRange val="1"/>
                </c:ext>
                <c:ext xmlns:c16="http://schemas.microsoft.com/office/drawing/2014/chart" uri="{C3380CC4-5D6E-409C-BE32-E72D297353CC}">
                  <c16:uniqueId val="{0000000D-9609-497F-9A9B-DFC62F7AD04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Chart!$AP$52</c:f>
              <c:numCache>
                <c:formatCode>_(* #,##0_);_(* \(#,##0\);_(* "-"??_);_(@_)</c:formatCode>
                <c:ptCount val="1"/>
                <c:pt idx="0">
                  <c:v>75.507147348300833</c:v>
                </c:pt>
              </c:numCache>
            </c:numRef>
          </c:val>
          <c:extLst>
            <c:ext xmlns:c15="http://schemas.microsoft.com/office/drawing/2012/chart" uri="{02D57815-91ED-43cb-92C2-25804820EDAC}">
              <c15:datalabelsRange>
                <c15:f>Chart!$AQ$52</c15:f>
                <c15:dlblRangeCache>
                  <c:ptCount val="1"/>
                  <c:pt idx="0">
                    <c:v>7%</c:v>
                  </c:pt>
                </c15:dlblRangeCache>
              </c15:datalabelsRange>
            </c:ext>
            <c:ext xmlns:c16="http://schemas.microsoft.com/office/drawing/2014/chart" uri="{C3380CC4-5D6E-409C-BE32-E72D297353CC}">
              <c16:uniqueId val="{0000000A-9609-497F-9A9B-DFC62F7AD049}"/>
            </c:ext>
          </c:extLst>
        </c:ser>
        <c:ser>
          <c:idx val="6"/>
          <c:order val="6"/>
          <c:tx>
            <c:strRef>
              <c:f>Chart!$AO$53</c:f>
              <c:strCache>
                <c:ptCount val="1"/>
                <c:pt idx="0">
                  <c:v>Chi phí sản xuất _Nâng IV</c:v>
                </c:pt>
              </c:strCache>
            </c:strRef>
          </c:tx>
          <c:spPr>
            <a:solidFill>
              <a:schemeClr val="accent1">
                <a:lumMod val="60000"/>
              </a:schemeClr>
            </a:solidFill>
            <a:ln>
              <a:noFill/>
            </a:ln>
            <a:effectLst/>
          </c:spPr>
          <c:invertIfNegative val="0"/>
          <c:dLbls>
            <c:dLbl>
              <c:idx val="0"/>
              <c:tx>
                <c:rich>
                  <a:bodyPr/>
                  <a:lstStyle/>
                  <a:p>
                    <a:fld id="{A5E9AD5E-62E7-4916-A395-C7C30D25AE66}" type="CELLRANGE">
                      <a:rPr lang="en-US" baseline="0"/>
                      <a:pPr/>
                      <a:t>[CELLRANGE]</a:t>
                    </a:fld>
                    <a:r>
                      <a:rPr lang="en-US" baseline="0"/>
                      <a:t>, </a:t>
                    </a:r>
                    <a:fld id="{D4073E89-C478-4A58-A627-0A1EC1CDCC62}" type="SERIESNAME">
                      <a:rPr lang="en-US" baseline="0"/>
                      <a:pPr/>
                      <a:t>[SERIES NAME]</a:t>
                    </a:fld>
                    <a:r>
                      <a:rPr lang="en-US" baseline="0"/>
                      <a:t>, </a:t>
                    </a:r>
                    <a:fld id="{696BE820-E1E8-4CAB-984C-784B33896ED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2147159781417405"/>
                      <c:h val="6.1445552753496932E-2"/>
                    </c:manualLayout>
                  </c15:layout>
                  <c15:dlblFieldTable/>
                  <c15:showDataLabelsRange val="1"/>
                </c:ext>
                <c:ext xmlns:c16="http://schemas.microsoft.com/office/drawing/2014/chart" uri="{C3380CC4-5D6E-409C-BE32-E72D297353CC}">
                  <c16:uniqueId val="{0000000E-9609-497F-9A9B-DFC62F7AD04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Chart!$AP$53</c:f>
              <c:numCache>
                <c:formatCode>_(* #,##0_);_(* \(#,##0\);_(* "-"??_);_(@_)</c:formatCode>
                <c:ptCount val="1"/>
                <c:pt idx="0">
                  <c:v>88</c:v>
                </c:pt>
              </c:numCache>
            </c:numRef>
          </c:val>
          <c:extLst>
            <c:ext xmlns:c15="http://schemas.microsoft.com/office/drawing/2012/chart" uri="{02D57815-91ED-43cb-92C2-25804820EDAC}">
              <c15:datalabelsRange>
                <c15:f>Chart!$AQ$53</c15:f>
                <c15:dlblRangeCache>
                  <c:ptCount val="1"/>
                  <c:pt idx="0">
                    <c:v>8%</c:v>
                  </c:pt>
                </c15:dlblRangeCache>
              </c15:datalabelsRange>
            </c:ext>
            <c:ext xmlns:c16="http://schemas.microsoft.com/office/drawing/2014/chart" uri="{C3380CC4-5D6E-409C-BE32-E72D297353CC}">
              <c16:uniqueId val="{0000000B-9609-497F-9A9B-DFC62F7AD049}"/>
            </c:ext>
          </c:extLst>
        </c:ser>
        <c:ser>
          <c:idx val="7"/>
          <c:order val="7"/>
          <c:tx>
            <c:strRef>
              <c:f>Chart!$AO$54</c:f>
              <c:strCache>
                <c:ptCount val="1"/>
                <c:pt idx="0">
                  <c:v>Phó sản thu hồi</c:v>
                </c:pt>
              </c:strCache>
            </c:strRef>
          </c:tx>
          <c:spPr>
            <a:solidFill>
              <a:schemeClr val="accent2">
                <a:lumMod val="60000"/>
              </a:schemeClr>
            </a:solidFill>
            <a:ln>
              <a:noFill/>
            </a:ln>
            <a:effectLst/>
          </c:spPr>
          <c:invertIfNegative val="0"/>
          <c:dLbls>
            <c:dLbl>
              <c:idx val="0"/>
              <c:layout>
                <c:manualLayout>
                  <c:x val="1.571004021385447E-2"/>
                  <c:y val="1.7090897983311716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7ACCE188-2096-4BF5-9D59-63C7F0E8CF14}" type="CELLRANGE">
                      <a:rPr lang="en-US" sz="1200" baseline="0"/>
                      <a:pPr>
                        <a:defRPr sz="1200" b="1">
                          <a:solidFill>
                            <a:schemeClr val="bg1"/>
                          </a:solidFill>
                        </a:defRPr>
                      </a:pPr>
                      <a:t>[CELLRANGE]</a:t>
                    </a:fld>
                    <a:r>
                      <a:rPr lang="en-US" sz="1200" baseline="0"/>
                      <a:t>, </a:t>
                    </a:r>
                    <a:fld id="{60C5418F-546A-4C68-9BFC-5A3B1A5200BD}" type="SERIESNAME">
                      <a:rPr lang="en-US" sz="1200" baseline="0"/>
                      <a:pPr>
                        <a:defRPr sz="1200" b="1">
                          <a:solidFill>
                            <a:schemeClr val="bg1"/>
                          </a:solidFill>
                        </a:defRPr>
                      </a:pPr>
                      <a:t>[SERIES NAME]</a:t>
                    </a:fld>
                    <a:r>
                      <a:rPr lang="en-US" sz="1200" baseline="0"/>
                      <a:t>, </a:t>
                    </a:r>
                    <a:fld id="{8A39E82C-03F5-4D46-AE45-88D3F5617392}" type="VALUE">
                      <a:rPr lang="en-US" sz="1200" baseline="0"/>
                      <a:pPr>
                        <a:defRPr sz="1200" b="1">
                          <a:solidFill>
                            <a:schemeClr val="bg1"/>
                          </a:solidFill>
                        </a:defRPr>
                      </a:pPr>
                      <a:t>[VALUE]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646309954832605"/>
                      <c:h val="4.2672612216123361E-2"/>
                    </c:manualLayout>
                  </c15:layout>
                  <c15:dlblFieldTable/>
                  <c15:showDataLabelsRange val="1"/>
                </c:ext>
                <c:ext xmlns:c16="http://schemas.microsoft.com/office/drawing/2014/chart" uri="{C3380CC4-5D6E-409C-BE32-E72D297353CC}">
                  <c16:uniqueId val="{0000000F-9609-497F-9A9B-DFC62F7AD0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Chart!$AP$54</c:f>
              <c:numCache>
                <c:formatCode>_(* #,##0_);_(* \(#,##0\);_(* "-"??_);_(@_)</c:formatCode>
                <c:ptCount val="1"/>
                <c:pt idx="0">
                  <c:v>-50.981057158095254</c:v>
                </c:pt>
              </c:numCache>
            </c:numRef>
          </c:val>
          <c:extLst>
            <c:ext xmlns:c15="http://schemas.microsoft.com/office/drawing/2012/chart" uri="{02D57815-91ED-43cb-92C2-25804820EDAC}">
              <c15:datalabelsRange>
                <c15:f>Chart!$AQ$54</c15:f>
                <c15:dlblRangeCache>
                  <c:ptCount val="1"/>
                  <c:pt idx="0">
                    <c:v>-5%</c:v>
                  </c:pt>
                </c15:dlblRangeCache>
              </c15:datalabelsRange>
            </c:ext>
            <c:ext xmlns:c16="http://schemas.microsoft.com/office/drawing/2014/chart" uri="{C3380CC4-5D6E-409C-BE32-E72D297353CC}">
              <c16:uniqueId val="{0000000C-9609-497F-9A9B-DFC62F7AD049}"/>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WSS01G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Chart!$AO$90</c:f>
              <c:strCache>
                <c:ptCount val="1"/>
                <c:pt idx="0">
                  <c:v>Chi phí NVL</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C860741B-6DE7-455A-809D-FA015E6B1080}" type="CELLRANGE">
                      <a:rPr lang="en-US" sz="1200" b="1" baseline="0"/>
                      <a:pPr>
                        <a:defRPr sz="1200" b="1">
                          <a:solidFill>
                            <a:schemeClr val="bg1"/>
                          </a:solidFill>
                        </a:defRPr>
                      </a:pPr>
                      <a:t>[CELLRANGE]</a:t>
                    </a:fld>
                    <a:r>
                      <a:rPr lang="en-US" sz="1200" b="1" baseline="0"/>
                      <a:t>, </a:t>
                    </a:r>
                    <a:fld id="{9AB2FD27-E068-434B-8380-F71E55C89E29}" type="SERIESNAME">
                      <a:rPr lang="en-US" sz="1200" b="1" baseline="0"/>
                      <a:pPr>
                        <a:defRPr sz="1200" b="1">
                          <a:solidFill>
                            <a:schemeClr val="bg1"/>
                          </a:solidFill>
                        </a:defRPr>
                      </a:pPr>
                      <a:t>[SERIES NAME]</a:t>
                    </a:fld>
                    <a:r>
                      <a:rPr lang="en-US" sz="1200" b="1" baseline="0"/>
                      <a:t>, </a:t>
                    </a:r>
                    <a:fld id="{9A0BC06F-7C9D-44E5-B6C4-049DD2C978E9}"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7878992797844849"/>
                      <c:h val="4.1990108618234795E-2"/>
                    </c:manualLayout>
                  </c15:layout>
                  <c15:dlblFieldTable/>
                  <c15:showDataLabelsRange val="1"/>
                </c:ext>
                <c:ext xmlns:c16="http://schemas.microsoft.com/office/drawing/2014/chart" uri="{C3380CC4-5D6E-409C-BE32-E72D297353CC}">
                  <c16:uniqueId val="{00000000-797A-4005-9ED5-559E18A69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Chart!$AP$90</c:f>
              <c:numCache>
                <c:formatCode>_(* #,##0_);_(* \(#,##0\);_(* "-"??_);_(@_)</c:formatCode>
                <c:ptCount val="1"/>
                <c:pt idx="0">
                  <c:v>569.52103137173594</c:v>
                </c:pt>
              </c:numCache>
            </c:numRef>
          </c:val>
          <c:extLst>
            <c:ext xmlns:c15="http://schemas.microsoft.com/office/drawing/2012/chart" uri="{02D57815-91ED-43cb-92C2-25804820EDAC}">
              <c15:datalabelsRange>
                <c15:f>Chart!$AQ$90</c15:f>
                <c15:dlblRangeCache>
                  <c:ptCount val="1"/>
                  <c:pt idx="0">
                    <c:v>57%</c:v>
                  </c:pt>
                </c15:dlblRangeCache>
              </c15:datalabelsRange>
            </c:ext>
            <c:ext xmlns:c16="http://schemas.microsoft.com/office/drawing/2014/chart" uri="{C3380CC4-5D6E-409C-BE32-E72D297353CC}">
              <c16:uniqueId val="{00000001-797A-4005-9ED5-559E18A691E2}"/>
            </c:ext>
          </c:extLst>
        </c:ser>
        <c:ser>
          <c:idx val="1"/>
          <c:order val="1"/>
          <c:tx>
            <c:strRef>
              <c:f>Chart!$AO$91</c:f>
              <c:strCache>
                <c:ptCount val="1"/>
                <c:pt idx="0">
                  <c:v>Hao hụt về tiền</c:v>
                </c:pt>
              </c:strCache>
            </c:strRef>
          </c:tx>
          <c:spPr>
            <a:solidFill>
              <a:schemeClr val="accent2"/>
            </a:solidFill>
            <a:ln>
              <a:noFill/>
            </a:ln>
            <a:effectLst/>
          </c:spPr>
          <c:invertIfNegative val="0"/>
          <c:dLbls>
            <c:dLbl>
              <c:idx val="0"/>
              <c:tx>
                <c:rich>
                  <a:bodyPr/>
                  <a:lstStyle/>
                  <a:p>
                    <a:fld id="{6ED131AD-843A-40FC-9A3E-4F63904CE0EB}" type="CELLRANGE">
                      <a:rPr lang="en-US" sz="1100" b="1" baseline="0"/>
                      <a:pPr/>
                      <a:t>[CELLRANGE]</a:t>
                    </a:fld>
                    <a:r>
                      <a:rPr lang="en-US" sz="1100" b="1" baseline="0"/>
                      <a:t>, </a:t>
                    </a:r>
                    <a:fld id="{CF07CEF4-2930-489C-BDC5-DE80354B5CDD}" type="SERIESNAME">
                      <a:rPr lang="en-US" sz="1100" b="1" baseline="0"/>
                      <a:pPr/>
                      <a:t>[SERIES NAME]</a:t>
                    </a:fld>
                    <a:r>
                      <a:rPr lang="en-US" sz="1100" b="1" baseline="0"/>
                      <a:t>, </a:t>
                    </a:r>
                    <a:fld id="{7B2054F2-3BE0-497B-A867-A0E36BB5F251}" type="VALUE">
                      <a:rPr lang="en-US" sz="1100" b="1" baseline="0"/>
                      <a:pPr/>
                      <a:t>[VALUE]</a:t>
                    </a:fld>
                    <a:endParaRPr lang="en-US" sz="1100" b="1" baseline="0"/>
                  </a:p>
                </c:rich>
              </c:tx>
              <c:showLegendKey val="0"/>
              <c:showVal val="1"/>
              <c:showCatName val="0"/>
              <c:showSerName val="1"/>
              <c:showPercent val="0"/>
              <c:showBubbleSize val="0"/>
              <c:extLst>
                <c:ext xmlns:c15="http://schemas.microsoft.com/office/drawing/2012/chart" uri="{CE6537A1-D6FC-4f65-9D91-7224C49458BB}">
                  <c15:layout>
                    <c:manualLayout>
                      <c:w val="0.41081752707680469"/>
                      <c:h val="4.1990108618234795E-2"/>
                    </c:manualLayout>
                  </c15:layout>
                  <c15:dlblFieldTable/>
                  <c15:showDataLabelsRange val="1"/>
                </c:ext>
                <c:ext xmlns:c16="http://schemas.microsoft.com/office/drawing/2014/chart" uri="{C3380CC4-5D6E-409C-BE32-E72D297353CC}">
                  <c16:uniqueId val="{00000002-797A-4005-9ED5-559E18A691E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Chart!$AP$91</c:f>
              <c:numCache>
                <c:formatCode>_(* #,##0_);_(* \(#,##0\);_(* "-"??_);_(@_)</c:formatCode>
                <c:ptCount val="1"/>
                <c:pt idx="0">
                  <c:v>79.368279324874678</c:v>
                </c:pt>
              </c:numCache>
            </c:numRef>
          </c:val>
          <c:extLst>
            <c:ext xmlns:c15="http://schemas.microsoft.com/office/drawing/2012/chart" uri="{02D57815-91ED-43cb-92C2-25804820EDAC}">
              <c15:datalabelsRange>
                <c15:f>Chart!$AQ$91</c15:f>
                <c15:dlblRangeCache>
                  <c:ptCount val="1"/>
                  <c:pt idx="0">
                    <c:v>8%</c:v>
                  </c:pt>
                </c15:dlblRangeCache>
              </c15:datalabelsRange>
            </c:ext>
            <c:ext xmlns:c16="http://schemas.microsoft.com/office/drawing/2014/chart" uri="{C3380CC4-5D6E-409C-BE32-E72D297353CC}">
              <c16:uniqueId val="{00000003-797A-4005-9ED5-559E18A691E2}"/>
            </c:ext>
          </c:extLst>
        </c:ser>
        <c:ser>
          <c:idx val="2"/>
          <c:order val="2"/>
          <c:tx>
            <c:strRef>
              <c:f>Chart!$AO$92</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00D8823-EFAE-4E57-BC6A-A6A56CEC262F}" type="CELLRANGE">
                      <a:rPr lang="en-US" sz="1100" b="1" baseline="0"/>
                      <a:pPr>
                        <a:defRPr sz="1100" b="1">
                          <a:solidFill>
                            <a:schemeClr val="bg1"/>
                          </a:solidFill>
                        </a:defRPr>
                      </a:pPr>
                      <a:t>[CELLRANGE]</a:t>
                    </a:fld>
                    <a:r>
                      <a:rPr lang="en-US" sz="1100" b="1" baseline="0"/>
                      <a:t>, </a:t>
                    </a:r>
                    <a:fld id="{8F393522-8DA9-48C1-B5E8-AC9470EF6F42}" type="SERIESNAME">
                      <a:rPr lang="en-US" sz="1100" b="1" baseline="0"/>
                      <a:pPr>
                        <a:defRPr sz="1100" b="1">
                          <a:solidFill>
                            <a:schemeClr val="bg1"/>
                          </a:solidFill>
                        </a:defRPr>
                      </a:pPr>
                      <a:t>[SERIES NAME]</a:t>
                    </a:fld>
                    <a:r>
                      <a:rPr lang="en-US" sz="1100" b="1" baseline="0"/>
                      <a:t>, </a:t>
                    </a:r>
                    <a:fld id="{AC98401B-41B7-4723-9DFB-E9E21F5EC17D}"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145252625213042"/>
                      <c:h val="7.89353503620321E-2"/>
                    </c:manualLayout>
                  </c15:layout>
                  <c15:dlblFieldTable/>
                  <c15:showDataLabelsRange val="1"/>
                </c:ext>
                <c:ext xmlns:c16="http://schemas.microsoft.com/office/drawing/2014/chart" uri="{C3380CC4-5D6E-409C-BE32-E72D297353CC}">
                  <c16:uniqueId val="{00000004-797A-4005-9ED5-559E18A69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Chart!$AP$92</c:f>
              <c:numCache>
                <c:formatCode>_(* #,##0_);_(* \(#,##0\);_(* "-"??_);_(@_)</c:formatCode>
                <c:ptCount val="1"/>
                <c:pt idx="0">
                  <c:v>144.79348255213623</c:v>
                </c:pt>
              </c:numCache>
            </c:numRef>
          </c:val>
          <c:extLst>
            <c:ext xmlns:c15="http://schemas.microsoft.com/office/drawing/2012/chart" uri="{02D57815-91ED-43cb-92C2-25804820EDAC}">
              <c15:datalabelsRange>
                <c15:f>Chart!$AQ$92</c15:f>
                <c15:dlblRangeCache>
                  <c:ptCount val="1"/>
                  <c:pt idx="0">
                    <c:v>14%</c:v>
                  </c:pt>
                </c15:dlblRangeCache>
              </c15:datalabelsRange>
            </c:ext>
            <c:ext xmlns:c16="http://schemas.microsoft.com/office/drawing/2014/chart" uri="{C3380CC4-5D6E-409C-BE32-E72D297353CC}">
              <c16:uniqueId val="{00000005-797A-4005-9ED5-559E18A691E2}"/>
            </c:ext>
          </c:extLst>
        </c:ser>
        <c:ser>
          <c:idx val="3"/>
          <c:order val="3"/>
          <c:tx>
            <c:strRef>
              <c:f>Chart!$AO$93</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BE3EBADD-E971-4C27-9DD4-E8E22CAD3F62}" type="CELLRANGE">
                      <a:rPr lang="en-US" sz="1100" b="1" baseline="0"/>
                      <a:pPr>
                        <a:defRPr sz="1100" b="1">
                          <a:solidFill>
                            <a:schemeClr val="bg1"/>
                          </a:solidFill>
                        </a:defRPr>
                      </a:pPr>
                      <a:t>[CELLRANGE]</a:t>
                    </a:fld>
                    <a:r>
                      <a:rPr lang="en-US" sz="1100" b="1" baseline="0"/>
                      <a:t>, </a:t>
                    </a:r>
                    <a:fld id="{F167F51C-4965-4410-B937-413FFCFCB67D}" type="SERIESNAME">
                      <a:rPr lang="en-US" sz="1100" b="1" baseline="0"/>
                      <a:pPr>
                        <a:defRPr sz="1100" b="1">
                          <a:solidFill>
                            <a:schemeClr val="bg1"/>
                          </a:solidFill>
                        </a:defRPr>
                      </a:pPr>
                      <a:t>[SERIES NAME]</a:t>
                    </a:fld>
                    <a:r>
                      <a:rPr lang="en-US" sz="1100" b="1" baseline="0"/>
                      <a:t>, </a:t>
                    </a:r>
                    <a:fld id="{9DA05FF7-A32B-4915-B8BA-45B9CB978C2C}"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654131618010884"/>
                      <c:h val="6.0462795695735469E-2"/>
                    </c:manualLayout>
                  </c15:layout>
                  <c15:dlblFieldTable/>
                  <c15:showDataLabelsRange val="1"/>
                </c:ext>
                <c:ext xmlns:c16="http://schemas.microsoft.com/office/drawing/2014/chart" uri="{C3380CC4-5D6E-409C-BE32-E72D297353CC}">
                  <c16:uniqueId val="{00000006-797A-4005-9ED5-559E18A69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Chart!$AP$93</c:f>
              <c:numCache>
                <c:formatCode>_(* #,##0_);_(* \(#,##0\);_(* "-"??_);_(@_)</c:formatCode>
                <c:ptCount val="1"/>
                <c:pt idx="0">
                  <c:v>75.14750292439571</c:v>
                </c:pt>
              </c:numCache>
            </c:numRef>
          </c:val>
          <c:extLst>
            <c:ext xmlns:c15="http://schemas.microsoft.com/office/drawing/2012/chart" uri="{02D57815-91ED-43cb-92C2-25804820EDAC}">
              <c15:datalabelsRange>
                <c15:f>Chart!$AQ$93</c15:f>
                <c15:dlblRangeCache>
                  <c:ptCount val="1"/>
                  <c:pt idx="0">
                    <c:v>7%</c:v>
                  </c:pt>
                </c15:dlblRangeCache>
              </c15:datalabelsRange>
            </c:ext>
            <c:ext xmlns:c16="http://schemas.microsoft.com/office/drawing/2014/chart" uri="{C3380CC4-5D6E-409C-BE32-E72D297353CC}">
              <c16:uniqueId val="{00000007-797A-4005-9ED5-559E18A691E2}"/>
            </c:ext>
          </c:extLst>
        </c:ser>
        <c:ser>
          <c:idx val="4"/>
          <c:order val="4"/>
          <c:tx>
            <c:strRef>
              <c:f>Chart!$AO$94</c:f>
              <c:strCache>
                <c:ptCount val="1"/>
                <c:pt idx="0">
                  <c:v>Chi phí sản xuất _Rữa</c:v>
                </c:pt>
              </c:strCache>
            </c:strRef>
          </c:tx>
          <c:spPr>
            <a:solidFill>
              <a:schemeClr val="accent5"/>
            </a:solidFill>
            <a:ln>
              <a:noFill/>
            </a:ln>
            <a:effectLst/>
          </c:spPr>
          <c:invertIfNegative val="0"/>
          <c:dLbls>
            <c:dLbl>
              <c:idx val="0"/>
              <c:tx>
                <c:rich>
                  <a:bodyPr/>
                  <a:lstStyle/>
                  <a:p>
                    <a:fld id="{E14F5823-89F3-4E8B-8056-C53FEF9C3EAD}" type="CELLRANGE">
                      <a:rPr lang="en-US" baseline="0"/>
                      <a:pPr/>
                      <a:t>[CELLRANGE]</a:t>
                    </a:fld>
                    <a:r>
                      <a:rPr lang="en-US" baseline="0"/>
                      <a:t>, </a:t>
                    </a:r>
                    <a:fld id="{8E526306-4FC0-4E27-8DE0-551F61E35DF4}" type="SERIESNAME">
                      <a:rPr lang="en-US" baseline="0"/>
                      <a:pPr/>
                      <a:t>[SERIES NAME]</a:t>
                    </a:fld>
                    <a:r>
                      <a:rPr lang="en-US" baseline="0"/>
                      <a:t>, </a:t>
                    </a:r>
                    <a:fld id="{10610F0C-4EE7-4CB0-A011-C2A2D62DB52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6042663148056517"/>
                      <c:h val="4.1990108618234795E-2"/>
                    </c:manualLayout>
                  </c15:layout>
                  <c15:dlblFieldTable/>
                  <c15:showDataLabelsRange val="1"/>
                </c:ext>
                <c:ext xmlns:c16="http://schemas.microsoft.com/office/drawing/2014/chart" uri="{C3380CC4-5D6E-409C-BE32-E72D297353CC}">
                  <c16:uniqueId val="{00000008-797A-4005-9ED5-559E18A691E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Chart!$AP$94</c:f>
              <c:numCache>
                <c:formatCode>_(* #,##0_);_(* \(#,##0\);_(* "-"??_);_(@_)</c:formatCode>
                <c:ptCount val="1"/>
                <c:pt idx="0">
                  <c:v>47.604735423545655</c:v>
                </c:pt>
              </c:numCache>
            </c:numRef>
          </c:val>
          <c:extLst>
            <c:ext xmlns:c15="http://schemas.microsoft.com/office/drawing/2012/chart" uri="{02D57815-91ED-43cb-92C2-25804820EDAC}">
              <c15:datalabelsRange>
                <c15:f>Chart!$AQ$94</c15:f>
                <c15:dlblRangeCache>
                  <c:ptCount val="1"/>
                  <c:pt idx="0">
                    <c:v>5%</c:v>
                  </c:pt>
                </c15:dlblRangeCache>
              </c15:datalabelsRange>
            </c:ext>
            <c:ext xmlns:c16="http://schemas.microsoft.com/office/drawing/2014/chart" uri="{C3380CC4-5D6E-409C-BE32-E72D297353CC}">
              <c16:uniqueId val="{00000009-797A-4005-9ED5-559E18A691E2}"/>
            </c:ext>
          </c:extLst>
        </c:ser>
        <c:ser>
          <c:idx val="5"/>
          <c:order val="5"/>
          <c:tx>
            <c:strRef>
              <c:f>Chart!$AO$95</c:f>
              <c:strCache>
                <c:ptCount val="1"/>
                <c:pt idx="0">
                  <c:v>Chi phí sản xuất _Tạo hạt</c:v>
                </c:pt>
              </c:strCache>
            </c:strRef>
          </c:tx>
          <c:spPr>
            <a:solidFill>
              <a:schemeClr val="accent6"/>
            </a:solidFill>
            <a:ln>
              <a:noFill/>
            </a:ln>
            <a:effectLst/>
          </c:spPr>
          <c:invertIfNegative val="0"/>
          <c:dLbls>
            <c:dLbl>
              <c:idx val="0"/>
              <c:tx>
                <c:rich>
                  <a:bodyPr/>
                  <a:lstStyle/>
                  <a:p>
                    <a:fld id="{B4F2754B-2990-4938-A2F8-5461CA84E82F}" type="CELLRANGE">
                      <a:rPr lang="en-US" baseline="0"/>
                      <a:pPr/>
                      <a:t>[CELLRANGE]</a:t>
                    </a:fld>
                    <a:r>
                      <a:rPr lang="en-US" baseline="0"/>
                      <a:t>, </a:t>
                    </a:r>
                    <a:fld id="{63BA38BB-87AA-4800-B997-49844C0F8FAC}" type="SERIESNAME">
                      <a:rPr lang="en-US" baseline="0"/>
                      <a:pPr/>
                      <a:t>[SERIES NAME]</a:t>
                    </a:fld>
                    <a:r>
                      <a:rPr lang="en-US" baseline="0"/>
                      <a:t>, </a:t>
                    </a:r>
                    <a:fld id="{2EE64D0C-8F18-44DF-A2E5-211FBD67000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575155313651103"/>
                      <c:h val="6.0462795695735469E-2"/>
                    </c:manualLayout>
                  </c15:layout>
                  <c15:dlblFieldTable/>
                  <c15:showDataLabelsRange val="1"/>
                </c:ext>
                <c:ext xmlns:c16="http://schemas.microsoft.com/office/drawing/2014/chart" uri="{C3380CC4-5D6E-409C-BE32-E72D297353CC}">
                  <c16:uniqueId val="{0000000E-797A-4005-9ED5-559E18A691E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Chart!$AP$95</c:f>
              <c:numCache>
                <c:formatCode>_(* #,##0_);_(* \(#,##0\);_(* "-"??_);_(@_)</c:formatCode>
                <c:ptCount val="1"/>
                <c:pt idx="0">
                  <c:v>75.507147348300833</c:v>
                </c:pt>
              </c:numCache>
            </c:numRef>
          </c:val>
          <c:extLst>
            <c:ext xmlns:c15="http://schemas.microsoft.com/office/drawing/2012/chart" uri="{02D57815-91ED-43cb-92C2-25804820EDAC}">
              <c15:datalabelsRange>
                <c15:f>Chart!$AQ$95</c15:f>
                <c15:dlblRangeCache>
                  <c:ptCount val="1"/>
                  <c:pt idx="0">
                    <c:v>7%</c:v>
                  </c:pt>
                </c15:dlblRangeCache>
              </c15:datalabelsRange>
            </c:ext>
            <c:ext xmlns:c16="http://schemas.microsoft.com/office/drawing/2014/chart" uri="{C3380CC4-5D6E-409C-BE32-E72D297353CC}">
              <c16:uniqueId val="{0000000A-797A-4005-9ED5-559E18A691E2}"/>
            </c:ext>
          </c:extLst>
        </c:ser>
        <c:ser>
          <c:idx val="6"/>
          <c:order val="6"/>
          <c:tx>
            <c:strRef>
              <c:f>Chart!$AO$96</c:f>
              <c:strCache>
                <c:ptCount val="1"/>
                <c:pt idx="0">
                  <c:v>Chi phí sản xuất _Nâng IV</c:v>
                </c:pt>
              </c:strCache>
            </c:strRef>
          </c:tx>
          <c:spPr>
            <a:solidFill>
              <a:schemeClr val="accent1">
                <a:lumMod val="6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F770C218-3CEE-44CA-9F2A-DFC720FDFD2D}" type="CELLRANGE">
                      <a:rPr lang="en-US" sz="1000" b="1" baseline="0">
                        <a:solidFill>
                          <a:schemeClr val="bg1"/>
                        </a:solidFill>
                      </a:rPr>
                      <a:pPr>
                        <a:defRPr sz="1000" b="1">
                          <a:solidFill>
                            <a:schemeClr val="bg1"/>
                          </a:solidFill>
                        </a:defRPr>
                      </a:pPr>
                      <a:t>[CELLRANGE]</a:t>
                    </a:fld>
                    <a:r>
                      <a:rPr lang="en-US" sz="1000" b="1" baseline="0">
                        <a:solidFill>
                          <a:schemeClr val="bg1"/>
                        </a:solidFill>
                      </a:rPr>
                      <a:t>, </a:t>
                    </a:r>
                    <a:fld id="{93CCA05D-3D06-442D-B558-C321E0C80D62}" type="SERIESNAME">
                      <a:rPr lang="en-US" sz="1000" b="1" baseline="0">
                        <a:solidFill>
                          <a:schemeClr val="bg1"/>
                        </a:solidFill>
                      </a:rPr>
                      <a:pPr>
                        <a:defRPr sz="1000" b="1">
                          <a:solidFill>
                            <a:schemeClr val="bg1"/>
                          </a:solidFill>
                        </a:defRPr>
                      </a:pPr>
                      <a:t>[SERIES NAME]</a:t>
                    </a:fld>
                    <a:r>
                      <a:rPr lang="en-US" sz="1000" b="1" baseline="0">
                        <a:solidFill>
                          <a:schemeClr val="bg1"/>
                        </a:solidFill>
                      </a:rPr>
                      <a:t>, </a:t>
                    </a:r>
                    <a:fld id="{1F4FFFD4-A8B7-4103-9FC2-25FCD3EC9837}" type="VALUE">
                      <a:rPr lang="en-US" sz="1000" b="1" baseline="0">
                        <a:solidFill>
                          <a:schemeClr val="bg1"/>
                        </a:solidFill>
                      </a:rPr>
                      <a:pPr>
                        <a:defRPr sz="1000" b="1">
                          <a:solidFill>
                            <a:schemeClr val="bg1"/>
                          </a:solidFill>
                        </a:defRPr>
                      </a:pPr>
                      <a:t>[VALUE]</a:t>
                    </a:fld>
                    <a:endParaRPr lang="en-US" sz="10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117598548573309"/>
                      <c:h val="6.0462795695735469E-2"/>
                    </c:manualLayout>
                  </c15:layout>
                  <c15:dlblFieldTable/>
                  <c15:showDataLabelsRange val="1"/>
                </c:ext>
                <c:ext xmlns:c16="http://schemas.microsoft.com/office/drawing/2014/chart" uri="{C3380CC4-5D6E-409C-BE32-E72D297353CC}">
                  <c16:uniqueId val="{0000000F-797A-4005-9ED5-559E18A69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Chart!$AP$96</c:f>
              <c:numCache>
                <c:formatCode>_(* #,##0_);_(* \(#,##0\);_(* "-"??_);_(@_)</c:formatCode>
                <c:ptCount val="1"/>
                <c:pt idx="0">
                  <c:v>51.926880835744555</c:v>
                </c:pt>
              </c:numCache>
            </c:numRef>
          </c:val>
          <c:extLst>
            <c:ext xmlns:c15="http://schemas.microsoft.com/office/drawing/2012/chart" uri="{02D57815-91ED-43cb-92C2-25804820EDAC}">
              <c15:datalabelsRange>
                <c15:f>Chart!$AQ$96</c15:f>
                <c15:dlblRangeCache>
                  <c:ptCount val="1"/>
                  <c:pt idx="0">
                    <c:v>5%</c:v>
                  </c:pt>
                </c15:dlblRangeCache>
              </c15:datalabelsRange>
            </c:ext>
            <c:ext xmlns:c16="http://schemas.microsoft.com/office/drawing/2014/chart" uri="{C3380CC4-5D6E-409C-BE32-E72D297353CC}">
              <c16:uniqueId val="{0000000B-797A-4005-9ED5-559E18A691E2}"/>
            </c:ext>
          </c:extLst>
        </c:ser>
        <c:ser>
          <c:idx val="7"/>
          <c:order val="7"/>
          <c:tx>
            <c:strRef>
              <c:f>Chart!$AO$97</c:f>
              <c:strCache>
                <c:ptCount val="1"/>
                <c:pt idx="0">
                  <c:v>Phó sản thu hồi</c:v>
                </c:pt>
              </c:strCache>
            </c:strRef>
          </c:tx>
          <c:spPr>
            <a:solidFill>
              <a:srgbClr val="C00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2422E320-B444-401F-9895-02AD323AA738}" type="CELLRANGE">
                      <a:rPr lang="en-US" sz="1200" b="1" baseline="0"/>
                      <a:pPr>
                        <a:defRPr sz="1200" b="1">
                          <a:solidFill>
                            <a:schemeClr val="bg1"/>
                          </a:solidFill>
                        </a:defRPr>
                      </a:pPr>
                      <a:t>[CELLRANGE]</a:t>
                    </a:fld>
                    <a:r>
                      <a:rPr lang="en-US" sz="1200" b="1" baseline="0"/>
                      <a:t>, </a:t>
                    </a:r>
                    <a:fld id="{EE6247DF-B8DD-487E-BBC5-3992131A3643}" type="SERIESNAME">
                      <a:rPr lang="en-US" sz="1200" b="1" baseline="0"/>
                      <a:pPr>
                        <a:defRPr sz="1200" b="1">
                          <a:solidFill>
                            <a:schemeClr val="bg1"/>
                          </a:solidFill>
                        </a:defRPr>
                      </a:pPr>
                      <a:t>[SERIES NAME]</a:t>
                    </a:fld>
                    <a:r>
                      <a:rPr lang="en-US" sz="1200" b="1" baseline="0"/>
                      <a:t>, </a:t>
                    </a:r>
                    <a:fld id="{0DFB86A3-B621-44B4-B3DB-B4A479B09830}"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6314970586618281"/>
                      <c:h val="4.1990108618234795E-2"/>
                    </c:manualLayout>
                  </c15:layout>
                  <c15:dlblFieldTable/>
                  <c15:showDataLabelsRange val="1"/>
                </c:ext>
                <c:ext xmlns:c16="http://schemas.microsoft.com/office/drawing/2014/chart" uri="{C3380CC4-5D6E-409C-BE32-E72D297353CC}">
                  <c16:uniqueId val="{0000000D-797A-4005-9ED5-559E18A691E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Chart!$AP$97</c:f>
              <c:numCache>
                <c:formatCode>_(* #,##0_);_(* \(#,##0\);_(* "-"??_);_(@_)</c:formatCode>
                <c:ptCount val="1"/>
                <c:pt idx="0">
                  <c:v>-50.00196722533731</c:v>
                </c:pt>
              </c:numCache>
            </c:numRef>
          </c:val>
          <c:extLst>
            <c:ext xmlns:c15="http://schemas.microsoft.com/office/drawing/2012/chart" uri="{02D57815-91ED-43cb-92C2-25804820EDAC}">
              <c15:datalabelsRange>
                <c15:f>Chart!$AQ$97</c15:f>
                <c15:dlblRangeCache>
                  <c:ptCount val="1"/>
                  <c:pt idx="0">
                    <c:v>-5%</c:v>
                  </c:pt>
                </c15:dlblRangeCache>
              </c15:datalabelsRange>
            </c:ext>
            <c:ext xmlns:c16="http://schemas.microsoft.com/office/drawing/2014/chart" uri="{C3380CC4-5D6E-409C-BE32-E72D297353CC}">
              <c16:uniqueId val="{0000000C-797A-4005-9ED5-559E18A691E2}"/>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WSS03G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Chart!$AO$134</c:f>
              <c:strCache>
                <c:ptCount val="1"/>
                <c:pt idx="0">
                  <c:v>Chi phí NVL</c:v>
                </c:pt>
              </c:strCache>
            </c:strRef>
          </c:tx>
          <c:spPr>
            <a:solidFill>
              <a:schemeClr val="accent1"/>
            </a:solidFill>
            <a:ln>
              <a:noFill/>
            </a:ln>
            <a:effectLst/>
          </c:spPr>
          <c:invertIfNegative val="0"/>
          <c:dLbls>
            <c:dLbl>
              <c:idx val="0"/>
              <c:layout>
                <c:manualLayout>
                  <c:x val="-1.7505585686526139E-3"/>
                  <c:y val="0"/>
                </c:manualLayout>
              </c:layout>
              <c:tx>
                <c:rich>
                  <a:bodyPr/>
                  <a:lstStyle/>
                  <a:p>
                    <a:fld id="{246859DF-25B9-44E0-8831-F8C8719D2178}" type="CELLRANGE">
                      <a:rPr lang="en-US" sz="1100" b="1" baseline="0"/>
                      <a:pPr/>
                      <a:t>[CELLRANGE]</a:t>
                    </a:fld>
                    <a:r>
                      <a:rPr lang="en-US" sz="1100" b="1" baseline="0"/>
                      <a:t>, </a:t>
                    </a:r>
                    <a:fld id="{7B131EE3-FAA1-4851-AC1B-51F70640ECC7}" type="SERIESNAME">
                      <a:rPr lang="en-US" sz="1100" b="1" baseline="0"/>
                      <a:pPr/>
                      <a:t>[SERIES NAME]</a:t>
                    </a:fld>
                    <a:r>
                      <a:rPr lang="en-US" sz="1100" b="1" baseline="0"/>
                      <a:t>, </a:t>
                    </a:r>
                    <a:fld id="{F9C3FBE2-506F-455C-B511-D21C54F876BE}" type="VALUE">
                      <a:rPr lang="en-US" sz="1100" b="1" baseline="0"/>
                      <a:pPr/>
                      <a:t>[VALUE]</a:t>
                    </a:fld>
                    <a:endParaRPr lang="en-US" sz="1100" b="1" baseline="0"/>
                  </a:p>
                </c:rich>
              </c:tx>
              <c:showLegendKey val="0"/>
              <c:showVal val="1"/>
              <c:showCatName val="0"/>
              <c:showSerName val="1"/>
              <c:showPercent val="0"/>
              <c:showBubbleSize val="0"/>
              <c:extLst>
                <c:ext xmlns:c15="http://schemas.microsoft.com/office/drawing/2012/chart" uri="{CE6537A1-D6FC-4f65-9D91-7224C49458BB}">
                  <c15:layout>
                    <c:manualLayout>
                      <c:w val="0.56423181095345964"/>
                      <c:h val="4.2672617958296105E-2"/>
                    </c:manualLayout>
                  </c15:layout>
                  <c15:dlblFieldTable/>
                  <c15:showDataLabelsRange val="1"/>
                </c:ext>
                <c:ext xmlns:c16="http://schemas.microsoft.com/office/drawing/2014/chart" uri="{C3380CC4-5D6E-409C-BE32-E72D297353CC}">
                  <c16:uniqueId val="{00000000-EF4A-49B5-BB0F-A7A3EF43A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Chart!$AP$134</c:f>
              <c:numCache>
                <c:formatCode>_(* #,##0_);_(* \(#,##0\);_(* "-"??_);_(@_)</c:formatCode>
                <c:ptCount val="1"/>
                <c:pt idx="0">
                  <c:v>554.7920391810876</c:v>
                </c:pt>
              </c:numCache>
            </c:numRef>
          </c:val>
          <c:extLst>
            <c:ext xmlns:c15="http://schemas.microsoft.com/office/drawing/2012/chart" uri="{02D57815-91ED-43cb-92C2-25804820EDAC}">
              <c15:datalabelsRange>
                <c15:f>Chart!$AQ$134</c15:f>
                <c15:dlblRangeCache>
                  <c:ptCount val="1"/>
                  <c:pt idx="0">
                    <c:v>57%</c:v>
                  </c:pt>
                </c15:dlblRangeCache>
              </c15:datalabelsRange>
            </c:ext>
            <c:ext xmlns:c16="http://schemas.microsoft.com/office/drawing/2014/chart" uri="{C3380CC4-5D6E-409C-BE32-E72D297353CC}">
              <c16:uniqueId val="{00000001-EF4A-49B5-BB0F-A7A3EF43AE52}"/>
            </c:ext>
          </c:extLst>
        </c:ser>
        <c:ser>
          <c:idx val="1"/>
          <c:order val="1"/>
          <c:tx>
            <c:strRef>
              <c:f>Chart!$AO$135</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5648F798-58E1-4AB0-A7DA-6DCE4E39A4E4}" type="CELLRANGE">
                      <a:rPr lang="en-US" sz="1100" b="1" baseline="0"/>
                      <a:pPr>
                        <a:defRPr sz="1100" b="1">
                          <a:solidFill>
                            <a:schemeClr val="bg1"/>
                          </a:solidFill>
                        </a:defRPr>
                      </a:pPr>
                      <a:t>[CELLRANGE]</a:t>
                    </a:fld>
                    <a:r>
                      <a:rPr lang="en-US" sz="1100" b="1" baseline="0"/>
                      <a:t>, </a:t>
                    </a:r>
                    <a:fld id="{3F783EF1-84FF-4006-A5E3-0C96F8C0FE46}" type="SERIESNAME">
                      <a:rPr lang="en-US" sz="1100" b="1" baseline="0"/>
                      <a:pPr>
                        <a:defRPr sz="1100" b="1">
                          <a:solidFill>
                            <a:schemeClr val="bg1"/>
                          </a:solidFill>
                        </a:defRPr>
                      </a:pPr>
                      <a:t>[SERIES NAME]</a:t>
                    </a:fld>
                    <a:r>
                      <a:rPr lang="en-US" sz="1100" b="1" baseline="0"/>
                      <a:t>, </a:t>
                    </a:r>
                    <a:fld id="{D4CDE4C6-6A33-4F4D-9FD0-53E8F2B8BD37}"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306275378205556"/>
                      <c:h val="4.2672617958296105E-2"/>
                    </c:manualLayout>
                  </c15:layout>
                  <c15:dlblFieldTable/>
                  <c15:showDataLabelsRange val="1"/>
                </c:ext>
                <c:ext xmlns:c16="http://schemas.microsoft.com/office/drawing/2014/chart" uri="{C3380CC4-5D6E-409C-BE32-E72D297353CC}">
                  <c16:uniqueId val="{00000002-EF4A-49B5-BB0F-A7A3EF43AE5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Chart!$AP$135</c:f>
              <c:numCache>
                <c:formatCode>_(* #,##0_);_(* \(#,##0\);_(* "-"??_);_(@_)</c:formatCode>
                <c:ptCount val="1"/>
                <c:pt idx="0">
                  <c:v>77.315651411300337</c:v>
                </c:pt>
              </c:numCache>
            </c:numRef>
          </c:val>
          <c:extLst>
            <c:ext xmlns:c15="http://schemas.microsoft.com/office/drawing/2012/chart" uri="{02D57815-91ED-43cb-92C2-25804820EDAC}">
              <c15:datalabelsRange>
                <c15:f>Chart!$AQ$135</c15:f>
                <c15:dlblRangeCache>
                  <c:ptCount val="1"/>
                  <c:pt idx="0">
                    <c:v>8%</c:v>
                  </c:pt>
                </c15:dlblRangeCache>
              </c15:datalabelsRange>
            </c:ext>
            <c:ext xmlns:c16="http://schemas.microsoft.com/office/drawing/2014/chart" uri="{C3380CC4-5D6E-409C-BE32-E72D297353CC}">
              <c16:uniqueId val="{00000003-EF4A-49B5-BB0F-A7A3EF43AE52}"/>
            </c:ext>
          </c:extLst>
        </c:ser>
        <c:ser>
          <c:idx val="2"/>
          <c:order val="2"/>
          <c:tx>
            <c:strRef>
              <c:f>Chart!$AO$136</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A3FBB89C-99A4-4B0A-8075-D3B2EB0A99A6}"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E36E9066-7E38-429F-8219-7EA0ED35787D}"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53F694C6-5869-4995-BD9D-49AC23420ACA}"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4826523905414968"/>
                      <c:h val="8.0218369521923072E-2"/>
                    </c:manualLayout>
                  </c15:layout>
                  <c15:dlblFieldTable/>
                  <c15:showDataLabelsRange val="1"/>
                </c:ext>
                <c:ext xmlns:c16="http://schemas.microsoft.com/office/drawing/2014/chart" uri="{C3380CC4-5D6E-409C-BE32-E72D297353CC}">
                  <c16:uniqueId val="{00000004-EF4A-49B5-BB0F-A7A3EF43A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Chart!$AP$136</c:f>
              <c:numCache>
                <c:formatCode>_(* #,##0_);_(* \(#,##0\);_(* "-"??_);_(@_)</c:formatCode>
                <c:ptCount val="1"/>
                <c:pt idx="0">
                  <c:v>141.04882352061546</c:v>
                </c:pt>
              </c:numCache>
            </c:numRef>
          </c:val>
          <c:extLst>
            <c:ext xmlns:c15="http://schemas.microsoft.com/office/drawing/2012/chart" uri="{02D57815-91ED-43cb-92C2-25804820EDAC}">
              <c15:datalabelsRange>
                <c15:f>Chart!$AQ$136</c15:f>
                <c15:dlblRangeCache>
                  <c:ptCount val="1"/>
                  <c:pt idx="0">
                    <c:v>15%</c:v>
                  </c:pt>
                </c15:dlblRangeCache>
              </c15:datalabelsRange>
            </c:ext>
            <c:ext xmlns:c16="http://schemas.microsoft.com/office/drawing/2014/chart" uri="{C3380CC4-5D6E-409C-BE32-E72D297353CC}">
              <c16:uniqueId val="{00000005-EF4A-49B5-BB0F-A7A3EF43AE52}"/>
            </c:ext>
          </c:extLst>
        </c:ser>
        <c:ser>
          <c:idx val="3"/>
          <c:order val="3"/>
          <c:tx>
            <c:strRef>
              <c:f>Chart!$AO$137</c:f>
              <c:strCache>
                <c:ptCount val="1"/>
                <c:pt idx="0">
                  <c:v>Chi phí sản xuất _Băm</c:v>
                </c:pt>
              </c:strCache>
            </c:strRef>
          </c:tx>
          <c:spPr>
            <a:solidFill>
              <a:schemeClr val="accent4"/>
            </a:solidFill>
            <a:ln>
              <a:noFill/>
            </a:ln>
            <a:effectLst/>
          </c:spPr>
          <c:invertIfNegative val="0"/>
          <c:dLbls>
            <c:dLbl>
              <c:idx val="0"/>
              <c:tx>
                <c:rich>
                  <a:bodyPr/>
                  <a:lstStyle/>
                  <a:p>
                    <a:fld id="{1B58C6FD-C857-4755-AF87-0D5959F346E2}" type="CELLRANGE">
                      <a:rPr lang="en-US" baseline="0"/>
                      <a:pPr/>
                      <a:t>[CELLRANGE]</a:t>
                    </a:fld>
                    <a:r>
                      <a:rPr lang="en-US" baseline="0"/>
                      <a:t>, </a:t>
                    </a:r>
                    <a:fld id="{7E66802A-4D85-4DDE-BA12-000F90DB6211}" type="SERIESNAME">
                      <a:rPr lang="en-US" baseline="0"/>
                      <a:pPr/>
                      <a:t>[SERIES NAME]</a:t>
                    </a:fld>
                    <a:r>
                      <a:rPr lang="en-US" baseline="0"/>
                      <a:t>, </a:t>
                    </a:r>
                    <a:fld id="{ED9C3671-1B5E-4450-8BAA-866DD9775298}"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4891335513938289"/>
                      <c:h val="6.1445561021820805E-2"/>
                    </c:manualLayout>
                  </c15:layout>
                  <c15:dlblFieldTable/>
                  <c15:showDataLabelsRange val="1"/>
                </c:ext>
                <c:ext xmlns:c16="http://schemas.microsoft.com/office/drawing/2014/chart" uri="{C3380CC4-5D6E-409C-BE32-E72D297353CC}">
                  <c16:uniqueId val="{00000006-EF4A-49B5-BB0F-A7A3EF43AE5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Chart!$AP$137</c:f>
              <c:numCache>
                <c:formatCode>_(* #,##0_);_(* \(#,##0\);_(* "-"??_);_(@_)</c:formatCode>
                <c:ptCount val="1"/>
                <c:pt idx="0">
                  <c:v>73.204033021178574</c:v>
                </c:pt>
              </c:numCache>
            </c:numRef>
          </c:val>
          <c:extLst>
            <c:ext xmlns:c15="http://schemas.microsoft.com/office/drawing/2012/chart" uri="{02D57815-91ED-43cb-92C2-25804820EDAC}">
              <c15:datalabelsRange>
                <c15:f>Chart!$AQ$137</c15:f>
                <c15:dlblRangeCache>
                  <c:ptCount val="1"/>
                  <c:pt idx="0">
                    <c:v>8%</c:v>
                  </c:pt>
                </c15:dlblRangeCache>
              </c15:datalabelsRange>
            </c:ext>
            <c:ext xmlns:c16="http://schemas.microsoft.com/office/drawing/2014/chart" uri="{C3380CC4-5D6E-409C-BE32-E72D297353CC}">
              <c16:uniqueId val="{00000007-EF4A-49B5-BB0F-A7A3EF43AE52}"/>
            </c:ext>
          </c:extLst>
        </c:ser>
        <c:ser>
          <c:idx val="4"/>
          <c:order val="4"/>
          <c:tx>
            <c:strRef>
              <c:f>Chart!$AO$138</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E40B5D6B-E150-4121-BBA9-F7EF9B9651A9}" type="CELLRANGE">
                      <a:rPr lang="en-US" sz="1100" b="1" baseline="0"/>
                      <a:pPr>
                        <a:defRPr sz="1100" b="1">
                          <a:solidFill>
                            <a:schemeClr val="bg1"/>
                          </a:solidFill>
                        </a:defRPr>
                      </a:pPr>
                      <a:t>[CELLRANGE]</a:t>
                    </a:fld>
                    <a:r>
                      <a:rPr lang="en-US" sz="1100" b="1" baseline="0"/>
                      <a:t>, </a:t>
                    </a:r>
                    <a:fld id="{84869D6F-C938-4523-A48D-6AF3459E07E8}" type="SERIESNAME">
                      <a:rPr lang="en-US" sz="1100" b="1" baseline="0"/>
                      <a:pPr>
                        <a:defRPr sz="1100" b="1">
                          <a:solidFill>
                            <a:schemeClr val="bg1"/>
                          </a:solidFill>
                        </a:defRPr>
                      </a:pPr>
                      <a:t>[SERIES NAME]</a:t>
                    </a:fld>
                    <a:r>
                      <a:rPr lang="en-US" sz="1100" b="1" baseline="0"/>
                      <a:t>, </a:t>
                    </a:r>
                    <a:fld id="{FF980A69-D738-41B1-87D9-F52EBCE260EF}"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075849542668474"/>
                      <c:h val="6.1445561021820805E-2"/>
                    </c:manualLayout>
                  </c15:layout>
                  <c15:dlblFieldTable/>
                  <c15:showDataLabelsRange val="1"/>
                </c:ext>
                <c:ext xmlns:c16="http://schemas.microsoft.com/office/drawing/2014/chart" uri="{C3380CC4-5D6E-409C-BE32-E72D297353CC}">
                  <c16:uniqueId val="{00000008-EF4A-49B5-BB0F-A7A3EF43A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Chart!$AP$138</c:f>
              <c:numCache>
                <c:formatCode>_(* #,##0_);_(* \(#,##0\);_(* "-"??_);_(@_)</c:formatCode>
                <c:ptCount val="1"/>
                <c:pt idx="0">
                  <c:v>46.373578472936714</c:v>
                </c:pt>
              </c:numCache>
            </c:numRef>
          </c:val>
          <c:extLst>
            <c:ext xmlns:c15="http://schemas.microsoft.com/office/drawing/2012/chart" uri="{02D57815-91ED-43cb-92C2-25804820EDAC}">
              <c15:datalabelsRange>
                <c15:f>Chart!$AQ$138</c15:f>
                <c15:dlblRangeCache>
                  <c:ptCount val="1"/>
                  <c:pt idx="0">
                    <c:v>5%</c:v>
                  </c:pt>
                </c15:dlblRangeCache>
              </c15:datalabelsRange>
            </c:ext>
            <c:ext xmlns:c16="http://schemas.microsoft.com/office/drawing/2014/chart" uri="{C3380CC4-5D6E-409C-BE32-E72D297353CC}">
              <c16:uniqueId val="{00000009-EF4A-49B5-BB0F-A7A3EF43AE52}"/>
            </c:ext>
          </c:extLst>
        </c:ser>
        <c:ser>
          <c:idx val="5"/>
          <c:order val="5"/>
          <c:tx>
            <c:strRef>
              <c:f>Chart!$AO$139</c:f>
              <c:strCache>
                <c:ptCount val="1"/>
                <c:pt idx="0">
                  <c:v>Chi phí sản xuất _Tạo hạt</c:v>
                </c:pt>
              </c:strCache>
            </c:strRef>
          </c:tx>
          <c:spPr>
            <a:solidFill>
              <a:schemeClr val="accent6"/>
            </a:solidFill>
            <a:ln>
              <a:noFill/>
            </a:ln>
            <a:effectLst/>
          </c:spPr>
          <c:invertIfNegative val="0"/>
          <c:dLbls>
            <c:dLbl>
              <c:idx val="0"/>
              <c:tx>
                <c:rich>
                  <a:bodyPr/>
                  <a:lstStyle/>
                  <a:p>
                    <a:fld id="{A9220515-C827-4318-A6C3-EE4E966D07D3}" type="CELLRANGE">
                      <a:rPr lang="en-US" baseline="0"/>
                      <a:pPr/>
                      <a:t>[CELLRANGE]</a:t>
                    </a:fld>
                    <a:r>
                      <a:rPr lang="en-US" baseline="0"/>
                      <a:t>, </a:t>
                    </a:r>
                    <a:fld id="{A4BF2A68-5A2B-460F-A517-2074C2478DC3}" type="SERIESNAME">
                      <a:rPr lang="en-US" baseline="0"/>
                      <a:pPr/>
                      <a:t>[SERIES NAME]</a:t>
                    </a:fld>
                    <a:r>
                      <a:rPr lang="en-US" baseline="0"/>
                      <a:t>, </a:t>
                    </a:r>
                    <a:fld id="{54559DFD-21F8-4803-9014-F0A1AA4367D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2398321757599939"/>
                      <c:h val="6.1445561021820805E-2"/>
                    </c:manualLayout>
                  </c15:layout>
                  <c15:dlblFieldTable/>
                  <c15:showDataLabelsRange val="1"/>
                </c:ext>
                <c:ext xmlns:c16="http://schemas.microsoft.com/office/drawing/2014/chart" uri="{C3380CC4-5D6E-409C-BE32-E72D297353CC}">
                  <c16:uniqueId val="{0000000F-EF4A-49B5-BB0F-A7A3EF43AE5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Chart!$AP$139</c:f>
              <c:numCache>
                <c:formatCode>_(* #,##0_);_(* \(#,##0\);_(* "-"??_);_(@_)</c:formatCode>
                <c:ptCount val="1"/>
                <c:pt idx="0">
                  <c:v>75.507147348300833</c:v>
                </c:pt>
              </c:numCache>
            </c:numRef>
          </c:val>
          <c:extLst>
            <c:ext xmlns:c15="http://schemas.microsoft.com/office/drawing/2012/chart" uri="{02D57815-91ED-43cb-92C2-25804820EDAC}">
              <c15:datalabelsRange>
                <c15:f>Chart!$AQ$139</c15:f>
                <c15:dlblRangeCache>
                  <c:ptCount val="1"/>
                  <c:pt idx="0">
                    <c:v>8%</c:v>
                  </c:pt>
                </c15:dlblRangeCache>
              </c15:datalabelsRange>
            </c:ext>
            <c:ext xmlns:c16="http://schemas.microsoft.com/office/drawing/2014/chart" uri="{C3380CC4-5D6E-409C-BE32-E72D297353CC}">
              <c16:uniqueId val="{0000000A-EF4A-49B5-BB0F-A7A3EF43AE52}"/>
            </c:ext>
          </c:extLst>
        </c:ser>
        <c:ser>
          <c:idx val="6"/>
          <c:order val="6"/>
          <c:tx>
            <c:strRef>
              <c:f>Chart!$AO$140</c:f>
              <c:strCache>
                <c:ptCount val="1"/>
                <c:pt idx="0">
                  <c:v>Chi phí sản xuất _Nâng IV</c:v>
                </c:pt>
              </c:strCache>
            </c:strRef>
          </c:tx>
          <c:spPr>
            <a:solidFill>
              <a:schemeClr val="accent1">
                <a:lumMod val="6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8B6EBC6D-A14F-4257-BE4C-2B6B021FF618}" type="CELLRANGE">
                      <a:rPr lang="en-US" sz="1000" b="1" baseline="0"/>
                      <a:pPr>
                        <a:defRPr sz="1000" b="1">
                          <a:solidFill>
                            <a:schemeClr val="bg1"/>
                          </a:solidFill>
                        </a:defRPr>
                      </a:pPr>
                      <a:t>[CELLRANGE]</a:t>
                    </a:fld>
                    <a:r>
                      <a:rPr lang="en-US" sz="1000" b="1" baseline="0"/>
                      <a:t>, </a:t>
                    </a:r>
                    <a:fld id="{B452D728-982C-4B3E-8D8E-EBAA703CC93C}" type="SERIESNAME">
                      <a:rPr lang="en-US" sz="1000" b="1" baseline="0"/>
                      <a:pPr>
                        <a:defRPr sz="1000" b="1">
                          <a:solidFill>
                            <a:schemeClr val="bg1"/>
                          </a:solidFill>
                        </a:defRPr>
                      </a:pPr>
                      <a:t>[SERIES NAME]</a:t>
                    </a:fld>
                    <a:r>
                      <a:rPr lang="en-US" sz="1000" b="1" baseline="0"/>
                      <a:t>, </a:t>
                    </a:r>
                    <a:fld id="{39BF7268-0ECF-48A2-A125-A051987DF71C}" type="VALUE">
                      <a:rPr lang="en-US" sz="1000" b="1" baseline="0"/>
                      <a:pPr>
                        <a:defRPr sz="1000" b="1">
                          <a:solidFill>
                            <a:schemeClr val="bg1"/>
                          </a:solidFill>
                        </a:defRPr>
                      </a:pPr>
                      <a:t>[VALUE]</a:t>
                    </a:fld>
                    <a:endParaRPr lang="en-US" sz="1000" b="1"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576576288457423"/>
                      <c:h val="6.1445561021820805E-2"/>
                    </c:manualLayout>
                  </c15:layout>
                  <c15:dlblFieldTable/>
                  <c15:showDataLabelsRange val="1"/>
                </c:ext>
                <c:ext xmlns:c16="http://schemas.microsoft.com/office/drawing/2014/chart" uri="{C3380CC4-5D6E-409C-BE32-E72D297353CC}">
                  <c16:uniqueId val="{0000000D-EF4A-49B5-BB0F-A7A3EF43A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Chart!$AP$140</c:f>
              <c:numCache>
                <c:formatCode>_(* #,##0_);_(* \(#,##0\);_(* "-"??_);_(@_)</c:formatCode>
                <c:ptCount val="1"/>
                <c:pt idx="0">
                  <c:v>51.926880835744555</c:v>
                </c:pt>
              </c:numCache>
            </c:numRef>
          </c:val>
          <c:extLst>
            <c:ext xmlns:c15="http://schemas.microsoft.com/office/drawing/2012/chart" uri="{02D57815-91ED-43cb-92C2-25804820EDAC}">
              <c15:datalabelsRange>
                <c15:f>Chart!$AQ$140</c15:f>
                <c15:dlblRangeCache>
                  <c:ptCount val="1"/>
                  <c:pt idx="0">
                    <c:v>5%</c:v>
                  </c:pt>
                </c15:dlblRangeCache>
              </c15:datalabelsRange>
            </c:ext>
            <c:ext xmlns:c16="http://schemas.microsoft.com/office/drawing/2014/chart" uri="{C3380CC4-5D6E-409C-BE32-E72D297353CC}">
              <c16:uniqueId val="{0000000B-EF4A-49B5-BB0F-A7A3EF43AE52}"/>
            </c:ext>
          </c:extLst>
        </c:ser>
        <c:ser>
          <c:idx val="7"/>
          <c:order val="7"/>
          <c:tx>
            <c:strRef>
              <c:f>Chart!$AO$141</c:f>
              <c:strCache>
                <c:ptCount val="1"/>
                <c:pt idx="0">
                  <c:v>Phó sản thu hồi</c:v>
                </c:pt>
              </c:strCache>
            </c:strRef>
          </c:tx>
          <c:spPr>
            <a:solidFill>
              <a:schemeClr val="accent2">
                <a:lumMod val="60000"/>
              </a:schemeClr>
            </a:solidFill>
            <a:ln>
              <a:noFill/>
            </a:ln>
            <a:effectLst/>
          </c:spPr>
          <c:invertIfNegative val="0"/>
          <c:dLbls>
            <c:dLbl>
              <c:idx val="0"/>
              <c:tx>
                <c:rich>
                  <a:bodyPr/>
                  <a:lstStyle/>
                  <a:p>
                    <a:fld id="{BB633C83-9474-48A4-BC51-163D5CDD9FDA}" type="CELLRANGE">
                      <a:rPr lang="en-US" baseline="0"/>
                      <a:pPr/>
                      <a:t>[CELLRANGE]</a:t>
                    </a:fld>
                    <a:r>
                      <a:rPr lang="en-US" baseline="0"/>
                      <a:t>, </a:t>
                    </a:r>
                    <a:fld id="{A819FA5E-C39C-43A4-A6EF-E6F552AE0E47}" type="SERIESNAME">
                      <a:rPr lang="en-US" baseline="0"/>
                      <a:pPr/>
                      <a:t>[SERIES NAME]</a:t>
                    </a:fld>
                    <a:r>
                      <a:rPr lang="en-US" baseline="0"/>
                      <a:t>, </a:t>
                    </a:r>
                    <a:fld id="{51C482A1-118B-470E-9FF7-F9B0A0DEE61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7151492861569816"/>
                      <c:h val="4.2672617958296105E-2"/>
                    </c:manualLayout>
                  </c15:layout>
                  <c15:dlblFieldTable/>
                  <c15:showDataLabelsRange val="1"/>
                </c:ext>
                <c:ext xmlns:c16="http://schemas.microsoft.com/office/drawing/2014/chart" uri="{C3380CC4-5D6E-409C-BE32-E72D297353CC}">
                  <c16:uniqueId val="{0000000E-EF4A-49B5-BB0F-A7A3EF43AE5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Chart!$AP$141</c:f>
              <c:numCache>
                <c:formatCode>_(* #,##0_);_(* \(#,##0\);_(* "-"??_);_(@_)</c:formatCode>
                <c:ptCount val="1"/>
                <c:pt idx="0">
                  <c:v>-49.022877292579359</c:v>
                </c:pt>
              </c:numCache>
            </c:numRef>
          </c:val>
          <c:extLst>
            <c:ext xmlns:c15="http://schemas.microsoft.com/office/drawing/2012/chart" uri="{02D57815-91ED-43cb-92C2-25804820EDAC}">
              <c15:datalabelsRange>
                <c15:f>Chart!$AQ$141</c15:f>
                <c15:dlblRangeCache>
                  <c:ptCount val="1"/>
                  <c:pt idx="0">
                    <c:v>-5%</c:v>
                  </c:pt>
                </c15:dlblRangeCache>
              </c15:datalabelsRange>
            </c:ext>
            <c:ext xmlns:c16="http://schemas.microsoft.com/office/drawing/2014/chart" uri="{C3380CC4-5D6E-409C-BE32-E72D297353CC}">
              <c16:uniqueId val="{0000000C-EF4A-49B5-BB0F-A7A3EF43AE52}"/>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iSS01G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408695652173914"/>
          <c:w val="0.75475634761530896"/>
          <c:h val="0.78124006238350641"/>
        </c:manualLayout>
      </c:layout>
      <c:barChart>
        <c:barDir val="col"/>
        <c:grouping val="percentStacked"/>
        <c:varyColors val="0"/>
        <c:ser>
          <c:idx val="0"/>
          <c:order val="0"/>
          <c:tx>
            <c:strRef>
              <c:f>Chart!$BQ$46</c:f>
              <c:strCache>
                <c:ptCount val="1"/>
                <c:pt idx="0">
                  <c:v>Chi phí NVL</c:v>
                </c:pt>
              </c:strCache>
            </c:strRef>
          </c:tx>
          <c:spPr>
            <a:solidFill>
              <a:srgbClr val="FFC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66D0-4A23-A595-CB31B246DB4B}"/>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7C57FE1E-FBC0-48EC-8E7A-5CC330E3A278}" type="CELLRANGE">
                      <a:rPr lang="en-US" sz="1200" b="1" baseline="0"/>
                      <a:pPr>
                        <a:defRPr sz="1200" b="1">
                          <a:solidFill>
                            <a:schemeClr val="bg1"/>
                          </a:solidFill>
                        </a:defRPr>
                      </a:pPr>
                      <a:t>[CELLRANGE]</a:t>
                    </a:fld>
                    <a:r>
                      <a:rPr lang="en-US" sz="1200" b="1" baseline="0"/>
                      <a:t>, </a:t>
                    </a:r>
                    <a:fld id="{DAD1BB81-BCE4-4B21-9DF2-57F677E3C987}" type="SERIESNAME">
                      <a:rPr lang="en-US" sz="1200" b="1" baseline="0"/>
                      <a:pPr>
                        <a:defRPr sz="1200" b="1">
                          <a:solidFill>
                            <a:schemeClr val="bg1"/>
                          </a:solidFill>
                        </a:defRPr>
                      </a:pPr>
                      <a:t>[SERIES NAME]</a:t>
                    </a:fld>
                    <a:r>
                      <a:rPr lang="en-US" sz="1200" b="1" baseline="0"/>
                      <a:t>, </a:t>
                    </a:r>
                    <a:fld id="{711C17AE-5611-4EE7-ADAC-D63BDC8F3518}"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428863260437067"/>
                      <c:h val="4.8251207729468601E-2"/>
                    </c:manualLayout>
                  </c15:layout>
                  <c15:dlblFieldTable/>
                  <c15:showDataLabelsRange val="1"/>
                </c:ext>
                <c:ext xmlns:c16="http://schemas.microsoft.com/office/drawing/2014/chart" uri="{C3380CC4-5D6E-409C-BE32-E72D297353CC}">
                  <c16:uniqueId val="{00000000-66D0-4A23-A595-CB31B246D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Chart!$BR$46</c:f>
              <c:numCache>
                <c:formatCode>_(* #,##0_);_(* \(#,##0\);_(* "-"??_);_(@_)</c:formatCode>
                <c:ptCount val="1"/>
                <c:pt idx="0">
                  <c:v>584.25002356238429</c:v>
                </c:pt>
              </c:numCache>
            </c:numRef>
          </c:val>
          <c:extLst>
            <c:ext xmlns:c15="http://schemas.microsoft.com/office/drawing/2012/chart" uri="{02D57815-91ED-43cb-92C2-25804820EDAC}">
              <c15:datalabelsRange>
                <c15:f>Chart!$BS$46</c15:f>
                <c15:dlblRangeCache>
                  <c:ptCount val="1"/>
                  <c:pt idx="0">
                    <c:v>41%</c:v>
                  </c:pt>
                </c15:dlblRangeCache>
              </c15:datalabelsRange>
            </c:ext>
            <c:ext xmlns:c16="http://schemas.microsoft.com/office/drawing/2014/chart" uri="{C3380CC4-5D6E-409C-BE32-E72D297353CC}">
              <c16:uniqueId val="{00000001-66D0-4A23-A595-CB31B246DB4B}"/>
            </c:ext>
          </c:extLst>
        </c:ser>
        <c:ser>
          <c:idx val="1"/>
          <c:order val="1"/>
          <c:tx>
            <c:strRef>
              <c:f>Chart!$BQ$47</c:f>
              <c:strCache>
                <c:ptCount val="1"/>
                <c:pt idx="0">
                  <c:v>Chi phí sản xuất</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66D0-4A23-A595-CB31B246DB4B}"/>
              </c:ext>
            </c:extLst>
          </c:dPt>
          <c:dLbls>
            <c:dLbl>
              <c:idx val="0"/>
              <c:tx>
                <c:rich>
                  <a:bodyPr/>
                  <a:lstStyle/>
                  <a:p>
                    <a:fld id="{4FDD2F00-1D90-4DA2-B8D3-33220BF71B68}" type="CELLRANGE">
                      <a:rPr lang="en-US" sz="1100" b="1" baseline="0"/>
                      <a:pPr/>
                      <a:t>[CELLRANGE]</a:t>
                    </a:fld>
                    <a:r>
                      <a:rPr lang="en-US" sz="1100" b="1" baseline="0"/>
                      <a:t>, </a:t>
                    </a:r>
                    <a:fld id="{753C4623-D6F5-4BD3-AE4F-D27E584CE346}" type="SERIESNAME">
                      <a:rPr lang="en-US" sz="1100" b="1" baseline="0"/>
                      <a:pPr/>
                      <a:t>[SERIES NAME]</a:t>
                    </a:fld>
                    <a:r>
                      <a:rPr lang="en-US" sz="1100" b="1" baseline="0"/>
                      <a:t>, </a:t>
                    </a:r>
                    <a:fld id="{66CCCCE6-7106-4A5D-BDEC-751659A5BDAE}" type="VALUE">
                      <a:rPr lang="en-US" sz="1100" b="1" baseline="0"/>
                      <a:pPr/>
                      <a:t>[VALUE]</a:t>
                    </a:fld>
                    <a:endParaRPr lang="en-US" sz="1100" b="1" baseline="0"/>
                  </a:p>
                </c:rich>
              </c:tx>
              <c:showLegendKey val="0"/>
              <c:showVal val="1"/>
              <c:showCatName val="0"/>
              <c:showSerName val="1"/>
              <c:showPercent val="0"/>
              <c:showBubbleSize val="0"/>
              <c:extLst>
                <c:ext xmlns:c15="http://schemas.microsoft.com/office/drawing/2012/chart" uri="{CE6537A1-D6FC-4f65-9D91-7224C49458BB}">
                  <c15:layout>
                    <c:manualLayout>
                      <c:w val="0.50007759678636488"/>
                      <c:h val="6.9478336947012054E-2"/>
                    </c:manualLayout>
                  </c15:layout>
                  <c15:dlblFieldTable/>
                  <c15:showDataLabelsRange val="1"/>
                </c:ext>
                <c:ext xmlns:c16="http://schemas.microsoft.com/office/drawing/2014/chart" uri="{C3380CC4-5D6E-409C-BE32-E72D297353CC}">
                  <c16:uniqueId val="{00000002-66D0-4A23-A595-CB31B246DB4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Chart!$BR$47</c:f>
              <c:numCache>
                <c:formatCode>_(* #,##0_);_(* \(#,##0\);_(* "-"??_);_(@_)</c:formatCode>
                <c:ptCount val="1"/>
                <c:pt idx="0">
                  <c:v>437.97215413372527</c:v>
                </c:pt>
              </c:numCache>
            </c:numRef>
          </c:val>
          <c:extLst>
            <c:ext xmlns:c15="http://schemas.microsoft.com/office/drawing/2012/chart" uri="{02D57815-91ED-43cb-92C2-25804820EDAC}">
              <c15:datalabelsRange>
                <c15:f>Chart!$BS$47</c15:f>
                <c15:dlblRangeCache>
                  <c:ptCount val="1"/>
                  <c:pt idx="0">
                    <c:v>31%</c:v>
                  </c:pt>
                </c15:dlblRangeCache>
              </c15:datalabelsRange>
            </c:ext>
            <c:ext xmlns:c16="http://schemas.microsoft.com/office/drawing/2014/chart" uri="{C3380CC4-5D6E-409C-BE32-E72D297353CC}">
              <c16:uniqueId val="{00000003-66D0-4A23-A595-CB31B246DB4B}"/>
            </c:ext>
          </c:extLst>
        </c:ser>
        <c:ser>
          <c:idx val="2"/>
          <c:order val="2"/>
          <c:tx>
            <c:strRef>
              <c:f>Chart!$BQ$48</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E55A7D06-1F01-442D-9F7F-D4B58226858B}" type="CELLRANGE">
                      <a:rPr lang="en-US" sz="900" b="1" baseline="0">
                        <a:solidFill>
                          <a:schemeClr val="bg1"/>
                        </a:solidFill>
                      </a:rPr>
                      <a:pPr>
                        <a:defRPr b="1">
                          <a:solidFill>
                            <a:schemeClr val="bg1"/>
                          </a:solidFill>
                        </a:defRPr>
                      </a:pPr>
                      <a:t>[CELLRANGE]</a:t>
                    </a:fld>
                    <a:r>
                      <a:rPr lang="en-US" sz="900" b="1" baseline="0">
                        <a:solidFill>
                          <a:schemeClr val="bg1"/>
                        </a:solidFill>
                      </a:rPr>
                      <a:t>, </a:t>
                    </a:r>
                    <a:fld id="{513BBD1F-E630-4DFD-96C7-34599D6436DC}" type="SERIESNAME">
                      <a:rPr lang="en-US" sz="900" b="1" baseline="0">
                        <a:solidFill>
                          <a:schemeClr val="bg1"/>
                        </a:solidFill>
                      </a:rPr>
                      <a:pPr>
                        <a:defRPr b="1">
                          <a:solidFill>
                            <a:schemeClr val="bg1"/>
                          </a:solidFill>
                        </a:defRPr>
                      </a:pPr>
                      <a:t>[SERIES NAME]</a:t>
                    </a:fld>
                    <a:r>
                      <a:rPr lang="en-US" sz="900" b="1" baseline="0">
                        <a:solidFill>
                          <a:schemeClr val="bg1"/>
                        </a:solidFill>
                      </a:rPr>
                      <a:t>, </a:t>
                    </a:r>
                    <a:fld id="{838270D7-C5E6-4355-8F09-C06C8DBE9BF3}" type="VALUE">
                      <a:rPr lang="en-US" sz="900" b="1" baseline="0">
                        <a:solidFill>
                          <a:schemeClr val="bg1"/>
                        </a:solidFill>
                      </a:rPr>
                      <a:pPr>
                        <a:defRPr b="1">
                          <a:solidFill>
                            <a:schemeClr val="bg1"/>
                          </a:solidFill>
                        </a:defRPr>
                      </a:pPr>
                      <a:t>[VALUE]</a:t>
                    </a:fld>
                    <a:endParaRPr lang="en-US" sz="900" b="1"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5006776379477248"/>
                      <c:h val="5.5951766898702869E-2"/>
                    </c:manualLayout>
                  </c15:layout>
                  <c15:dlblFieldTable/>
                  <c15:showDataLabelsRange val="1"/>
                </c:ext>
                <c:ext xmlns:c16="http://schemas.microsoft.com/office/drawing/2014/chart" uri="{C3380CC4-5D6E-409C-BE32-E72D297353CC}">
                  <c16:uniqueId val="{00000004-66D0-4A23-A595-CB31B246DB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Chart!$BR$48</c:f>
              <c:numCache>
                <c:formatCode>_(* #,##0_);_(* \(#,##0\);_(* "-"??_);_(@_)</c:formatCode>
                <c:ptCount val="1"/>
                <c:pt idx="0">
                  <c:v>30.439850080353754</c:v>
                </c:pt>
              </c:numCache>
            </c:numRef>
          </c:val>
          <c:extLst>
            <c:ext xmlns:c15="http://schemas.microsoft.com/office/drawing/2012/chart" uri="{02D57815-91ED-43cb-92C2-25804820EDAC}">
              <c15:datalabelsRange>
                <c15:f>Chart!$BS$49</c15:f>
                <c15:dlblRangeCache>
                  <c:ptCount val="1"/>
                  <c:pt idx="0">
                    <c:v>10%</c:v>
                  </c:pt>
                </c15:dlblRangeCache>
              </c15:datalabelsRange>
            </c:ext>
            <c:ext xmlns:c16="http://schemas.microsoft.com/office/drawing/2014/chart" uri="{C3380CC4-5D6E-409C-BE32-E72D297353CC}">
              <c16:uniqueId val="{00000005-66D0-4A23-A595-CB31B246DB4B}"/>
            </c:ext>
          </c:extLst>
        </c:ser>
        <c:ser>
          <c:idx val="3"/>
          <c:order val="3"/>
          <c:tx>
            <c:strRef>
              <c:f>Chart!$BQ$49</c:f>
              <c:strCache>
                <c:ptCount val="1"/>
                <c:pt idx="0">
                  <c:v>CP QL + bán hàng + lãi vay</c:v>
                </c:pt>
              </c:strCache>
            </c:strRef>
          </c:tx>
          <c:spPr>
            <a:solidFill>
              <a:schemeClr val="accent4"/>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665037998033395"/>
                      <c:h val="6.9478336947012054E-2"/>
                    </c:manualLayout>
                  </c15:layout>
                </c:ext>
                <c:ext xmlns:c16="http://schemas.microsoft.com/office/drawing/2014/chart" uri="{C3380CC4-5D6E-409C-BE32-E72D297353CC}">
                  <c16:uniqueId val="{00000006-66D0-4A23-A595-CB31B246D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Chart!$BR$49</c:f>
              <c:numCache>
                <c:formatCode>_(* #,##0_);_(* \(#,##0\);_(* "-"??_);_(@_)</c:formatCode>
                <c:ptCount val="1"/>
                <c:pt idx="0">
                  <c:v>140</c:v>
                </c:pt>
              </c:numCache>
            </c:numRef>
          </c:val>
          <c:extLst>
            <c:ext xmlns:c16="http://schemas.microsoft.com/office/drawing/2014/chart" uri="{C3380CC4-5D6E-409C-BE32-E72D297353CC}">
              <c16:uniqueId val="{00000007-66D0-4A23-A595-CB31B246DB4B}"/>
            </c:ext>
          </c:extLst>
        </c:ser>
        <c:ser>
          <c:idx val="4"/>
          <c:order val="4"/>
          <c:tx>
            <c:strRef>
              <c:f>Chart!$BQ$50</c:f>
              <c:strCache>
                <c:ptCount val="1"/>
                <c:pt idx="0">
                  <c:v>Lợi nhuận MM</c:v>
                </c:pt>
              </c:strCache>
            </c:strRef>
          </c:tx>
          <c:spPr>
            <a:solidFill>
              <a:schemeClr val="accent5"/>
            </a:solidFill>
            <a:ln>
              <a:noFill/>
            </a:ln>
            <a:effectLst/>
          </c:spPr>
          <c:invertIfNegative val="0"/>
          <c:dLbls>
            <c:dLbl>
              <c:idx val="0"/>
              <c:tx>
                <c:rich>
                  <a:bodyPr/>
                  <a:lstStyle/>
                  <a:p>
                    <a:fld id="{A23E29A5-3FEB-47B1-A095-B7F605CCC2FB}" type="CELLRANGE">
                      <a:rPr lang="en-US" baseline="0"/>
                      <a:pPr/>
                      <a:t>[CELLRANGE]</a:t>
                    </a:fld>
                    <a:r>
                      <a:rPr lang="en-US" baseline="0"/>
                      <a:t>, </a:t>
                    </a:r>
                    <a:fld id="{76A1DD8F-2AC2-4B75-A5B4-57E3BE355A9F}" type="SERIESNAME">
                      <a:rPr lang="en-US" baseline="0"/>
                      <a:pPr/>
                      <a:t>[SERIES NAME]</a:t>
                    </a:fld>
                    <a:r>
                      <a:rPr lang="en-US" baseline="0"/>
                      <a:t>, </a:t>
                    </a:r>
                    <a:fld id="{12F3DEBC-BE7D-4FA6-A9B3-12D04C1F1B5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3312681510164572"/>
                      <c:h val="6.9478336947012054E-2"/>
                    </c:manualLayout>
                  </c15:layout>
                  <c15:dlblFieldTable/>
                  <c15:showDataLabelsRange val="1"/>
                </c:ext>
                <c:ext xmlns:c16="http://schemas.microsoft.com/office/drawing/2014/chart" uri="{C3380CC4-5D6E-409C-BE32-E72D297353CC}">
                  <c16:uniqueId val="{00000008-66D0-4A23-A595-CB31B246D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Chart!$BR$50</c:f>
              <c:numCache>
                <c:formatCode>_(* #,##0_);_(* \(#,##0\);_(* "-"??_);_(@_)</c:formatCode>
                <c:ptCount val="1"/>
                <c:pt idx="0">
                  <c:v>217.33797222353655</c:v>
                </c:pt>
              </c:numCache>
            </c:numRef>
          </c:val>
          <c:extLst>
            <c:ext xmlns:c15="http://schemas.microsoft.com/office/drawing/2012/chart" uri="{02D57815-91ED-43cb-92C2-25804820EDAC}">
              <c15:datalabelsRange>
                <c15:f>Chart!$BS$50</c15:f>
                <c15:dlblRangeCache>
                  <c:ptCount val="1"/>
                  <c:pt idx="0">
                    <c:v>15%</c:v>
                  </c:pt>
                </c15:dlblRangeCache>
              </c15:datalabelsRange>
            </c:ext>
            <c:ext xmlns:c16="http://schemas.microsoft.com/office/drawing/2014/chart" uri="{C3380CC4-5D6E-409C-BE32-E72D297353CC}">
              <c16:uniqueId val="{00000009-66D0-4A23-A595-CB31B246DB4B}"/>
            </c:ext>
          </c:extLst>
        </c:ser>
        <c:ser>
          <c:idx val="5"/>
          <c:order val="5"/>
          <c:tx>
            <c:strRef>
              <c:f>Chart!$BQ$51</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DC6AFBC-29FF-42F7-9BEC-C613B1E8D7C0}" type="CELLRANGE">
                      <a:rPr lang="en-US" baseline="0">
                        <a:solidFill>
                          <a:schemeClr val="bg1"/>
                        </a:solidFill>
                      </a:rPr>
                      <a:pPr>
                        <a:defRPr>
                          <a:solidFill>
                            <a:schemeClr val="bg1"/>
                          </a:solidFill>
                        </a:defRPr>
                      </a:pPr>
                      <a:t>[CELLRANGE]</a:t>
                    </a:fld>
                    <a:r>
                      <a:rPr lang="en-US" baseline="0">
                        <a:solidFill>
                          <a:schemeClr val="bg1"/>
                        </a:solidFill>
                      </a:rPr>
                      <a:t>, </a:t>
                    </a:r>
                    <a:fld id="{F6013C0E-F6C5-4F5B-8EE3-AD78D2F94F16}" type="SERIESNAME">
                      <a:rPr lang="en-US" baseline="0">
                        <a:solidFill>
                          <a:schemeClr val="bg1"/>
                        </a:solidFill>
                      </a:rPr>
                      <a:pPr>
                        <a:defRPr>
                          <a:solidFill>
                            <a:schemeClr val="bg1"/>
                          </a:solidFill>
                        </a:defRPr>
                      </a:pPr>
                      <a:t>[SERIES NAME]</a:t>
                    </a:fld>
                    <a:r>
                      <a:rPr lang="en-US" baseline="0">
                        <a:solidFill>
                          <a:schemeClr val="bg1"/>
                        </a:solidFill>
                      </a:rPr>
                      <a:t>, </a:t>
                    </a:r>
                    <a:fld id="{EE340A83-5E5B-484D-BAAF-97CDDBACB3E3}"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207163601161662"/>
                      <c:h val="4.8251207729468601E-2"/>
                    </c:manualLayout>
                  </c15:layout>
                  <c15:dlblFieldTable/>
                  <c15:showDataLabelsRange val="1"/>
                </c:ext>
                <c:ext xmlns:c16="http://schemas.microsoft.com/office/drawing/2014/chart" uri="{C3380CC4-5D6E-409C-BE32-E72D297353CC}">
                  <c16:uniqueId val="{0000000A-66D0-4A23-A595-CB31B246D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Chart!$BR$51</c:f>
              <c:numCache>
                <c:formatCode>_(* #,##0_);_(* \(#,##0\);_(* "-"??_);_(@_)</c:formatCode>
                <c:ptCount val="1"/>
                <c:pt idx="0">
                  <c:v>43.467594444707316</c:v>
                </c:pt>
              </c:numCache>
            </c:numRef>
          </c:val>
          <c:extLst>
            <c:ext xmlns:c15="http://schemas.microsoft.com/office/drawing/2012/chart" uri="{02D57815-91ED-43cb-92C2-25804820EDAC}">
              <c15:datalabelsRange>
                <c15:f>Chart!$BS$51</c15:f>
                <c15:dlblRangeCache>
                  <c:ptCount val="1"/>
                  <c:pt idx="0">
                    <c:v>3%</c:v>
                  </c:pt>
                </c15:dlblRangeCache>
              </c15:datalabelsRange>
            </c:ext>
            <c:ext xmlns:c16="http://schemas.microsoft.com/office/drawing/2014/chart" uri="{C3380CC4-5D6E-409C-BE32-E72D297353CC}">
              <c16:uniqueId val="{0000000B-66D0-4A23-A595-CB31B246DB4B}"/>
            </c:ext>
          </c:extLst>
        </c:ser>
        <c:ser>
          <c:idx val="6"/>
          <c:order val="6"/>
          <c:tx>
            <c:strRef>
              <c:f>Chart!$BQ$52</c:f>
              <c:strCache>
                <c:ptCount val="1"/>
                <c:pt idx="0">
                  <c:v>Lợi nhuận sau thuế</c:v>
                </c:pt>
              </c:strCache>
            </c:strRef>
          </c:tx>
          <c:spPr>
            <a:solidFill>
              <a:srgbClr val="0000FF"/>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8681693-D431-408E-8239-0DF655C930C2}" type="CELLRANGE">
                      <a:rPr lang="en-US" baseline="0">
                        <a:solidFill>
                          <a:schemeClr val="bg1"/>
                        </a:solidFill>
                      </a:rPr>
                      <a:pPr>
                        <a:defRPr>
                          <a:solidFill>
                            <a:schemeClr val="bg1"/>
                          </a:solidFill>
                        </a:defRPr>
                      </a:pPr>
                      <a:t>[CELLRANGE]</a:t>
                    </a:fld>
                    <a:r>
                      <a:rPr lang="en-US" baseline="0">
                        <a:solidFill>
                          <a:schemeClr val="bg1"/>
                        </a:solidFill>
                      </a:rPr>
                      <a:t>, </a:t>
                    </a:r>
                    <a:fld id="{C6F71C90-A249-438E-A012-3CE084D1B619}" type="SERIESNAME">
                      <a:rPr lang="en-US" baseline="0">
                        <a:solidFill>
                          <a:schemeClr val="bg1"/>
                        </a:solidFill>
                      </a:rPr>
                      <a:pPr>
                        <a:defRPr>
                          <a:solidFill>
                            <a:schemeClr val="bg1"/>
                          </a:solidFill>
                        </a:defRPr>
                      </a:pPr>
                      <a:t>[SERIES NAME]</a:t>
                    </a:fld>
                    <a:r>
                      <a:rPr lang="en-US" baseline="0">
                        <a:solidFill>
                          <a:schemeClr val="bg1"/>
                        </a:solidFill>
                      </a:rPr>
                      <a:t>, </a:t>
                    </a:r>
                    <a:fld id="{3D7F36A5-16BB-4027-AF1D-5C07E8565675}"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475314617618575"/>
                      <c:h val="6.9478336947012054E-2"/>
                    </c:manualLayout>
                  </c15:layout>
                  <c15:dlblFieldTable/>
                  <c15:showDataLabelsRange val="1"/>
                </c:ext>
                <c:ext xmlns:c16="http://schemas.microsoft.com/office/drawing/2014/chart" uri="{C3380CC4-5D6E-409C-BE32-E72D297353CC}">
                  <c16:uniqueId val="{0000000D-66D0-4A23-A595-CB31B246D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Chart!$BR$52</c:f>
              <c:numCache>
                <c:formatCode>_(* #,##0_);_(* \(#,##0\);_(* "-"??_);_(@_)</c:formatCode>
                <c:ptCount val="1"/>
                <c:pt idx="0">
                  <c:v>173.87037777882924</c:v>
                </c:pt>
              </c:numCache>
            </c:numRef>
          </c:val>
          <c:extLst>
            <c:ext xmlns:c15="http://schemas.microsoft.com/office/drawing/2012/chart" uri="{02D57815-91ED-43cb-92C2-25804820EDAC}">
              <c15:datalabelsRange>
                <c15:f>Chart!$BS$52</c15:f>
                <c15:dlblRangeCache>
                  <c:ptCount val="1"/>
                  <c:pt idx="0">
                    <c:v>12%</c:v>
                  </c:pt>
                </c15:dlblRangeCache>
              </c15:datalabelsRange>
            </c:ext>
            <c:ext xmlns:c16="http://schemas.microsoft.com/office/drawing/2014/chart" uri="{C3380CC4-5D6E-409C-BE32-E72D297353CC}">
              <c16:uniqueId val="{0000000E-66D0-4A23-A595-CB31B246DB4B}"/>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iSS1084G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Chart!$BQ$7</c:f>
              <c:strCache>
                <c:ptCount val="1"/>
                <c:pt idx="0">
                  <c:v>Chi phí NVL</c:v>
                </c:pt>
              </c:strCache>
            </c:strRef>
          </c:tx>
          <c:spPr>
            <a:solidFill>
              <a:schemeClr val="accent3">
                <a:lumMod val="60000"/>
                <a:lumOff val="40000"/>
              </a:schemeClr>
            </a:solidFill>
            <a:ln>
              <a:noFill/>
            </a:ln>
            <a:effectLst/>
          </c:spPr>
          <c:invertIfNegative val="0"/>
          <c:dLbls>
            <c:dLbl>
              <c:idx val="0"/>
              <c:layout>
                <c:manualLayout>
                  <c:x val="-7.016818817450643E-3"/>
                  <c:y val="-4.8733878487639288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218F686D-AC4F-4E33-9B2B-0D43909CA9C9}"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4DAB3C73-D276-4804-8D0F-E07F9CA3C79E}"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88755AA6-2BF3-46F5-8488-1F757B70E4C4}"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221140293833422"/>
                      <c:h val="4.0562831527877444E-2"/>
                    </c:manualLayout>
                  </c15:layout>
                  <c15:dlblFieldTable/>
                  <c15:showDataLabelsRange val="1"/>
                </c:ext>
                <c:ext xmlns:c16="http://schemas.microsoft.com/office/drawing/2014/chart" uri="{C3380CC4-5D6E-409C-BE32-E72D297353CC}">
                  <c16:uniqueId val="{00000000-F254-402F-B684-6991C900F2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Chart!$BR$7</c:f>
              <c:numCache>
                <c:formatCode>_(* #,##0_);_(* \(#,##0\);_(* "-"??_);_(@_)</c:formatCode>
                <c:ptCount val="1"/>
                <c:pt idx="0">
                  <c:v>597.18341139173708</c:v>
                </c:pt>
              </c:numCache>
            </c:numRef>
          </c:val>
          <c:extLst>
            <c:ext xmlns:c15="http://schemas.microsoft.com/office/drawing/2012/chart" uri="{02D57815-91ED-43cb-92C2-25804820EDAC}">
              <c15:datalabelsRange>
                <c15:f>Chart!$BG$7</c15:f>
                <c15:dlblRangeCache>
                  <c:ptCount val="1"/>
                  <c:pt idx="0">
                    <c:v>45%</c:v>
                  </c:pt>
                </c15:dlblRangeCache>
              </c15:datalabelsRange>
            </c:ext>
            <c:ext xmlns:c16="http://schemas.microsoft.com/office/drawing/2014/chart" uri="{C3380CC4-5D6E-409C-BE32-E72D297353CC}">
              <c16:uniqueId val="{00000001-F254-402F-B684-6991C900F272}"/>
            </c:ext>
          </c:extLst>
        </c:ser>
        <c:ser>
          <c:idx val="1"/>
          <c:order val="1"/>
          <c:tx>
            <c:strRef>
              <c:f>Chart!$BQ$8</c:f>
              <c:strCache>
                <c:ptCount val="1"/>
                <c:pt idx="0">
                  <c:v>Chi phí sản xuất</c:v>
                </c:pt>
              </c:strCache>
            </c:strRef>
          </c:tx>
          <c:spPr>
            <a:solidFill>
              <a:srgbClr val="FFC000"/>
            </a:solidFill>
            <a:ln>
              <a:noFill/>
            </a:ln>
            <a:effectLst/>
          </c:spPr>
          <c:invertIfNegative val="0"/>
          <c:dLbls>
            <c:dLbl>
              <c:idx val="0"/>
              <c:tx>
                <c:rich>
                  <a:bodyPr/>
                  <a:lstStyle/>
                  <a:p>
                    <a:fld id="{0CE913BD-50B7-4084-91CA-CA9DE62BA52C}" type="CELLRANGE">
                      <a:rPr lang="en-US" baseline="0"/>
                      <a:pPr/>
                      <a:t>[CELLRANGE]</a:t>
                    </a:fld>
                    <a:r>
                      <a:rPr lang="en-US" baseline="0"/>
                      <a:t>, </a:t>
                    </a:r>
                    <a:fld id="{2EAD4F5A-1313-4179-A983-878B25A307AB}" type="SERIESNAME">
                      <a:rPr lang="en-US" baseline="0"/>
                      <a:pPr/>
                      <a:t>[SERIES NAME]</a:t>
                    </a:fld>
                    <a:r>
                      <a:rPr lang="en-US" baseline="0"/>
                      <a:t>, </a:t>
                    </a:r>
                    <a:fld id="{97A8D6B7-5245-4E0B-BE53-09076E3EE89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711617034184063"/>
                      <c:h val="4.0562831527877444E-2"/>
                    </c:manualLayout>
                  </c15:layout>
                  <c15:dlblFieldTable/>
                  <c15:showDataLabelsRange val="1"/>
                </c:ext>
                <c:ext xmlns:c16="http://schemas.microsoft.com/office/drawing/2014/chart" uri="{C3380CC4-5D6E-409C-BE32-E72D297353CC}">
                  <c16:uniqueId val="{00000003-F254-402F-B684-6991C900F27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c:f>
              <c:numCache>
                <c:formatCode>_(* #,##0_);_(* \(#,##0\);_(* "-"??_);_(@_)</c:formatCode>
                <c:ptCount val="1"/>
                <c:pt idx="0">
                  <c:v>444.04791320121774</c:v>
                </c:pt>
              </c:numCache>
            </c:numRef>
          </c:val>
          <c:extLst>
            <c:ext xmlns:c15="http://schemas.microsoft.com/office/drawing/2012/chart" uri="{02D57815-91ED-43cb-92C2-25804820EDAC}">
              <c15:datalabelsRange>
                <c15:f>Chart!$BS$8</c15:f>
                <c15:dlblRangeCache>
                  <c:ptCount val="1"/>
                  <c:pt idx="0">
                    <c:v>30%</c:v>
                  </c:pt>
                </c15:dlblRangeCache>
              </c15:datalabelsRange>
            </c:ext>
            <c:ext xmlns:c16="http://schemas.microsoft.com/office/drawing/2014/chart" uri="{C3380CC4-5D6E-409C-BE32-E72D297353CC}">
              <c16:uniqueId val="{00000004-F254-402F-B684-6991C900F272}"/>
            </c:ext>
          </c:extLst>
        </c:ser>
        <c:ser>
          <c:idx val="2"/>
          <c:order val="2"/>
          <c:tx>
            <c:strRef>
              <c:f>Chart!$BQ$9</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A1F1543A-A847-41D1-8B87-83A884E5E5A5}" type="CELLRANGE">
                      <a:rPr lang="en-US" sz="1050" b="0" baseline="0">
                        <a:solidFill>
                          <a:schemeClr val="bg1"/>
                        </a:solidFill>
                      </a:rPr>
                      <a:pPr>
                        <a:defRPr sz="1050">
                          <a:solidFill>
                            <a:schemeClr val="bg1"/>
                          </a:solidFill>
                        </a:defRPr>
                      </a:pPr>
                      <a:t>[CELLRANGE]</a:t>
                    </a:fld>
                    <a:r>
                      <a:rPr lang="en-US" sz="1050" b="0" baseline="0">
                        <a:solidFill>
                          <a:schemeClr val="bg1"/>
                        </a:solidFill>
                      </a:rPr>
                      <a:t>, </a:t>
                    </a:r>
                    <a:fld id="{9ABC36E4-A87B-4FAC-83CE-DBED4221C1D3}" type="SERIESNAME">
                      <a:rPr lang="en-US" sz="1050" b="0" baseline="0">
                        <a:solidFill>
                          <a:schemeClr val="bg1"/>
                        </a:solidFill>
                      </a:rPr>
                      <a:pPr>
                        <a:defRPr sz="1050">
                          <a:solidFill>
                            <a:schemeClr val="bg1"/>
                          </a:solidFill>
                        </a:defRPr>
                      </a:pPr>
                      <a:t>[SERIES NAME]</a:t>
                    </a:fld>
                    <a:r>
                      <a:rPr lang="en-US" sz="1050" b="0" baseline="0">
                        <a:solidFill>
                          <a:schemeClr val="bg1"/>
                        </a:solidFill>
                      </a:rPr>
                      <a:t>, </a:t>
                    </a:r>
                    <a:fld id="{1334B3B0-C427-4CC4-825D-4110EF117CA9}" type="VALUE">
                      <a:rPr lang="en-US" sz="1050" b="0" baseline="0">
                        <a:solidFill>
                          <a:schemeClr val="bg1"/>
                        </a:solidFill>
                      </a:rPr>
                      <a:pPr>
                        <a:defRPr sz="1050">
                          <a:solidFill>
                            <a:schemeClr val="bg1"/>
                          </a:solidFill>
                        </a:defRPr>
                      </a:pPr>
                      <a:t>[VALUE]</a:t>
                    </a:fld>
                    <a:endParaRPr lang="en-US" sz="1050" b="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6196967076754603"/>
                      <c:h val="4.0562831527877444E-2"/>
                    </c:manualLayout>
                  </c15:layout>
                  <c15:dlblFieldTable/>
                  <c15:showDataLabelsRange val="1"/>
                </c:ext>
                <c:ext xmlns:c16="http://schemas.microsoft.com/office/drawing/2014/chart" uri="{C3380CC4-5D6E-409C-BE32-E72D297353CC}">
                  <c16:uniqueId val="{00000005-F254-402F-B684-6991C900F2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Chart!$BR$9</c:f>
              <c:numCache>
                <c:formatCode>_(* #,##0_);_(* \(#,##0\);_(* "-"??_);_(@_)</c:formatCode>
                <c:ptCount val="1"/>
                <c:pt idx="0">
                  <c:v>31.382513561719055</c:v>
                </c:pt>
              </c:numCache>
            </c:numRef>
          </c:val>
          <c:extLst>
            <c:ext xmlns:c15="http://schemas.microsoft.com/office/drawing/2012/chart" uri="{02D57815-91ED-43cb-92C2-25804820EDAC}">
              <c15:datalabelsRange>
                <c15:f>Chart!$BS$9</c15:f>
                <c15:dlblRangeCache>
                  <c:ptCount val="1"/>
                  <c:pt idx="0">
                    <c:v>2%</c:v>
                  </c:pt>
                </c15:dlblRangeCache>
              </c15:datalabelsRange>
            </c:ext>
            <c:ext xmlns:c16="http://schemas.microsoft.com/office/drawing/2014/chart" uri="{C3380CC4-5D6E-409C-BE32-E72D297353CC}">
              <c16:uniqueId val="{00000006-F254-402F-B684-6991C900F272}"/>
            </c:ext>
          </c:extLst>
        </c:ser>
        <c:ser>
          <c:idx val="3"/>
          <c:order val="3"/>
          <c:tx>
            <c:strRef>
              <c:f>Chart!$BQ$10</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EBAC2198-2156-4A6B-BD0F-455CB92F77CC}" type="CELLRANGE">
                      <a:rPr lang="en-US" sz="1050" b="1" baseline="0"/>
                      <a:pPr>
                        <a:defRPr sz="1050" b="1">
                          <a:solidFill>
                            <a:schemeClr val="bg1"/>
                          </a:solidFill>
                        </a:defRPr>
                      </a:pPr>
                      <a:t>[CELLRANGE]</a:t>
                    </a:fld>
                    <a:r>
                      <a:rPr lang="en-US" sz="1050" b="1" baseline="0"/>
                      <a:t>, </a:t>
                    </a:r>
                    <a:fld id="{32247B67-B412-41F9-9ED0-E2B53879DC90}" type="SERIESNAME">
                      <a:rPr lang="en-US" sz="1050" b="1" baseline="0"/>
                      <a:pPr>
                        <a:defRPr sz="1050" b="1">
                          <a:solidFill>
                            <a:schemeClr val="bg1"/>
                          </a:solidFill>
                        </a:defRPr>
                      </a:pPr>
                      <a:t>[SERIES NAME]</a:t>
                    </a:fld>
                    <a:r>
                      <a:rPr lang="en-US" sz="1050" b="1" baseline="0"/>
                      <a:t>, </a:t>
                    </a:r>
                    <a:fld id="{FCF329ED-93A9-4409-92F5-E28B5C9F9679}" type="VALUE">
                      <a:rPr lang="en-US" sz="1050" b="1" baseline="0"/>
                      <a:pPr>
                        <a:defRPr sz="1050" b="1">
                          <a:solidFill>
                            <a:schemeClr val="bg1"/>
                          </a:solidFill>
                        </a:defRPr>
                      </a:pPr>
                      <a:t>[VALUE]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702706226791324"/>
                      <c:h val="5.840761732265537E-2"/>
                    </c:manualLayout>
                  </c15:layout>
                  <c15:dlblFieldTable/>
                  <c15:showDataLabelsRange val="1"/>
                </c:ext>
                <c:ext xmlns:c16="http://schemas.microsoft.com/office/drawing/2014/chart" uri="{C3380CC4-5D6E-409C-BE32-E72D297353CC}">
                  <c16:uniqueId val="{00000007-F254-402F-B684-6991C900F2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Chart!$BR$10</c:f>
              <c:numCache>
                <c:formatCode>_(* #,##0_);_(* \(#,##0\);_(* "-"??_);_(@_)</c:formatCode>
                <c:ptCount val="1"/>
                <c:pt idx="0">
                  <c:v>140</c:v>
                </c:pt>
              </c:numCache>
            </c:numRef>
          </c:val>
          <c:extLst>
            <c:ext xmlns:c15="http://schemas.microsoft.com/office/drawing/2012/chart" uri="{02D57815-91ED-43cb-92C2-25804820EDAC}">
              <c15:datalabelsRange>
                <c15:f>Chart!$BS$10</c15:f>
                <c15:dlblRangeCache>
                  <c:ptCount val="1"/>
                  <c:pt idx="0">
                    <c:v>10%</c:v>
                  </c:pt>
                </c15:dlblRangeCache>
              </c15:datalabelsRange>
            </c:ext>
            <c:ext xmlns:c16="http://schemas.microsoft.com/office/drawing/2014/chart" uri="{C3380CC4-5D6E-409C-BE32-E72D297353CC}">
              <c16:uniqueId val="{00000008-F254-402F-B684-6991C900F272}"/>
            </c:ext>
          </c:extLst>
        </c:ser>
        <c:ser>
          <c:idx val="4"/>
          <c:order val="4"/>
          <c:tx>
            <c:strRef>
              <c:f>Chart!$BQ$11</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913880A1-A8C9-4B24-A41A-776B9FFBA3B6}" type="CELLRANGE">
                      <a:rPr lang="en-US" sz="1100" b="1" baseline="0"/>
                      <a:pPr>
                        <a:defRPr sz="1100" b="1">
                          <a:solidFill>
                            <a:schemeClr val="bg1"/>
                          </a:solidFill>
                        </a:defRPr>
                      </a:pPr>
                      <a:t>[CELLRANGE]</a:t>
                    </a:fld>
                    <a:r>
                      <a:rPr lang="en-US" sz="1100" b="1" baseline="0"/>
                      <a:t>, </a:t>
                    </a:r>
                    <a:fld id="{25DFA2AE-497C-4AAF-945F-F04C9300F9E2}" type="SERIESNAME">
                      <a:rPr lang="en-US" sz="1100" b="1" baseline="0"/>
                      <a:pPr>
                        <a:defRPr sz="1100" b="1">
                          <a:solidFill>
                            <a:schemeClr val="bg1"/>
                          </a:solidFill>
                        </a:defRPr>
                      </a:pPr>
                      <a:t>[SERIES NAME]</a:t>
                    </a:fld>
                    <a:r>
                      <a:rPr lang="en-US" sz="1100" b="1" baseline="0"/>
                      <a:t>, </a:t>
                    </a:r>
                    <a:fld id="{7527A658-E156-4AD3-A994-62B1BAD68989}"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415429929329029"/>
                      <c:h val="4.0562831527877444E-2"/>
                    </c:manualLayout>
                  </c15:layout>
                  <c15:dlblFieldTable/>
                  <c15:showDataLabelsRange val="1"/>
                </c:ext>
                <c:ext xmlns:c16="http://schemas.microsoft.com/office/drawing/2014/chart" uri="{C3380CC4-5D6E-409C-BE32-E72D297353CC}">
                  <c16:uniqueId val="{00000009-F254-402F-B684-6991C900F2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Chart!$BR$11</c:f>
              <c:numCache>
                <c:formatCode>_(* #,##0_);_(* \(#,##0\);_(* "-"??_);_(@_)</c:formatCode>
                <c:ptCount val="1"/>
                <c:pt idx="0">
                  <c:v>257.38616184532611</c:v>
                </c:pt>
              </c:numCache>
            </c:numRef>
          </c:val>
          <c:extLst>
            <c:ext xmlns:c15="http://schemas.microsoft.com/office/drawing/2012/chart" uri="{02D57815-91ED-43cb-92C2-25804820EDAC}">
              <c15:datalabelsRange>
                <c15:f>Chart!$BS$11</c15:f>
                <c15:dlblRangeCache>
                  <c:ptCount val="1"/>
                  <c:pt idx="0">
                    <c:v>18%</c:v>
                  </c:pt>
                </c15:dlblRangeCache>
              </c15:datalabelsRange>
            </c:ext>
            <c:ext xmlns:c16="http://schemas.microsoft.com/office/drawing/2014/chart" uri="{C3380CC4-5D6E-409C-BE32-E72D297353CC}">
              <c16:uniqueId val="{0000000A-F254-402F-B684-6991C900F272}"/>
            </c:ext>
          </c:extLst>
        </c:ser>
        <c:ser>
          <c:idx val="5"/>
          <c:order val="5"/>
          <c:tx>
            <c:strRef>
              <c:f>Chart!$BQ$12</c:f>
              <c:strCache>
                <c:ptCount val="1"/>
                <c:pt idx="0">
                  <c:v>Thuế TNDN</c:v>
                </c:pt>
              </c:strCache>
            </c:strRef>
          </c:tx>
          <c:spPr>
            <a:solidFill>
              <a:schemeClr val="accent6"/>
            </a:solidFill>
            <a:ln>
              <a:noFill/>
            </a:ln>
            <a:effectLst/>
          </c:spPr>
          <c:invertIfNegative val="0"/>
          <c:dLbls>
            <c:dLbl>
              <c:idx val="0"/>
              <c:tx>
                <c:rich>
                  <a:bodyPr/>
                  <a:lstStyle/>
                  <a:p>
                    <a:fld id="{538813A3-7E42-46A7-8E35-3CF2576FCBDC}" type="CELLRANGE">
                      <a:rPr lang="en-US" baseline="0"/>
                      <a:pPr/>
                      <a:t>[CELLRANGE]</a:t>
                    </a:fld>
                    <a:r>
                      <a:rPr lang="en-US" baseline="0"/>
                      <a:t>, </a:t>
                    </a:r>
                    <a:fld id="{33A852F0-88E0-476C-BE91-E93994505E6B}" type="SERIESNAME">
                      <a:rPr lang="en-US" baseline="0"/>
                      <a:pPr/>
                      <a:t>[SERIES NAME]</a:t>
                    </a:fld>
                    <a:r>
                      <a:rPr lang="en-US" baseline="0"/>
                      <a:t>, </a:t>
                    </a:r>
                    <a:fld id="{374ADD78-DBFA-4944-B655-598C2FC3DC7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7714367958663756"/>
                      <c:h val="4.0562831527877444E-2"/>
                    </c:manualLayout>
                  </c15:layout>
                  <c15:dlblFieldTable/>
                  <c15:showDataLabelsRange val="1"/>
                </c:ext>
                <c:ext xmlns:c16="http://schemas.microsoft.com/office/drawing/2014/chart" uri="{C3380CC4-5D6E-409C-BE32-E72D297353CC}">
                  <c16:uniqueId val="{0000000B-F254-402F-B684-6991C900F2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Chart!$BR$12</c:f>
              <c:numCache>
                <c:formatCode>_(* #,##0_);_(* \(#,##0\);_(* "-"??_);_(@_)</c:formatCode>
                <c:ptCount val="1"/>
                <c:pt idx="0">
                  <c:v>51.477232369065227</c:v>
                </c:pt>
              </c:numCache>
            </c:numRef>
          </c:val>
          <c:extLst>
            <c:ext xmlns:c15="http://schemas.microsoft.com/office/drawing/2012/chart" uri="{02D57815-91ED-43cb-92C2-25804820EDAC}">
              <c15:datalabelsRange>
                <c15:f>Chart!$BS$12</c15:f>
                <c15:dlblRangeCache>
                  <c:ptCount val="1"/>
                  <c:pt idx="0">
                    <c:v>4%</c:v>
                  </c:pt>
                </c15:dlblRangeCache>
              </c15:datalabelsRange>
            </c:ext>
            <c:ext xmlns:c16="http://schemas.microsoft.com/office/drawing/2014/chart" uri="{C3380CC4-5D6E-409C-BE32-E72D297353CC}">
              <c16:uniqueId val="{0000000C-F254-402F-B684-6991C900F272}"/>
            </c:ext>
          </c:extLst>
        </c:ser>
        <c:ser>
          <c:idx val="6"/>
          <c:order val="6"/>
          <c:tx>
            <c:strRef>
              <c:f>Chart!$BQ$13</c:f>
              <c:strCache>
                <c:ptCount val="1"/>
                <c:pt idx="0">
                  <c:v>Lợi nhuận sau thuế</c:v>
                </c:pt>
              </c:strCache>
            </c:strRef>
          </c:tx>
          <c:spPr>
            <a:solidFill>
              <a:srgbClr val="0000FF"/>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3348E0DA-9EE3-44D0-84A1-1B2F14BAD3F0}" type="CELLRANGE">
                      <a:rPr lang="en-US" sz="1100" b="1" baseline="0"/>
                      <a:pPr>
                        <a:defRPr sz="1100" b="1">
                          <a:solidFill>
                            <a:schemeClr val="bg1"/>
                          </a:solidFill>
                        </a:defRPr>
                      </a:pPr>
                      <a:t>[CELLRANGE]</a:t>
                    </a:fld>
                    <a:r>
                      <a:rPr lang="en-US" sz="1100" b="1" baseline="0"/>
                      <a:t>, </a:t>
                    </a:r>
                    <a:fld id="{E83C7ACE-2694-43C0-B4CC-6E130BC2C4E5}" type="SERIESNAME">
                      <a:rPr lang="en-US" sz="1100" b="1" baseline="0"/>
                      <a:pPr>
                        <a:defRPr sz="1100" b="1">
                          <a:solidFill>
                            <a:schemeClr val="bg1"/>
                          </a:solidFill>
                        </a:defRPr>
                      </a:pPr>
                      <a:t>[SERIES NAME]</a:t>
                    </a:fld>
                    <a:r>
                      <a:rPr lang="en-US" sz="1100" b="1" baseline="0"/>
                      <a:t>, </a:t>
                    </a:r>
                    <a:fld id="{B5A2180F-DD96-4EF6-B736-AC71C47C35C6}"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022178120011902"/>
                      <c:h val="4.0562831527877444E-2"/>
                    </c:manualLayout>
                  </c15:layout>
                  <c15:dlblFieldTable/>
                  <c15:showDataLabelsRange val="1"/>
                </c:ext>
                <c:ext xmlns:c16="http://schemas.microsoft.com/office/drawing/2014/chart" uri="{C3380CC4-5D6E-409C-BE32-E72D297353CC}">
                  <c16:uniqueId val="{0000000E-F254-402F-B684-6991C900F2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Chart!$BR$13</c:f>
              <c:numCache>
                <c:formatCode>_(* #,##0_);_(* \(#,##0\);_(* "-"??_);_(@_)</c:formatCode>
                <c:ptCount val="1"/>
                <c:pt idx="0">
                  <c:v>205.90892947626088</c:v>
                </c:pt>
              </c:numCache>
            </c:numRef>
          </c:val>
          <c:extLst>
            <c:ext xmlns:c15="http://schemas.microsoft.com/office/drawing/2012/chart" uri="{02D57815-91ED-43cb-92C2-25804820EDAC}">
              <c15:datalabelsRange>
                <c15:f>Chart!$BG$52</c15:f>
                <c15:dlblRangeCache>
                  <c:ptCount val="1"/>
                  <c:pt idx="0">
                    <c:v>4%</c:v>
                  </c:pt>
                </c15:dlblRangeCache>
              </c15:datalabelsRange>
            </c:ext>
            <c:ext xmlns:c16="http://schemas.microsoft.com/office/drawing/2014/chart" uri="{C3380CC4-5D6E-409C-BE32-E72D297353CC}">
              <c16:uniqueId val="{0000000F-F254-402F-B684-6991C900F272}"/>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WSS03G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213920163766633"/>
          <c:w val="0.80896738343331476"/>
          <c:h val="0.78053578768365317"/>
        </c:manualLayout>
      </c:layout>
      <c:barChart>
        <c:barDir val="col"/>
        <c:grouping val="percentStacked"/>
        <c:varyColors val="0"/>
        <c:ser>
          <c:idx val="0"/>
          <c:order val="0"/>
          <c:tx>
            <c:strRef>
              <c:f>Chart!$BQ$127</c:f>
              <c:strCache>
                <c:ptCount val="1"/>
                <c:pt idx="0">
                  <c:v>Chi phí NVL</c:v>
                </c:pt>
              </c:strCache>
            </c:strRef>
          </c:tx>
          <c:spPr>
            <a:solidFill>
              <a:srgbClr val="00B05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27B119C3-94FD-4751-84F9-0E61F8211AA4}" type="CELLRANGE">
                      <a:rPr lang="en-US" sz="1200" b="1" baseline="0"/>
                      <a:pPr>
                        <a:defRPr sz="1200" b="1">
                          <a:solidFill>
                            <a:schemeClr val="bg1"/>
                          </a:solidFill>
                        </a:defRPr>
                      </a:pPr>
                      <a:t>[CELLRANGE]</a:t>
                    </a:fld>
                    <a:r>
                      <a:rPr lang="en-US" sz="1200" b="1" baseline="0"/>
                      <a:t>, </a:t>
                    </a:r>
                    <a:fld id="{D571BF94-0E25-4459-AB2C-1F449231E059}" type="SERIESNAME">
                      <a:rPr lang="en-US" sz="1200" b="1" baseline="0"/>
                      <a:pPr>
                        <a:defRPr sz="1200" b="1">
                          <a:solidFill>
                            <a:schemeClr val="bg1"/>
                          </a:solidFill>
                        </a:defRPr>
                      </a:pPr>
                      <a:t>[SERIES NAME]</a:t>
                    </a:fld>
                    <a:r>
                      <a:rPr lang="en-US" sz="1200" b="1" baseline="0"/>
                      <a:t>, </a:t>
                    </a:r>
                    <a:fld id="{C06D1177-90E9-4D07-9755-8BFC3F19B043}"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786075264309282"/>
                      <c:h val="5.1115660184237459E-2"/>
                    </c:manualLayout>
                  </c15:layout>
                  <c15:dlblFieldTable/>
                  <c15:showDataLabelsRange val="1"/>
                </c:ext>
                <c:ext xmlns:c16="http://schemas.microsoft.com/office/drawing/2014/chart" uri="{C3380CC4-5D6E-409C-BE32-E72D297353CC}">
                  <c16:uniqueId val="{00000000-37DA-4785-9721-3774E74CB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Chart!$BR$127</c:f>
              <c:numCache>
                <c:formatCode>_(* #,##0_);_(* \(#,##0\);_(* "-"??_);_(@_)</c:formatCode>
                <c:ptCount val="1"/>
                <c:pt idx="0">
                  <c:v>554.7920391810876</c:v>
                </c:pt>
              </c:numCache>
            </c:numRef>
          </c:val>
          <c:extLst>
            <c:ext xmlns:c15="http://schemas.microsoft.com/office/drawing/2012/chart" uri="{02D57815-91ED-43cb-92C2-25804820EDAC}">
              <c15:datalabelsRange>
                <c15:f>Chart!$BS$127</c15:f>
                <c15:dlblRangeCache>
                  <c:ptCount val="1"/>
                  <c:pt idx="0">
                    <c:v>42%</c:v>
                  </c:pt>
                </c15:dlblRangeCache>
              </c15:datalabelsRange>
            </c:ext>
            <c:ext xmlns:c16="http://schemas.microsoft.com/office/drawing/2014/chart" uri="{C3380CC4-5D6E-409C-BE32-E72D297353CC}">
              <c16:uniqueId val="{00000001-37DA-4785-9721-3774E74CBDD2}"/>
            </c:ext>
          </c:extLst>
        </c:ser>
        <c:ser>
          <c:idx val="1"/>
          <c:order val="1"/>
          <c:tx>
            <c:strRef>
              <c:f>Chart!$BQ$128</c:f>
              <c:strCache>
                <c:ptCount val="1"/>
                <c:pt idx="0">
                  <c:v>Chi phí sản xuất</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37DA-4785-9721-3774E74CBDD2}"/>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65A05CE2-8B58-4809-94C2-AEF6BA497F73}"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4F27FE35-3B8F-49CD-8838-0375C0113F06}"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71067E03-8C32-45CF-9B58-9305806B944B}"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4118117858694557"/>
                      <c:h val="7.3602946509884831E-2"/>
                    </c:manualLayout>
                  </c15:layout>
                  <c15:dlblFieldTable/>
                  <c15:showDataLabelsRange val="1"/>
                </c:ext>
                <c:ext xmlns:c16="http://schemas.microsoft.com/office/drawing/2014/chart" uri="{C3380CC4-5D6E-409C-BE32-E72D297353CC}">
                  <c16:uniqueId val="{00000002-37DA-4785-9721-3774E74CB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Chart!$BR$128</c:f>
              <c:numCache>
                <c:formatCode>_(* #,##0_);_(* \(#,##0\);_(* "-"??_);_(@_)</c:formatCode>
                <c:ptCount val="1"/>
                <c:pt idx="0">
                  <c:v>388.06046319877612</c:v>
                </c:pt>
              </c:numCache>
            </c:numRef>
          </c:val>
          <c:extLst>
            <c:ext xmlns:c15="http://schemas.microsoft.com/office/drawing/2012/chart" uri="{02D57815-91ED-43cb-92C2-25804820EDAC}">
              <c15:datalabelsRange>
                <c15:f>Chart!$BS$128</c15:f>
                <c15:dlblRangeCache>
                  <c:ptCount val="1"/>
                  <c:pt idx="0">
                    <c:v>30%</c:v>
                  </c:pt>
                </c15:dlblRangeCache>
              </c15:datalabelsRange>
            </c:ext>
            <c:ext xmlns:c16="http://schemas.microsoft.com/office/drawing/2014/chart" uri="{C3380CC4-5D6E-409C-BE32-E72D297353CC}">
              <c16:uniqueId val="{00000003-37DA-4785-9721-3774E74CBDD2}"/>
            </c:ext>
          </c:extLst>
        </c:ser>
        <c:ser>
          <c:idx val="2"/>
          <c:order val="2"/>
          <c:tx>
            <c:strRef>
              <c:f>Chart!$BQ$129</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73769BE-3978-4D68-90FF-71C44830A813}" type="CELLRANGE">
                      <a:rPr lang="en-US" b="1" baseline="0"/>
                      <a:pPr>
                        <a:defRPr b="1">
                          <a:solidFill>
                            <a:schemeClr val="bg1"/>
                          </a:solidFill>
                        </a:defRPr>
                      </a:pPr>
                      <a:t>[CELLRANGE]</a:t>
                    </a:fld>
                    <a:r>
                      <a:rPr lang="en-US" b="1" baseline="0"/>
                      <a:t>, </a:t>
                    </a:r>
                    <a:fld id="{4B3B8CA0-E497-4169-A78A-761E590F7B87}" type="SERIESNAME">
                      <a:rPr lang="en-US" b="1" baseline="0"/>
                      <a:pPr>
                        <a:defRPr b="1">
                          <a:solidFill>
                            <a:schemeClr val="bg1"/>
                          </a:solidFill>
                        </a:defRPr>
                      </a:pPr>
                      <a:t>[SERIES NAME]</a:t>
                    </a:fld>
                    <a:r>
                      <a:rPr lang="en-US" b="1" baseline="0"/>
                      <a:t>, </a:t>
                    </a:r>
                    <a:fld id="{45D7D4AE-1E19-413D-AF7D-F50ABEEEB2B9}" type="VALUE">
                      <a:rPr lang="en-US" b="1" baseline="0"/>
                      <a:pPr>
                        <a:defRPr b="1">
                          <a:solidFill>
                            <a:schemeClr val="bg1"/>
                          </a:solidFill>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374621734722659"/>
                      <c:h val="5.1115660184237459E-2"/>
                    </c:manualLayout>
                  </c15:layout>
                  <c15:dlblFieldTable/>
                  <c15:showDataLabelsRange val="1"/>
                </c:ext>
                <c:ext xmlns:c16="http://schemas.microsoft.com/office/drawing/2014/chart" uri="{C3380CC4-5D6E-409C-BE32-E72D297353CC}">
                  <c16:uniqueId val="{00000004-37DA-4785-9721-3774E74CB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Chart!$BR$129</c:f>
              <c:numCache>
                <c:formatCode>_(* #,##0_);_(* \(#,##0\);_(* "-"??_);_(@_)</c:formatCode>
                <c:ptCount val="1"/>
                <c:pt idx="0">
                  <c:v>28.292774118720978</c:v>
                </c:pt>
              </c:numCache>
            </c:numRef>
          </c:val>
          <c:extLst>
            <c:ext xmlns:c15="http://schemas.microsoft.com/office/drawing/2012/chart" uri="{02D57815-91ED-43cb-92C2-25804820EDAC}">
              <c15:datalabelsRange>
                <c15:f>Chart!$BS$129</c15:f>
                <c15:dlblRangeCache>
                  <c:ptCount val="1"/>
                  <c:pt idx="0">
                    <c:v>2%</c:v>
                  </c:pt>
                </c15:dlblRangeCache>
              </c15:datalabelsRange>
            </c:ext>
            <c:ext xmlns:c16="http://schemas.microsoft.com/office/drawing/2014/chart" uri="{C3380CC4-5D6E-409C-BE32-E72D297353CC}">
              <c16:uniqueId val="{00000005-37DA-4785-9721-3774E74CBDD2}"/>
            </c:ext>
          </c:extLst>
        </c:ser>
        <c:ser>
          <c:idx val="3"/>
          <c:order val="3"/>
          <c:tx>
            <c:strRef>
              <c:f>Chart!$BQ$130</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25183584-2E90-4CFC-B494-E2AF4F679C36}" type="CELLRANGE">
                      <a:rPr lang="en-US" sz="1100" b="1" baseline="0"/>
                      <a:pPr>
                        <a:defRPr sz="1100" b="1">
                          <a:solidFill>
                            <a:schemeClr val="bg1"/>
                          </a:solidFill>
                        </a:defRPr>
                      </a:pPr>
                      <a:t>[CELLRANGE]</a:t>
                    </a:fld>
                    <a:r>
                      <a:rPr lang="en-US" sz="1100" b="1" baseline="0"/>
                      <a:t>, </a:t>
                    </a:r>
                    <a:fld id="{75A4FCBB-CA3E-46AE-9B57-0CCB63A7A579}" type="SERIESNAME">
                      <a:rPr lang="en-US" sz="1100" b="1" baseline="0"/>
                      <a:pPr>
                        <a:defRPr sz="1100" b="1">
                          <a:solidFill>
                            <a:schemeClr val="bg1"/>
                          </a:solidFill>
                        </a:defRPr>
                      </a:pPr>
                      <a:t>[SERIES NAME]</a:t>
                    </a:fld>
                    <a:r>
                      <a:rPr lang="en-US" sz="1100" b="1" baseline="0"/>
                      <a:t>, </a:t>
                    </a:r>
                    <a:fld id="{4D90B398-7D0C-4ABD-AEE9-9F2ABFF5DA7E}"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123910939012566"/>
                      <c:h val="7.3602946509884831E-2"/>
                    </c:manualLayout>
                  </c15:layout>
                  <c15:dlblFieldTable/>
                  <c15:showDataLabelsRange val="1"/>
                </c:ext>
                <c:ext xmlns:c16="http://schemas.microsoft.com/office/drawing/2014/chart" uri="{C3380CC4-5D6E-409C-BE32-E72D297353CC}">
                  <c16:uniqueId val="{00000006-37DA-4785-9721-3774E74CB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Chart!$BR$130</c:f>
              <c:numCache>
                <c:formatCode>_(* #,##0_);_(* \(#,##0\);_(* "-"??_);_(@_)</c:formatCode>
                <c:ptCount val="1"/>
                <c:pt idx="0">
                  <c:v>140</c:v>
                </c:pt>
              </c:numCache>
            </c:numRef>
          </c:val>
          <c:extLst>
            <c:ext xmlns:c15="http://schemas.microsoft.com/office/drawing/2012/chart" uri="{02D57815-91ED-43cb-92C2-25804820EDAC}">
              <c15:datalabelsRange>
                <c15:f>Chart!$BS$130</c15:f>
                <c15:dlblRangeCache>
                  <c:ptCount val="1"/>
                  <c:pt idx="0">
                    <c:v>11%</c:v>
                  </c:pt>
                </c15:dlblRangeCache>
              </c15:datalabelsRange>
            </c:ext>
            <c:ext xmlns:c16="http://schemas.microsoft.com/office/drawing/2014/chart" uri="{C3380CC4-5D6E-409C-BE32-E72D297353CC}">
              <c16:uniqueId val="{00000007-37DA-4785-9721-3774E74CBDD2}"/>
            </c:ext>
          </c:extLst>
        </c:ser>
        <c:ser>
          <c:idx val="4"/>
          <c:order val="4"/>
          <c:tx>
            <c:strRef>
              <c:f>Chart!$BQ$131</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3FB0CE23-BBA3-4274-862F-A88A94AC696D}"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95259214-BB88-45F5-A397-F6A21C5290FA}"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A035D8A8-20E4-456B-8719-1034363CB5D4}"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636011616650538"/>
                      <c:h val="7.3602946509884831E-2"/>
                    </c:manualLayout>
                  </c15:layout>
                  <c15:dlblFieldTable/>
                  <c15:showDataLabelsRange val="1"/>
                </c:ext>
                <c:ext xmlns:c16="http://schemas.microsoft.com/office/drawing/2014/chart" uri="{C3380CC4-5D6E-409C-BE32-E72D297353CC}">
                  <c16:uniqueId val="{00000008-37DA-4785-9721-3774E74CB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Chart!$BR$131</c:f>
              <c:numCache>
                <c:formatCode>_(* #,##0_);_(* \(#,##0\);_(* "-"??_);_(@_)</c:formatCode>
                <c:ptCount val="1"/>
                <c:pt idx="0">
                  <c:v>198.85472350141526</c:v>
                </c:pt>
              </c:numCache>
            </c:numRef>
          </c:val>
          <c:extLst>
            <c:ext xmlns:c15="http://schemas.microsoft.com/office/drawing/2012/chart" uri="{02D57815-91ED-43cb-92C2-25804820EDAC}">
              <c15:datalabelsRange>
                <c15:f>Chart!$BS$131</c15:f>
                <c15:dlblRangeCache>
                  <c:ptCount val="1"/>
                  <c:pt idx="0">
                    <c:v>15%</c:v>
                  </c:pt>
                </c15:dlblRangeCache>
              </c15:datalabelsRange>
            </c:ext>
            <c:ext xmlns:c16="http://schemas.microsoft.com/office/drawing/2014/chart" uri="{C3380CC4-5D6E-409C-BE32-E72D297353CC}">
              <c16:uniqueId val="{00000009-37DA-4785-9721-3774E74CBDD2}"/>
            </c:ext>
          </c:extLst>
        </c:ser>
        <c:ser>
          <c:idx val="5"/>
          <c:order val="5"/>
          <c:tx>
            <c:strRef>
              <c:f>Chart!$BQ$132</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3CB1DD13-10F2-4B4D-9837-209EFCB9B6C7}" type="CELLRANGE">
                      <a:rPr lang="en-US" sz="1100" baseline="0"/>
                      <a:pPr>
                        <a:defRPr sz="1100">
                          <a:solidFill>
                            <a:schemeClr val="bg1"/>
                          </a:solidFill>
                        </a:defRPr>
                      </a:pPr>
                      <a:t>[CELLRANGE]</a:t>
                    </a:fld>
                    <a:r>
                      <a:rPr lang="en-US" sz="1100" baseline="0"/>
                      <a:t>, </a:t>
                    </a:r>
                    <a:fld id="{B9157CA2-F50E-48BE-A0C2-E7E868FE1641}" type="SERIESNAME">
                      <a:rPr lang="en-US" sz="1100" baseline="0"/>
                      <a:pPr>
                        <a:defRPr sz="1100">
                          <a:solidFill>
                            <a:schemeClr val="bg1"/>
                          </a:solidFill>
                        </a:defRPr>
                      </a:pPr>
                      <a:t>[SERIES NAME]</a:t>
                    </a:fld>
                    <a:r>
                      <a:rPr lang="en-US" sz="1100" baseline="0"/>
                      <a:t>, </a:t>
                    </a:r>
                    <a:fld id="{B42926EA-5EE6-48E3-9E5E-B80992F73973}" type="VALUE">
                      <a:rPr lang="en-US" sz="1100" baseline="0"/>
                      <a:pPr>
                        <a:defRPr sz="1100">
                          <a:solidFill>
                            <a:schemeClr val="bg1"/>
                          </a:solidFill>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338818973862531"/>
                      <c:h val="5.1115660184237459E-2"/>
                    </c:manualLayout>
                  </c15:layout>
                  <c15:dlblFieldTable/>
                  <c15:showDataLabelsRange val="1"/>
                </c:ext>
                <c:ext xmlns:c16="http://schemas.microsoft.com/office/drawing/2014/chart" uri="{C3380CC4-5D6E-409C-BE32-E72D297353CC}">
                  <c16:uniqueId val="{0000000A-37DA-4785-9721-3774E74CB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Chart!$BR$132</c:f>
              <c:numCache>
                <c:formatCode>_(* #,##0_);_(* \(#,##0\);_(* "-"??_);_(@_)</c:formatCode>
                <c:ptCount val="1"/>
                <c:pt idx="0">
                  <c:v>39.770944700283053</c:v>
                </c:pt>
              </c:numCache>
            </c:numRef>
          </c:val>
          <c:extLst>
            <c:ext xmlns:c15="http://schemas.microsoft.com/office/drawing/2012/chart" uri="{02D57815-91ED-43cb-92C2-25804820EDAC}">
              <c15:datalabelsRange>
                <c15:f>Chart!$BS$132</c15:f>
                <c15:dlblRangeCache>
                  <c:ptCount val="1"/>
                  <c:pt idx="0">
                    <c:v>3%</c:v>
                  </c:pt>
                </c15:dlblRangeCache>
              </c15:datalabelsRange>
            </c:ext>
            <c:ext xmlns:c16="http://schemas.microsoft.com/office/drawing/2014/chart" uri="{C3380CC4-5D6E-409C-BE32-E72D297353CC}">
              <c16:uniqueId val="{0000000B-37DA-4785-9721-3774E74CBDD2}"/>
            </c:ext>
          </c:extLst>
        </c:ser>
        <c:ser>
          <c:idx val="6"/>
          <c:order val="6"/>
          <c:tx>
            <c:strRef>
              <c:f>Chart!$BQ$133</c:f>
              <c:strCache>
                <c:ptCount val="1"/>
                <c:pt idx="0">
                  <c:v>Lợi nhuận sau thuế</c:v>
                </c:pt>
              </c:strCache>
            </c:strRef>
          </c:tx>
          <c:spPr>
            <a:solidFill>
              <a:srgbClr val="0000FF"/>
            </a:solidFill>
            <a:ln>
              <a:noFill/>
            </a:ln>
            <a:effectLst/>
          </c:spPr>
          <c:invertIfNegative val="0"/>
          <c:dLbls>
            <c:dLbl>
              <c:idx val="0"/>
              <c:tx>
                <c:rich>
                  <a:bodyPr/>
                  <a:lstStyle/>
                  <a:p>
                    <a:fld id="{55392CD1-2048-4C00-B7C9-9B10D1636ED5}" type="CELLRANGE">
                      <a:rPr lang="en-US" baseline="0"/>
                      <a:pPr/>
                      <a:t>[CELLRANGE]</a:t>
                    </a:fld>
                    <a:r>
                      <a:rPr lang="en-US" baseline="0"/>
                      <a:t>, </a:t>
                    </a:r>
                    <a:fld id="{6DE52B10-8900-495B-B6B3-63D2D5660FB2}" type="SERIESNAME">
                      <a:rPr lang="en-US" baseline="0"/>
                      <a:pPr/>
                      <a:t>[SERIES NAME]</a:t>
                    </a:fld>
                    <a:r>
                      <a:rPr lang="en-US" baseline="0"/>
                      <a:t>, </a:t>
                    </a:r>
                    <a:fld id="{16DBCE6B-228D-424D-B78A-6DCC6FCE3B64}"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4782187802516944"/>
                      <c:h val="7.3602946509884831E-2"/>
                    </c:manualLayout>
                  </c15:layout>
                  <c15:dlblFieldTable/>
                  <c15:showDataLabelsRange val="1"/>
                </c:ext>
                <c:ext xmlns:c16="http://schemas.microsoft.com/office/drawing/2014/chart" uri="{C3380CC4-5D6E-409C-BE32-E72D297353CC}">
                  <c16:uniqueId val="{0000000D-37DA-4785-9721-3774E74CBDD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Chart!$BR$133</c:f>
              <c:numCache>
                <c:formatCode>_(* #,##0_);_(* \(#,##0\);_(* "-"??_);_(@_)</c:formatCode>
                <c:ptCount val="1"/>
                <c:pt idx="0">
                  <c:v>159.08377880113221</c:v>
                </c:pt>
              </c:numCache>
            </c:numRef>
          </c:val>
          <c:extLst>
            <c:ext xmlns:c15="http://schemas.microsoft.com/office/drawing/2012/chart" uri="{02D57815-91ED-43cb-92C2-25804820EDAC}">
              <c15:datalabelsRange>
                <c15:f>Chart!$BS$133</c15:f>
                <c15:dlblRangeCache>
                  <c:ptCount val="1"/>
                  <c:pt idx="0">
                    <c:v>12%</c:v>
                  </c:pt>
                </c15:dlblRangeCache>
              </c15:datalabelsRange>
            </c:ext>
            <c:ext xmlns:c16="http://schemas.microsoft.com/office/drawing/2014/chart" uri="{C3380CC4-5D6E-409C-BE32-E72D297353CC}">
              <c16:uniqueId val="{0000000E-37DA-4785-9721-3774E74CBDD2}"/>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WSS01G</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385955654147184"/>
          <c:y val="0.15865590696190601"/>
          <c:w val="0.76477905174133931"/>
          <c:h val="0.79575919722741839"/>
        </c:manualLayout>
      </c:layout>
      <c:barChart>
        <c:barDir val="col"/>
        <c:grouping val="percentStacked"/>
        <c:varyColors val="0"/>
        <c:ser>
          <c:idx val="0"/>
          <c:order val="0"/>
          <c:tx>
            <c:strRef>
              <c:f>Chart!$BQ$82</c:f>
              <c:strCache>
                <c:ptCount val="1"/>
                <c:pt idx="0">
                  <c:v>Chi phí NVL</c:v>
                </c:pt>
              </c:strCache>
            </c:strRef>
          </c:tx>
          <c:spPr>
            <a:solidFill>
              <a:srgbClr val="00B05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B861B604-490C-44DC-B627-0878B08423B6}" type="CELLRANGE">
                      <a:rPr lang="en-US" sz="1200" b="1" baseline="0"/>
                      <a:pPr>
                        <a:defRPr sz="1200" b="1">
                          <a:solidFill>
                            <a:schemeClr val="bg1"/>
                          </a:solidFill>
                        </a:defRPr>
                      </a:pPr>
                      <a:t>[CELLRANGE]</a:t>
                    </a:fld>
                    <a:r>
                      <a:rPr lang="en-US" sz="1200" b="1" baseline="0"/>
                      <a:t>, </a:t>
                    </a:r>
                    <a:fld id="{ABD8E620-784F-4545-AAEE-CE2E4382F2FD}" type="SERIESNAME">
                      <a:rPr lang="en-US" sz="1200" b="1" baseline="0"/>
                      <a:pPr>
                        <a:defRPr sz="1200" b="1">
                          <a:solidFill>
                            <a:schemeClr val="bg1"/>
                          </a:solidFill>
                        </a:defRPr>
                      </a:pPr>
                      <a:t>[SERIES NAME]</a:t>
                    </a:fld>
                    <a:r>
                      <a:rPr lang="en-US" sz="1200" b="1" baseline="0"/>
                      <a:t>, </a:t>
                    </a:r>
                    <a:fld id="{6FCF0942-486D-4489-A0AD-4269FBE53845}"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866682682316712"/>
                      <c:h val="6.621554211800873E-2"/>
                    </c:manualLayout>
                  </c15:layout>
                  <c15:dlblFieldTable/>
                  <c15:showDataLabelsRange val="1"/>
                </c:ext>
                <c:ext xmlns:c16="http://schemas.microsoft.com/office/drawing/2014/chart" uri="{C3380CC4-5D6E-409C-BE32-E72D297353CC}">
                  <c16:uniqueId val="{00000001-1356-40DC-BA4E-B5E608A98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Chart!$BR$82</c:f>
              <c:numCache>
                <c:formatCode>_(* #,##0_);_(* \(#,##0\);_(* "-"??_);_(@_)</c:formatCode>
                <c:ptCount val="1"/>
                <c:pt idx="0">
                  <c:v>569.52103137173594</c:v>
                </c:pt>
              </c:numCache>
            </c:numRef>
          </c:val>
          <c:extLst>
            <c:ext xmlns:c15="http://schemas.microsoft.com/office/drawing/2012/chart" uri="{02D57815-91ED-43cb-92C2-25804820EDAC}">
              <c15:datalabelsRange>
                <c15:f>Chart!$BS$82</c15:f>
                <c15:dlblRangeCache>
                  <c:ptCount val="1"/>
                  <c:pt idx="0">
                    <c:v>41%</c:v>
                  </c:pt>
                </c15:dlblRangeCache>
              </c15:datalabelsRange>
            </c:ext>
            <c:ext xmlns:c16="http://schemas.microsoft.com/office/drawing/2014/chart" uri="{C3380CC4-5D6E-409C-BE32-E72D297353CC}">
              <c16:uniqueId val="{00000002-1356-40DC-BA4E-B5E608A98216}"/>
            </c:ext>
          </c:extLst>
        </c:ser>
        <c:ser>
          <c:idx val="1"/>
          <c:order val="1"/>
          <c:tx>
            <c:strRef>
              <c:f>Chart!$BQ$83</c:f>
              <c:strCache>
                <c:ptCount val="1"/>
                <c:pt idx="0">
                  <c:v>Chi phí sản xuất</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1FD1EA9C-7461-4BC4-87BB-A948F399D2BF}" type="CELLRANGE">
                      <a:rPr lang="en-US" sz="1100" b="1" baseline="0"/>
                      <a:pPr>
                        <a:defRPr sz="1100" b="1">
                          <a:solidFill>
                            <a:schemeClr val="bg1"/>
                          </a:solidFill>
                        </a:defRPr>
                      </a:pPr>
                      <a:t>[CELLRANGE]</a:t>
                    </a:fld>
                    <a:r>
                      <a:rPr lang="en-US" sz="1100" b="1" baseline="0"/>
                      <a:t>, </a:t>
                    </a:r>
                    <a:fld id="{B2662848-922B-49DC-B3B1-8B4484B02E46}" type="SERIESNAME">
                      <a:rPr lang="en-US" sz="1100" b="1" baseline="0"/>
                      <a:pPr>
                        <a:defRPr sz="1100" b="1">
                          <a:solidFill>
                            <a:schemeClr val="bg1"/>
                          </a:solidFill>
                        </a:defRPr>
                      </a:pPr>
                      <a:t>[SERIES NAME]</a:t>
                    </a:fld>
                    <a:r>
                      <a:rPr lang="en-US" sz="1100" b="1" baseline="0"/>
                      <a:t>, </a:t>
                    </a:r>
                    <a:fld id="{957883C5-A519-4807-B3D0-3B1FA47F549A}"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737272421575558"/>
                      <c:h val="6.621554211800873E-2"/>
                    </c:manualLayout>
                  </c15:layout>
                  <c15:dlblFieldTable/>
                  <c15:showDataLabelsRange val="1"/>
                </c:ext>
                <c:ext xmlns:c16="http://schemas.microsoft.com/office/drawing/2014/chart" uri="{C3380CC4-5D6E-409C-BE32-E72D297353CC}">
                  <c16:uniqueId val="{00000003-1356-40DC-BA4E-B5E608A98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Chart!$BR$83</c:f>
              <c:numCache>
                <c:formatCode>_(* #,##0_);_(* \(#,##0\);_(* "-"??_);_(@_)</c:formatCode>
                <c:ptCount val="1"/>
                <c:pt idx="0">
                  <c:v>394.97974908412294</c:v>
                </c:pt>
              </c:numCache>
            </c:numRef>
          </c:val>
          <c:extLst>
            <c:ext xmlns:c15="http://schemas.microsoft.com/office/drawing/2012/chart" uri="{02D57815-91ED-43cb-92C2-25804820EDAC}">
              <c15:datalabelsRange>
                <c15:f>Chart!$BS$83</c15:f>
                <c15:dlblRangeCache>
                  <c:ptCount val="1"/>
                  <c:pt idx="0">
                    <c:v>29%</c:v>
                  </c:pt>
                </c15:dlblRangeCache>
              </c15:datalabelsRange>
            </c:ext>
            <c:ext xmlns:c16="http://schemas.microsoft.com/office/drawing/2014/chart" uri="{C3380CC4-5D6E-409C-BE32-E72D297353CC}">
              <c16:uniqueId val="{00000004-1356-40DC-BA4E-B5E608A98216}"/>
            </c:ext>
          </c:extLst>
        </c:ser>
        <c:ser>
          <c:idx val="2"/>
          <c:order val="2"/>
          <c:tx>
            <c:strRef>
              <c:f>Chart!$BQ$84</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B2BAC389-191B-4D74-953F-03C553B91E0E}" type="CELLRANGE">
                      <a:rPr lang="en-US" sz="1000" b="1" baseline="0"/>
                      <a:pPr>
                        <a:defRPr sz="1000" b="1">
                          <a:solidFill>
                            <a:schemeClr val="bg1"/>
                          </a:solidFill>
                        </a:defRPr>
                      </a:pPr>
                      <a:t>[CELLRANGE]</a:t>
                    </a:fld>
                    <a:r>
                      <a:rPr lang="en-US" sz="1000" b="1" baseline="0"/>
                      <a:t>, </a:t>
                    </a:r>
                    <a:fld id="{FC278AF3-9065-4D3A-BCF0-9AB002CB1E45}" type="SERIESNAME">
                      <a:rPr lang="en-US" sz="1000" b="1" baseline="0"/>
                      <a:pPr>
                        <a:defRPr sz="1000" b="1">
                          <a:solidFill>
                            <a:schemeClr val="bg1"/>
                          </a:solidFill>
                        </a:defRPr>
                      </a:pPr>
                      <a:t>[SERIES NAME]</a:t>
                    </a:fld>
                    <a:r>
                      <a:rPr lang="en-US" sz="1000" b="1" baseline="0"/>
                      <a:t>, </a:t>
                    </a:r>
                    <a:fld id="{4B7C3D57-C020-42CD-BB87-45A466638698}" type="VALUE">
                      <a:rPr lang="en-US" sz="1000" b="1" baseline="0"/>
                      <a:pPr>
                        <a:defRPr sz="1000" b="1">
                          <a:solidFill>
                            <a:schemeClr val="bg1"/>
                          </a:solidFill>
                        </a:defRPr>
                      </a:pPr>
                      <a:t>[VALUE]</a:t>
                    </a:fld>
                    <a:endParaRPr lang="en-US" sz="1000" b="1"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735327075907693"/>
                      <c:h val="4.5985267034990791E-2"/>
                    </c:manualLayout>
                  </c15:layout>
                  <c15:dlblFieldTable/>
                  <c15:showDataLabelsRange val="1"/>
                </c:ext>
                <c:ext xmlns:c16="http://schemas.microsoft.com/office/drawing/2014/chart" uri="{C3380CC4-5D6E-409C-BE32-E72D297353CC}">
                  <c16:uniqueId val="{00000005-1356-40DC-BA4E-B5E608A98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Chart!$BR$84</c:f>
              <c:numCache>
                <c:formatCode>_(* #,##0_);_(* \(#,##0\);_(* "-"??_);_(@_)</c:formatCode>
                <c:ptCount val="1"/>
                <c:pt idx="0">
                  <c:v>29.366312099537371</c:v>
                </c:pt>
              </c:numCache>
            </c:numRef>
          </c:val>
          <c:extLst>
            <c:ext xmlns:c15="http://schemas.microsoft.com/office/drawing/2012/chart" uri="{02D57815-91ED-43cb-92C2-25804820EDAC}">
              <c15:datalabelsRange>
                <c15:f>Chart!$BS$84</c15:f>
                <c15:dlblRangeCache>
                  <c:ptCount val="1"/>
                  <c:pt idx="0">
                    <c:v>2%</c:v>
                  </c:pt>
                </c15:dlblRangeCache>
              </c15:datalabelsRange>
            </c:ext>
            <c:ext xmlns:c16="http://schemas.microsoft.com/office/drawing/2014/chart" uri="{C3380CC4-5D6E-409C-BE32-E72D297353CC}">
              <c16:uniqueId val="{00000006-1356-40DC-BA4E-B5E608A98216}"/>
            </c:ext>
          </c:extLst>
        </c:ser>
        <c:ser>
          <c:idx val="3"/>
          <c:order val="3"/>
          <c:tx>
            <c:strRef>
              <c:f>Chart!$BQ$85</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E9188B65-EFA8-4BCB-83CC-49C3C6629456}" type="CELLRANGE">
                      <a:rPr lang="en-US" sz="1100" b="1" baseline="0"/>
                      <a:pPr>
                        <a:defRPr sz="1100" b="1">
                          <a:solidFill>
                            <a:schemeClr val="bg1"/>
                          </a:solidFill>
                        </a:defRPr>
                      </a:pPr>
                      <a:t>[CELLRANGE]</a:t>
                    </a:fld>
                    <a:r>
                      <a:rPr lang="en-US" sz="1100" b="1" baseline="0"/>
                      <a:t>, </a:t>
                    </a:r>
                    <a:fld id="{510AAE3D-774B-40CD-81B2-D81005CF18CC}" type="SERIESNAME">
                      <a:rPr lang="en-US" sz="1100" b="1" baseline="0"/>
                      <a:pPr>
                        <a:defRPr sz="1100" b="1">
                          <a:solidFill>
                            <a:schemeClr val="bg1"/>
                          </a:solidFill>
                        </a:defRPr>
                      </a:pPr>
                      <a:t>[SERIES NAME]</a:t>
                    </a:fld>
                    <a:r>
                      <a:rPr lang="en-US" sz="1100" b="1" baseline="0"/>
                      <a:t>, </a:t>
                    </a:r>
                    <a:fld id="{9647AB0E-EE02-4A08-95E6-157670B6D69A}"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833137820947297"/>
                      <c:h val="8.6445672191528544E-2"/>
                    </c:manualLayout>
                  </c15:layout>
                  <c15:dlblFieldTable/>
                  <c15:showDataLabelsRange val="1"/>
                </c:ext>
                <c:ext xmlns:c16="http://schemas.microsoft.com/office/drawing/2014/chart" uri="{C3380CC4-5D6E-409C-BE32-E72D297353CC}">
                  <c16:uniqueId val="{00000007-1356-40DC-BA4E-B5E608A98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Chart!$BR$85</c:f>
              <c:numCache>
                <c:formatCode>_(* #,##0_);_(* \(#,##0\);_(* "-"??_);_(@_)</c:formatCode>
                <c:ptCount val="1"/>
                <c:pt idx="0">
                  <c:v>140</c:v>
                </c:pt>
              </c:numCache>
            </c:numRef>
          </c:val>
          <c:extLst>
            <c:ext xmlns:c15="http://schemas.microsoft.com/office/drawing/2012/chart" uri="{02D57815-91ED-43cb-92C2-25804820EDAC}">
              <c15:datalabelsRange>
                <c15:f>Chart!$BS$85</c15:f>
                <c15:dlblRangeCache>
                  <c:ptCount val="1"/>
                  <c:pt idx="0">
                    <c:v>10%</c:v>
                  </c:pt>
                </c15:dlblRangeCache>
              </c15:datalabelsRange>
            </c:ext>
            <c:ext xmlns:c16="http://schemas.microsoft.com/office/drawing/2014/chart" uri="{C3380CC4-5D6E-409C-BE32-E72D297353CC}">
              <c16:uniqueId val="{00000008-1356-40DC-BA4E-B5E608A98216}"/>
            </c:ext>
          </c:extLst>
        </c:ser>
        <c:ser>
          <c:idx val="4"/>
          <c:order val="4"/>
          <c:tx>
            <c:strRef>
              <c:f>Chart!$BQ$86</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1556DF09-6AE1-401F-A0F6-73329ABE7CB4}" type="CELLRANGE">
                      <a:rPr lang="en-US" sz="1100" b="1" baseline="0"/>
                      <a:pPr>
                        <a:defRPr sz="1100" b="1">
                          <a:solidFill>
                            <a:schemeClr val="bg1"/>
                          </a:solidFill>
                        </a:defRPr>
                      </a:pPr>
                      <a:t>[CELLRANGE]</a:t>
                    </a:fld>
                    <a:r>
                      <a:rPr lang="en-US" sz="1100" b="1" baseline="0"/>
                      <a:t>, </a:t>
                    </a:r>
                    <a:fld id="{B72C47BB-459E-4777-8B6E-A7DC4E67CA0A}" type="SERIESNAME">
                      <a:rPr lang="en-US" sz="1100" b="1" baseline="0"/>
                      <a:pPr>
                        <a:defRPr sz="1100" b="1">
                          <a:solidFill>
                            <a:schemeClr val="bg1"/>
                          </a:solidFill>
                        </a:defRPr>
                      </a:pPr>
                      <a:t>[SERIES NAME]</a:t>
                    </a:fld>
                    <a:r>
                      <a:rPr lang="en-US" sz="1100" b="1" baseline="0"/>
                      <a:t>, </a:t>
                    </a:r>
                    <a:fld id="{88C1FE67-4024-4A62-8ED5-8D840BF91439}"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6933347825643912"/>
                      <c:h val="6.621554211800873E-2"/>
                    </c:manualLayout>
                  </c15:layout>
                  <c15:dlblFieldTable/>
                  <c15:showDataLabelsRange val="1"/>
                </c:ext>
                <c:ext xmlns:c16="http://schemas.microsoft.com/office/drawing/2014/chart" uri="{C3380CC4-5D6E-409C-BE32-E72D297353CC}">
                  <c16:uniqueId val="{00000009-1356-40DC-BA4E-B5E608A98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Chart!$BR$86</c:f>
              <c:numCache>
                <c:formatCode>_(* #,##0_);_(* \(#,##0\);_(* "-"??_);_(@_)</c:formatCode>
                <c:ptCount val="1"/>
                <c:pt idx="0">
                  <c:v>246.13290744460392</c:v>
                </c:pt>
              </c:numCache>
            </c:numRef>
          </c:val>
          <c:extLst>
            <c:ext xmlns:c15="http://schemas.microsoft.com/office/drawing/2012/chart" uri="{02D57815-91ED-43cb-92C2-25804820EDAC}">
              <c15:datalabelsRange>
                <c15:f>Chart!$BS$86</c15:f>
                <c15:dlblRangeCache>
                  <c:ptCount val="1"/>
                  <c:pt idx="0">
                    <c:v>18%</c:v>
                  </c:pt>
                </c15:dlblRangeCache>
              </c15:datalabelsRange>
            </c:ext>
            <c:ext xmlns:c16="http://schemas.microsoft.com/office/drawing/2014/chart" uri="{C3380CC4-5D6E-409C-BE32-E72D297353CC}">
              <c16:uniqueId val="{0000000A-1356-40DC-BA4E-B5E608A98216}"/>
            </c:ext>
          </c:extLst>
        </c:ser>
        <c:ser>
          <c:idx val="5"/>
          <c:order val="5"/>
          <c:tx>
            <c:strRef>
              <c:f>Chart!$BQ$87</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75D893B-C191-45C3-A49B-2CD8DB579D90}" type="CELLRANGE">
                      <a:rPr lang="en-US" sz="1100" b="1" baseline="0"/>
                      <a:pPr>
                        <a:defRPr sz="1100" b="1">
                          <a:solidFill>
                            <a:schemeClr val="bg1"/>
                          </a:solidFill>
                        </a:defRPr>
                      </a:pPr>
                      <a:t>[CELLRANGE]</a:t>
                    </a:fld>
                    <a:r>
                      <a:rPr lang="en-US" sz="1100" b="1" baseline="0"/>
                      <a:t>, </a:t>
                    </a:r>
                    <a:fld id="{A63E789F-AA67-4D6F-97E5-4E23624602C2}" type="SERIESNAME">
                      <a:rPr lang="en-US" sz="1100" b="1" baseline="0"/>
                      <a:pPr>
                        <a:defRPr sz="1100" b="1">
                          <a:solidFill>
                            <a:schemeClr val="bg1"/>
                          </a:solidFill>
                        </a:defRPr>
                      </a:pPr>
                      <a:t>[SERIES NAME]</a:t>
                    </a:fld>
                    <a:r>
                      <a:rPr lang="en-US" sz="1100" b="1" baseline="0"/>
                      <a:t>, </a:t>
                    </a:r>
                    <a:fld id="{300F086C-4BE2-48AA-9722-AC83161ACD15}"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588250915007227"/>
                      <c:h val="4.5985267034990791E-2"/>
                    </c:manualLayout>
                  </c15:layout>
                  <c15:dlblFieldTable/>
                  <c15:showDataLabelsRange val="1"/>
                </c:ext>
                <c:ext xmlns:c16="http://schemas.microsoft.com/office/drawing/2014/chart" uri="{C3380CC4-5D6E-409C-BE32-E72D297353CC}">
                  <c16:uniqueId val="{0000000B-1356-40DC-BA4E-B5E608A9821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Chart!$BR$87</c:f>
              <c:numCache>
                <c:formatCode>_(* #,##0_);_(* \(#,##0\);_(* "-"??_);_(@_)</c:formatCode>
                <c:ptCount val="1"/>
                <c:pt idx="0">
                  <c:v>49.226581488920786</c:v>
                </c:pt>
              </c:numCache>
            </c:numRef>
          </c:val>
          <c:extLst>
            <c:ext xmlns:c15="http://schemas.microsoft.com/office/drawing/2012/chart" uri="{02D57815-91ED-43cb-92C2-25804820EDAC}">
              <c15:datalabelsRange>
                <c15:f>Chart!$BS$87</c15:f>
                <c15:dlblRangeCache>
                  <c:ptCount val="1"/>
                  <c:pt idx="0">
                    <c:v>4%</c:v>
                  </c:pt>
                </c15:dlblRangeCache>
              </c15:datalabelsRange>
            </c:ext>
            <c:ext xmlns:c16="http://schemas.microsoft.com/office/drawing/2014/chart" uri="{C3380CC4-5D6E-409C-BE32-E72D297353CC}">
              <c16:uniqueId val="{0000000C-1356-40DC-BA4E-B5E608A98216}"/>
            </c:ext>
          </c:extLst>
        </c:ser>
        <c:ser>
          <c:idx val="6"/>
          <c:order val="6"/>
          <c:tx>
            <c:strRef>
              <c:f>Chart!$BQ$88</c:f>
              <c:strCache>
                <c:ptCount val="1"/>
                <c:pt idx="0">
                  <c:v>Lợi nhuận sau thuế</c:v>
                </c:pt>
              </c:strCache>
            </c:strRef>
          </c:tx>
          <c:spPr>
            <a:solidFill>
              <a:srgbClr val="0000FF"/>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D3F16A86-537E-4FC2-B515-1EFD4313EFC1}" type="CELLRANGE">
                      <a:rPr lang="en-US" sz="1050" b="1" baseline="0"/>
                      <a:pPr>
                        <a:defRPr sz="1050" b="1">
                          <a:solidFill>
                            <a:schemeClr val="bg1"/>
                          </a:solidFill>
                        </a:defRPr>
                      </a:pPr>
                      <a:t>[CELLRANGE]</a:t>
                    </a:fld>
                    <a:r>
                      <a:rPr lang="en-US" sz="1050" b="1" baseline="0"/>
                      <a:t>, </a:t>
                    </a:r>
                    <a:fld id="{D6170958-11FA-4C84-B30A-8BBB9D950822}" type="SERIESNAME">
                      <a:rPr lang="en-US" sz="1050" b="1" baseline="0"/>
                      <a:pPr>
                        <a:defRPr sz="1050" b="1">
                          <a:solidFill>
                            <a:schemeClr val="bg1"/>
                          </a:solidFill>
                        </a:defRPr>
                      </a:pPr>
                      <a:t>[SERIES NAME]</a:t>
                    </a:fld>
                    <a:r>
                      <a:rPr lang="en-US" sz="1050" b="1" baseline="0"/>
                      <a:t>, </a:t>
                    </a:r>
                    <a:fld id="{15938042-6D61-4C6B-9BCA-80B0DD77F323}" type="VALUE">
                      <a:rPr lang="en-US" sz="1050" b="1" baseline="0"/>
                      <a:pPr>
                        <a:defRPr sz="1050" b="1">
                          <a:solidFill>
                            <a:schemeClr val="bg1"/>
                          </a:solidFill>
                        </a:defRPr>
                      </a:pPr>
                      <a:t>[VALUE]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372566735391917"/>
                      <c:h val="6.621554211800873E-2"/>
                    </c:manualLayout>
                  </c15:layout>
                  <c15:dlblFieldTable/>
                  <c15:showDataLabelsRange val="1"/>
                </c:ext>
                <c:ext xmlns:c16="http://schemas.microsoft.com/office/drawing/2014/chart" uri="{C3380CC4-5D6E-409C-BE32-E72D297353CC}">
                  <c16:uniqueId val="{00000011-1356-40DC-BA4E-B5E608A98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Chart!$BR$88</c:f>
              <c:numCache>
                <c:formatCode>_(* #,##0_);_(* \(#,##0\);_(* "-"??_);_(@_)</c:formatCode>
                <c:ptCount val="1"/>
                <c:pt idx="0">
                  <c:v>196.90632595568314</c:v>
                </c:pt>
              </c:numCache>
            </c:numRef>
          </c:val>
          <c:extLst>
            <c:ext xmlns:c15="http://schemas.microsoft.com/office/drawing/2012/chart" uri="{02D57815-91ED-43cb-92C2-25804820EDAC}">
              <c15:datalabelsRange>
                <c15:f>Chart!$BS$88</c15:f>
                <c15:dlblRangeCache>
                  <c:ptCount val="1"/>
                  <c:pt idx="0">
                    <c:v>14%</c:v>
                  </c:pt>
                </c15:dlblRangeCache>
              </c15:datalabelsRange>
            </c:ext>
            <c:ext xmlns:c16="http://schemas.microsoft.com/office/drawing/2014/chart" uri="{C3380CC4-5D6E-409C-BE32-E72D297353CC}">
              <c16:uniqueId val="{00000010-1356-40DC-BA4E-B5E608A98216}"/>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sz="1400" b="1" i="0" u="none" strike="noStrike" kern="1200" spc="0" baseline="0">
                <a:solidFill>
                  <a:srgbClr val="FFC000"/>
                </a:solidFill>
              </a:rPr>
              <a:t>Vảy  FPET 201</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Chart!$C$219</c:f>
              <c:strCache>
                <c:ptCount val="1"/>
                <c:pt idx="0">
                  <c:v>Chi phí NVL</c:v>
                </c:pt>
              </c:strCache>
            </c:strRef>
          </c:tx>
          <c:spPr>
            <a:solidFill>
              <a:schemeClr val="accent1"/>
            </a:solidFill>
            <a:ln>
              <a:noFill/>
            </a:ln>
            <a:effectLst/>
          </c:spPr>
          <c:invertIfNegative val="0"/>
          <c:dLbls>
            <c:dLbl>
              <c:idx val="0"/>
              <c:tx>
                <c:rich>
                  <a:bodyPr/>
                  <a:lstStyle/>
                  <a:p>
                    <a:fld id="{8C6FEF5E-3424-4A1A-9164-D4EC43316472}" type="CELLRANGE">
                      <a:rPr lang="en-US" baseline="0"/>
                      <a:pPr/>
                      <a:t>[CELLRANGE]</a:t>
                    </a:fld>
                    <a:r>
                      <a:rPr lang="en-US" baseline="0"/>
                      <a:t>, </a:t>
                    </a:r>
                    <a:fld id="{63A91C0D-9136-4E2A-BB40-CB22E337AED7}" type="SERIESNAME">
                      <a:rPr lang="en-US" baseline="0"/>
                      <a:pPr/>
                      <a:t>[SERIES NAME]</a:t>
                    </a:fld>
                    <a:r>
                      <a:rPr lang="en-US" baseline="0"/>
                      <a:t>, </a:t>
                    </a:r>
                    <a:fld id="{0658538C-8898-4EED-BDD7-777C477B7EA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6269533086187759"/>
                      <c:h val="4.3827578181448293E-2"/>
                    </c:manualLayout>
                  </c15:layout>
                  <c15:dlblFieldTable/>
                  <c15:showDataLabelsRange val="1"/>
                </c:ext>
                <c:ext xmlns:c16="http://schemas.microsoft.com/office/drawing/2014/chart" uri="{C3380CC4-5D6E-409C-BE32-E72D297353CC}">
                  <c16:uniqueId val="{00000000-14B3-4124-9470-C8922F31EBE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Chart!$D$219</c:f>
              <c:numCache>
                <c:formatCode>_(* #,##0_);_(* \(#,##0\);_(* "-"??_);_(@_)</c:formatCode>
                <c:ptCount val="1"/>
                <c:pt idx="0">
                  <c:v>14621.357156513728</c:v>
                </c:pt>
              </c:numCache>
            </c:numRef>
          </c:val>
          <c:extLst>
            <c:ext xmlns:c15="http://schemas.microsoft.com/office/drawing/2012/chart" uri="{02D57815-91ED-43cb-92C2-25804820EDAC}">
              <c15:datalabelsRange>
                <c15:f>Chart!$E$219</c15:f>
                <c15:dlblRangeCache>
                  <c:ptCount val="1"/>
                  <c:pt idx="0">
                    <c:v>66%</c:v>
                  </c:pt>
                </c15:dlblRangeCache>
              </c15:datalabelsRange>
            </c:ext>
            <c:ext xmlns:c16="http://schemas.microsoft.com/office/drawing/2014/chart" uri="{C3380CC4-5D6E-409C-BE32-E72D297353CC}">
              <c16:uniqueId val="{00000001-14B3-4124-9470-C8922F31EBEF}"/>
            </c:ext>
          </c:extLst>
        </c:ser>
        <c:ser>
          <c:idx val="1"/>
          <c:order val="1"/>
          <c:tx>
            <c:strRef>
              <c:f>Chart!$C$220</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86797842-E77A-4600-B8ED-3B64F3AE3EEF}" type="CELLRANGE">
                      <a:rPr lang="en-US" sz="1200" b="1" baseline="0"/>
                      <a:pPr>
                        <a:defRPr sz="1200" b="1">
                          <a:solidFill>
                            <a:schemeClr val="bg1"/>
                          </a:solidFill>
                        </a:defRPr>
                      </a:pPr>
                      <a:t>[CELLRANGE]</a:t>
                    </a:fld>
                    <a:r>
                      <a:rPr lang="en-US" sz="1200" b="1" baseline="0"/>
                      <a:t>, </a:t>
                    </a:r>
                    <a:fld id="{614DAB92-8436-4FDD-98E5-F4D80DDCE521}" type="SERIESNAME">
                      <a:rPr lang="en-US" sz="1200" b="1" baseline="0"/>
                      <a:pPr>
                        <a:defRPr sz="1200" b="1">
                          <a:solidFill>
                            <a:schemeClr val="bg1"/>
                          </a:solidFill>
                        </a:defRPr>
                      </a:pPr>
                      <a:t>[SERIES NAME]</a:t>
                    </a:fld>
                    <a:r>
                      <a:rPr lang="en-US" sz="1200" b="1" baseline="0"/>
                      <a:t>, </a:t>
                    </a:r>
                    <a:fld id="{3EC58BD3-96B8-49BD-A060-2F3E6816328C}"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189972956197178"/>
                      <c:h val="4.3827578181448293E-2"/>
                    </c:manualLayout>
                  </c15:layout>
                  <c15:dlblFieldTable/>
                  <c15:showDataLabelsRange val="1"/>
                </c:ext>
                <c:ext xmlns:c16="http://schemas.microsoft.com/office/drawing/2014/chart" uri="{C3380CC4-5D6E-409C-BE32-E72D297353CC}">
                  <c16:uniqueId val="{00000002-14B3-4124-9470-C8922F31EB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Chart!$D$220</c:f>
              <c:numCache>
                <c:formatCode>_(* #,##0_);_(* \(#,##0\);_(* "-"??_);_(@_)</c:formatCode>
                <c:ptCount val="1"/>
                <c:pt idx="0">
                  <c:v>2037.6279276497469</c:v>
                </c:pt>
              </c:numCache>
            </c:numRef>
          </c:val>
          <c:extLst>
            <c:ext xmlns:c15="http://schemas.microsoft.com/office/drawing/2012/chart" uri="{02D57815-91ED-43cb-92C2-25804820EDAC}">
              <c15:datalabelsRange>
                <c15:f>Chart!$E$220</c15:f>
                <c15:dlblRangeCache>
                  <c:ptCount val="1"/>
                  <c:pt idx="0">
                    <c:v>9%</c:v>
                  </c:pt>
                </c15:dlblRangeCache>
              </c15:datalabelsRange>
            </c:ext>
            <c:ext xmlns:c16="http://schemas.microsoft.com/office/drawing/2014/chart" uri="{C3380CC4-5D6E-409C-BE32-E72D297353CC}">
              <c16:uniqueId val="{00000003-14B3-4124-9470-C8922F31EBEF}"/>
            </c:ext>
          </c:extLst>
        </c:ser>
        <c:ser>
          <c:idx val="2"/>
          <c:order val="2"/>
          <c:tx>
            <c:strRef>
              <c:f>Chart!$C$221</c:f>
              <c:strCache>
                <c:ptCount val="1"/>
                <c:pt idx="0">
                  <c:v>Chi phí sản xuất _Phân loại</c:v>
                </c:pt>
              </c:strCache>
            </c:strRef>
          </c:tx>
          <c:spPr>
            <a:solidFill>
              <a:schemeClr val="accent3"/>
            </a:solidFill>
            <a:ln>
              <a:noFill/>
            </a:ln>
            <a:effectLst/>
          </c:spPr>
          <c:invertIfNegative val="0"/>
          <c:dLbls>
            <c:dLbl>
              <c:idx val="0"/>
              <c:layout>
                <c:manualLayout>
                  <c:x val="-5.2366786317672373E-3"/>
                  <c:y val="-6.4356933755321505E-17"/>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180F9D4-7672-4C75-9742-685068BF3061}"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06D38E6D-45B6-4528-8B45-7825272A18D8}"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A6F3BE19-8451-4600-BAAC-1329D3806E06}"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6731009549172826"/>
                      <c:h val="8.2389528227360148E-2"/>
                    </c:manualLayout>
                  </c15:layout>
                  <c15:dlblFieldTable/>
                  <c15:showDataLabelsRange val="1"/>
                </c:ext>
                <c:ext xmlns:c16="http://schemas.microsoft.com/office/drawing/2014/chart" uri="{C3380CC4-5D6E-409C-BE32-E72D297353CC}">
                  <c16:uniqueId val="{00000004-14B3-4124-9470-C8922F31EBE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Chart!$D$221</c:f>
              <c:numCache>
                <c:formatCode>_(* #,##0_);_(* \(#,##0\);_(* "-"??_);_(@_)</c:formatCode>
                <c:ptCount val="1"/>
                <c:pt idx="0">
                  <c:v>3866.2795717309741</c:v>
                </c:pt>
              </c:numCache>
            </c:numRef>
          </c:val>
          <c:extLst>
            <c:ext xmlns:c15="http://schemas.microsoft.com/office/drawing/2012/chart" uri="{02D57815-91ED-43cb-92C2-25804820EDAC}">
              <c15:datalabelsRange>
                <c15:f>Chart!$E$221</c15:f>
                <c15:dlblRangeCache>
                  <c:ptCount val="1"/>
                  <c:pt idx="0">
                    <c:v>17%</c:v>
                  </c:pt>
                </c15:dlblRangeCache>
              </c15:datalabelsRange>
            </c:ext>
            <c:ext xmlns:c16="http://schemas.microsoft.com/office/drawing/2014/chart" uri="{C3380CC4-5D6E-409C-BE32-E72D297353CC}">
              <c16:uniqueId val="{00000005-14B3-4124-9470-C8922F31EBEF}"/>
            </c:ext>
          </c:extLst>
        </c:ser>
        <c:ser>
          <c:idx val="3"/>
          <c:order val="3"/>
          <c:tx>
            <c:strRef>
              <c:f>Chart!$C$222</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760D6824-E87F-474A-B1E8-EFB9F0030C05}" type="CELLRANGE">
                      <a:rPr lang="en-US" sz="1050" b="1" baseline="0"/>
                      <a:pPr>
                        <a:defRPr sz="1050" b="1">
                          <a:solidFill>
                            <a:schemeClr val="bg1"/>
                          </a:solidFill>
                        </a:defRPr>
                      </a:pPr>
                      <a:t>[CELLRANGE]</a:t>
                    </a:fld>
                    <a:r>
                      <a:rPr lang="en-US" sz="1050" b="1" baseline="0"/>
                      <a:t>, </a:t>
                    </a:r>
                    <a:fld id="{3726DD2C-D672-4F77-966A-8A53A84A7493}" type="SERIESNAME">
                      <a:rPr lang="en-US" sz="1050" b="1" baseline="0"/>
                      <a:pPr>
                        <a:defRPr sz="1050" b="1">
                          <a:solidFill>
                            <a:schemeClr val="bg1"/>
                          </a:solidFill>
                        </a:defRPr>
                      </a:pPr>
                      <a:t>[SERIES NAME]</a:t>
                    </a:fld>
                    <a:r>
                      <a:rPr lang="en-US" sz="1050" b="1" baseline="0"/>
                      <a:t>, </a:t>
                    </a:r>
                    <a:fld id="{935B6D2B-6CBD-4328-B93B-25D603C70E48}" type="VALUE">
                      <a:rPr lang="en-US" sz="1050" b="1" baseline="0"/>
                      <a:pPr>
                        <a:defRPr sz="1050" b="1">
                          <a:solidFill>
                            <a:schemeClr val="bg1"/>
                          </a:solidFill>
                        </a:defRPr>
                      </a:pPr>
                      <a:t>[VALUE]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856968576079728"/>
                      <c:h val="6.3108622307135653E-2"/>
                    </c:manualLayout>
                  </c15:layout>
                  <c15:dlblFieldTable/>
                  <c15:showDataLabelsRange val="1"/>
                </c:ext>
                <c:ext xmlns:c16="http://schemas.microsoft.com/office/drawing/2014/chart" uri="{C3380CC4-5D6E-409C-BE32-E72D297353CC}">
                  <c16:uniqueId val="{00000006-14B3-4124-9470-C8922F31EB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Chart!$D$222</c:f>
              <c:numCache>
                <c:formatCode>_(* #,##0_);_(* \(#,##0\);_(* "-"??_);_(@_)</c:formatCode>
                <c:ptCount val="1"/>
                <c:pt idx="0">
                  <c:v>2006.5906994022932</c:v>
                </c:pt>
              </c:numCache>
            </c:numRef>
          </c:val>
          <c:extLst>
            <c:ext xmlns:c15="http://schemas.microsoft.com/office/drawing/2012/chart" uri="{02D57815-91ED-43cb-92C2-25804820EDAC}">
              <c15:datalabelsRange>
                <c15:f>Chart!$E$222</c15:f>
                <c15:dlblRangeCache>
                  <c:ptCount val="1"/>
                  <c:pt idx="0">
                    <c:v>9%</c:v>
                  </c:pt>
                </c15:dlblRangeCache>
              </c15:datalabelsRange>
            </c:ext>
            <c:ext xmlns:c16="http://schemas.microsoft.com/office/drawing/2014/chart" uri="{C3380CC4-5D6E-409C-BE32-E72D297353CC}">
              <c16:uniqueId val="{00000007-14B3-4124-9470-C8922F31EBEF}"/>
            </c:ext>
          </c:extLst>
        </c:ser>
        <c:ser>
          <c:idx val="4"/>
          <c:order val="4"/>
          <c:tx>
            <c:strRef>
              <c:f>Chart!$C$223</c:f>
              <c:strCache>
                <c:ptCount val="1"/>
                <c:pt idx="0">
                  <c:v>Chi phí sản xuất _Rữa</c:v>
                </c:pt>
              </c:strCache>
            </c:strRef>
          </c:tx>
          <c:spPr>
            <a:solidFill>
              <a:schemeClr val="accent5"/>
            </a:solidFill>
            <a:ln>
              <a:noFill/>
            </a:ln>
            <a:effectLst/>
          </c:spPr>
          <c:invertIfNegative val="0"/>
          <c:dLbls>
            <c:dLbl>
              <c:idx val="0"/>
              <c:layout>
                <c:manualLayout>
                  <c:x val="1.0473357263534377E-2"/>
                  <c:y val="1.7553475839750213E-3"/>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fld id="{B2DCFDD9-CF0D-4103-A88E-7EDDA524D6ED}" type="CELLRANGE">
                      <a:rPr lang="en-US" sz="1050" b="1" baseline="0"/>
                      <a:pPr>
                        <a:defRPr sz="1050" b="1">
                          <a:solidFill>
                            <a:schemeClr val="bg1"/>
                          </a:solidFill>
                        </a:defRPr>
                      </a:pPr>
                      <a:t>[CELLRANGE]</a:t>
                    </a:fld>
                    <a:r>
                      <a:rPr lang="en-US" sz="1050" b="1" baseline="0"/>
                      <a:t>, </a:t>
                    </a:r>
                    <a:fld id="{380B26F6-45AD-4550-87E6-FF9FF2C68048}" type="SERIESNAME">
                      <a:rPr lang="en-US" sz="1050" b="1" baseline="0"/>
                      <a:pPr>
                        <a:defRPr sz="1050" b="1">
                          <a:solidFill>
                            <a:schemeClr val="bg1"/>
                          </a:solidFill>
                        </a:defRPr>
                      </a:pPr>
                      <a:t>[SERIES NAME]</a:t>
                    </a:fld>
                    <a:r>
                      <a:rPr lang="en-US" sz="1050" b="1" baseline="0"/>
                      <a:t>, </a:t>
                    </a:r>
                    <a:fld id="{3425E6D8-589B-4A16-ACC0-70170A6A341B}" type="VALUE">
                      <a:rPr lang="en-US" sz="1050" b="1" baseline="0"/>
                      <a:pPr>
                        <a:defRPr sz="1050" b="1">
                          <a:solidFill>
                            <a:schemeClr val="bg1"/>
                          </a:solidFill>
                        </a:defRPr>
                      </a:pPr>
                      <a:t>[VALUE]</a:t>
                    </a:fld>
                    <a:endParaRPr lang="en-US" sz="1050" b="1" baseline="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6460434075301511"/>
                      <c:h val="4.2046109764989903E-2"/>
                    </c:manualLayout>
                  </c15:layout>
                  <c15:dlblFieldTable/>
                  <c15:showDataLabelsRange val="1"/>
                </c:ext>
                <c:ext xmlns:c16="http://schemas.microsoft.com/office/drawing/2014/chart" uri="{C3380CC4-5D6E-409C-BE32-E72D297353CC}">
                  <c16:uniqueId val="{00000008-14B3-4124-9470-C8922F31EBE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Chart!$D$223</c:f>
              <c:numCache>
                <c:formatCode>_(* #,##0_);_(* \(#,##0\);_(* "-"??_);_(@_)</c:formatCode>
                <c:ptCount val="1"/>
                <c:pt idx="0">
                  <c:v>1271.1429605917506</c:v>
                </c:pt>
              </c:numCache>
            </c:numRef>
          </c:val>
          <c:extLst>
            <c:ext xmlns:c15="http://schemas.microsoft.com/office/drawing/2012/chart" uri="{02D57815-91ED-43cb-92C2-25804820EDAC}">
              <c15:datalabelsRange>
                <c15:f>Chart!$E$182</c15:f>
                <c15:dlblRangeCache>
                  <c:ptCount val="1"/>
                  <c:pt idx="0">
                    <c:v>6%</c:v>
                  </c:pt>
                </c15:dlblRangeCache>
              </c15:datalabelsRange>
            </c:ext>
            <c:ext xmlns:c16="http://schemas.microsoft.com/office/drawing/2014/chart" uri="{C3380CC4-5D6E-409C-BE32-E72D297353CC}">
              <c16:uniqueId val="{00000009-14B3-4124-9470-C8922F31EBEF}"/>
            </c:ext>
          </c:extLst>
        </c:ser>
        <c:ser>
          <c:idx val="5"/>
          <c:order val="5"/>
          <c:tx>
            <c:strRef>
              <c:f>Chart!$C$224</c:f>
              <c:strCache>
                <c:ptCount val="1"/>
                <c:pt idx="0">
                  <c:v>Phó sản thu hồi</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A0675DB0-A2ED-41CE-B8AE-979F0F89053E}" type="CELLRANGE">
                      <a:rPr lang="en-US" sz="1200" b="1" baseline="0"/>
                      <a:pPr>
                        <a:defRPr sz="1200" b="1">
                          <a:solidFill>
                            <a:schemeClr val="bg1"/>
                          </a:solidFill>
                        </a:defRPr>
                      </a:pPr>
                      <a:t>[CELLRANGE]</a:t>
                    </a:fld>
                    <a:r>
                      <a:rPr lang="en-US" sz="1200" b="1" baseline="0"/>
                      <a:t>, </a:t>
                    </a:r>
                    <a:fld id="{004035C2-FD9D-4B14-8233-01041A311B83}" type="SERIESNAME">
                      <a:rPr lang="en-US" sz="1200" b="1" baseline="0"/>
                      <a:pPr>
                        <a:defRPr sz="1200" b="1">
                          <a:solidFill>
                            <a:schemeClr val="bg1"/>
                          </a:solidFill>
                        </a:defRPr>
                      </a:pPr>
                      <a:t>[SERIES NAME]</a:t>
                    </a:fld>
                    <a:r>
                      <a:rPr lang="en-US" sz="1200" b="1" baseline="0"/>
                      <a:t>, </a:t>
                    </a:r>
                    <a:fld id="{00DCF180-5305-478F-AD87-9DBBB2BD013C}"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090078569421864"/>
                      <c:h val="6.3108622307135653E-2"/>
                    </c:manualLayout>
                  </c15:layout>
                  <c15:dlblFieldTable/>
                  <c15:showDataLabelsRange val="1"/>
                </c:ext>
                <c:ext xmlns:c16="http://schemas.microsoft.com/office/drawing/2014/chart" uri="{C3380CC4-5D6E-409C-BE32-E72D297353CC}">
                  <c16:uniqueId val="{0000000A-14B3-4124-9470-C8922F31EB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Chart!$D$224</c:f>
              <c:numCache>
                <c:formatCode>_(* #,##0_);_(* \(#,##0\);_(* "-"??_);_(@_)</c:formatCode>
                <c:ptCount val="1"/>
                <c:pt idx="0">
                  <c:v>-1169.1573453112433</c:v>
                </c:pt>
              </c:numCache>
            </c:numRef>
          </c:val>
          <c:extLst>
            <c:ext xmlns:c15="http://schemas.microsoft.com/office/drawing/2012/chart" uri="{02D57815-91ED-43cb-92C2-25804820EDAC}">
              <c15:datalabelsRange>
                <c15:f>Chart!$E$183</c15:f>
                <c15:dlblRangeCache>
                  <c:ptCount val="1"/>
                  <c:pt idx="0">
                    <c:v>-5%</c:v>
                  </c:pt>
                </c15:dlblRangeCache>
              </c15:datalabelsRange>
            </c:ext>
            <c:ext xmlns:c16="http://schemas.microsoft.com/office/drawing/2014/chart" uri="{C3380CC4-5D6E-409C-BE32-E72D297353CC}">
              <c16:uniqueId val="{0000000B-14B3-4124-9470-C8922F31EBEF}"/>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sz="1400" b="1" i="0" u="none" strike="noStrike" kern="1200" spc="0" baseline="0">
                <a:solidFill>
                  <a:srgbClr val="FFC000"/>
                </a:solidFill>
              </a:rPr>
              <a:t>Vảy  FPET 201</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Chart!$O$219</c:f>
              <c:strCache>
                <c:ptCount val="1"/>
                <c:pt idx="0">
                  <c:v>Chi phí NVL</c:v>
                </c:pt>
              </c:strCache>
            </c:strRef>
          </c:tx>
          <c:spPr>
            <a:solidFill>
              <a:schemeClr val="accent1"/>
            </a:solidFill>
            <a:ln>
              <a:noFill/>
            </a:ln>
            <a:effectLst/>
          </c:spPr>
          <c:invertIfNegative val="0"/>
          <c:dLbls>
            <c:dLbl>
              <c:idx val="0"/>
              <c:layout>
                <c:manualLayout>
                  <c:x val="4.8875680665325001E-2"/>
                  <c:y val="-1.7551402757807089E-3"/>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fld id="{FBA54A31-A6DD-4354-892A-267DDA91AE44}" type="CELLRANGE">
                      <a:rPr lang="en-US" sz="1200" b="1" baseline="0"/>
                      <a:pPr>
                        <a:defRPr sz="1200" b="1">
                          <a:solidFill>
                            <a:schemeClr val="bg1"/>
                          </a:solidFill>
                        </a:defRPr>
                      </a:pPr>
                      <a:t>[CELLRANGE]</a:t>
                    </a:fld>
                    <a:r>
                      <a:rPr lang="en-US" sz="1200" b="1" baseline="0"/>
                      <a:t>, </a:t>
                    </a:r>
                    <a:fld id="{91C3E566-DAAB-4471-A3EA-8EFAA723F0EC}" type="SERIESNAME">
                      <a:rPr lang="en-US" sz="1200" b="1" baseline="0"/>
                      <a:pPr>
                        <a:defRPr sz="1200" b="1">
                          <a:solidFill>
                            <a:schemeClr val="bg1"/>
                          </a:solidFill>
                        </a:defRPr>
                      </a:pPr>
                      <a:t>[SERIES NAME]</a:t>
                    </a:fld>
                    <a:r>
                      <a:rPr lang="en-US" sz="1200" b="1" baseline="0"/>
                      <a:t>, </a:t>
                    </a:r>
                    <a:fld id="{55199A78-CC90-420B-A7F9-5B41EBB404F5}"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719211688599787"/>
                      <c:h val="5.6114043831033307E-2"/>
                    </c:manualLayout>
                  </c15:layout>
                  <c15:dlblFieldTable/>
                  <c15:showDataLabelsRange val="1"/>
                </c:ext>
                <c:ext xmlns:c16="http://schemas.microsoft.com/office/drawing/2014/chart" uri="{C3380CC4-5D6E-409C-BE32-E72D297353CC}">
                  <c16:uniqueId val="{00000000-FCF1-429F-AA3A-B71216AF03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Chart!$P$219</c:f>
              <c:numCache>
                <c:formatCode>_(* #,##0_);_(* \(#,##0\);_(* "-"??_);_(@_)</c:formatCode>
                <c:ptCount val="1"/>
                <c:pt idx="0">
                  <c:v>551.74932666089535</c:v>
                </c:pt>
              </c:numCache>
            </c:numRef>
          </c:val>
          <c:extLst>
            <c:ext xmlns:c15="http://schemas.microsoft.com/office/drawing/2012/chart" uri="{02D57815-91ED-43cb-92C2-25804820EDAC}">
              <c15:datalabelsRange>
                <c15:f>Chart!$Q$219</c15:f>
                <c15:dlblRangeCache>
                  <c:ptCount val="1"/>
                  <c:pt idx="0">
                    <c:v>66%</c:v>
                  </c:pt>
                </c15:dlblRangeCache>
              </c15:datalabelsRange>
            </c:ext>
            <c:ext xmlns:c16="http://schemas.microsoft.com/office/drawing/2014/chart" uri="{C3380CC4-5D6E-409C-BE32-E72D297353CC}">
              <c16:uniqueId val="{00000001-FCF1-429F-AA3A-B71216AF0377}"/>
            </c:ext>
          </c:extLst>
        </c:ser>
        <c:ser>
          <c:idx val="1"/>
          <c:order val="1"/>
          <c:tx>
            <c:strRef>
              <c:f>Chart!$O$220</c:f>
              <c:strCache>
                <c:ptCount val="1"/>
                <c:pt idx="0">
                  <c:v>Hao hụt về tiền</c:v>
                </c:pt>
              </c:strCache>
            </c:strRef>
          </c:tx>
          <c:spPr>
            <a:solidFill>
              <a:schemeClr val="accent2"/>
            </a:solidFill>
            <a:ln>
              <a:noFill/>
            </a:ln>
            <a:effectLst/>
          </c:spPr>
          <c:invertIfNegative val="0"/>
          <c:dLbls>
            <c:dLbl>
              <c:idx val="0"/>
              <c:tx>
                <c:rich>
                  <a:bodyPr/>
                  <a:lstStyle/>
                  <a:p>
                    <a:fld id="{48D7EA94-A83C-4C39-88D0-3EC0E272CAF8}" type="CELLRANGE">
                      <a:rPr lang="en-US" baseline="0"/>
                      <a:pPr/>
                      <a:t>[CELLRANGE]</a:t>
                    </a:fld>
                    <a:r>
                      <a:rPr lang="en-US" baseline="0"/>
                      <a:t>, </a:t>
                    </a:r>
                    <a:fld id="{E68D2976-F081-4784-A3F9-DC1865EE9F47}" type="SERIESNAME">
                      <a:rPr lang="en-US" baseline="0"/>
                      <a:pPr/>
                      <a:t>[SERIES NAME]</a:t>
                    </a:fld>
                    <a:r>
                      <a:rPr lang="en-US" baseline="0"/>
                      <a:t>, </a:t>
                    </a:r>
                    <a:fld id="{134623AF-8A7C-49B2-B000-0E25134D71F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7140893633269119"/>
                      <c:h val="4.3827578181448293E-2"/>
                    </c:manualLayout>
                  </c15:layout>
                  <c15:dlblFieldTable/>
                  <c15:showDataLabelsRange val="1"/>
                </c:ext>
                <c:ext xmlns:c16="http://schemas.microsoft.com/office/drawing/2014/chart" uri="{C3380CC4-5D6E-409C-BE32-E72D297353CC}">
                  <c16:uniqueId val="{00000002-FCF1-429F-AA3A-B71216AF037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Chart!$P$220</c:f>
              <c:numCache>
                <c:formatCode>_(* #,##0_);_(* \(#,##0\);_(* "-"??_);_(@_)</c:formatCode>
                <c:ptCount val="1"/>
                <c:pt idx="0">
                  <c:v>76.89161991131121</c:v>
                </c:pt>
              </c:numCache>
            </c:numRef>
          </c:val>
          <c:extLst>
            <c:ext xmlns:c15="http://schemas.microsoft.com/office/drawing/2012/chart" uri="{02D57815-91ED-43cb-92C2-25804820EDAC}">
              <c15:datalabelsRange>
                <c15:f>Chart!$Q$220</c15:f>
                <c15:dlblRangeCache>
                  <c:ptCount val="1"/>
                  <c:pt idx="0">
                    <c:v>9%</c:v>
                  </c:pt>
                </c15:dlblRangeCache>
              </c15:datalabelsRange>
            </c:ext>
            <c:ext xmlns:c16="http://schemas.microsoft.com/office/drawing/2014/chart" uri="{C3380CC4-5D6E-409C-BE32-E72D297353CC}">
              <c16:uniqueId val="{00000003-FCF1-429F-AA3A-B71216AF0377}"/>
            </c:ext>
          </c:extLst>
        </c:ser>
        <c:ser>
          <c:idx val="2"/>
          <c:order val="2"/>
          <c:tx>
            <c:strRef>
              <c:f>Chart!$O$221</c:f>
              <c:strCache>
                <c:ptCount val="1"/>
                <c:pt idx="0">
                  <c:v>Chi phí sản xuất _Phân loại</c:v>
                </c:pt>
              </c:strCache>
            </c:strRef>
          </c:tx>
          <c:spPr>
            <a:solidFill>
              <a:schemeClr val="accent3"/>
            </a:solidFill>
            <a:ln>
              <a:noFill/>
            </a:ln>
            <a:effectLst/>
          </c:spPr>
          <c:invertIfNegative val="0"/>
          <c:dLbls>
            <c:dLbl>
              <c:idx val="0"/>
              <c:tx>
                <c:rich>
                  <a:bodyPr/>
                  <a:lstStyle/>
                  <a:p>
                    <a:fld id="{576860A2-731B-4ED7-A9CA-608A46E47B95}" type="CELLRANGE">
                      <a:rPr lang="en-US" baseline="0"/>
                      <a:pPr/>
                      <a:t>[CELLRANGE]</a:t>
                    </a:fld>
                    <a:r>
                      <a:rPr lang="en-US" baseline="0"/>
                      <a:t>, </a:t>
                    </a:r>
                    <a:fld id="{714DD5CF-4685-41D0-97AC-586E87EF3108}" type="SERIESNAME">
                      <a:rPr lang="en-US" baseline="0"/>
                      <a:pPr/>
                      <a:t>[SERIES NAME]</a:t>
                    </a:fld>
                    <a:r>
                      <a:rPr lang="en-US" baseline="0"/>
                      <a:t>, </a:t>
                    </a:r>
                    <a:fld id="{A9B4DECF-8085-41C5-A6AC-4B4D8F0EF1E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708013989770194"/>
                      <c:h val="8.2389528227360148E-2"/>
                    </c:manualLayout>
                  </c15:layout>
                  <c15:dlblFieldTable/>
                  <c15:showDataLabelsRange val="1"/>
                </c:ext>
                <c:ext xmlns:c16="http://schemas.microsoft.com/office/drawing/2014/chart" uri="{C3380CC4-5D6E-409C-BE32-E72D297353CC}">
                  <c16:uniqueId val="{00000004-FCF1-429F-AA3A-B71216AF037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Chart!$P$221</c:f>
              <c:numCache>
                <c:formatCode>_(* #,##0_);_(* \(#,##0\);_(* "-"??_);_(@_)</c:formatCode>
                <c:ptCount val="1"/>
                <c:pt idx="0">
                  <c:v>145.89734232947072</c:v>
                </c:pt>
              </c:numCache>
            </c:numRef>
          </c:val>
          <c:extLst>
            <c:ext xmlns:c15="http://schemas.microsoft.com/office/drawing/2012/chart" uri="{02D57815-91ED-43cb-92C2-25804820EDAC}">
              <c15:datalabelsRange>
                <c15:f>Chart!$Q$221</c15:f>
                <c15:dlblRangeCache>
                  <c:ptCount val="1"/>
                  <c:pt idx="0">
                    <c:v>17%</c:v>
                  </c:pt>
                </c15:dlblRangeCache>
              </c15:datalabelsRange>
            </c:ext>
            <c:ext xmlns:c16="http://schemas.microsoft.com/office/drawing/2014/chart" uri="{C3380CC4-5D6E-409C-BE32-E72D297353CC}">
              <c16:uniqueId val="{00000005-FCF1-429F-AA3A-B71216AF0377}"/>
            </c:ext>
          </c:extLst>
        </c:ser>
        <c:ser>
          <c:idx val="3"/>
          <c:order val="3"/>
          <c:tx>
            <c:strRef>
              <c:f>Chart!$O$222</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0BFB320D-65F2-4267-8D0C-54A5D8EF476B}" type="CELLRANGE">
                      <a:rPr lang="en-US" sz="1200" b="1" baseline="0"/>
                      <a:pPr>
                        <a:defRPr sz="1200" b="1">
                          <a:solidFill>
                            <a:schemeClr val="bg1"/>
                          </a:solidFill>
                        </a:defRPr>
                      </a:pPr>
                      <a:t>[CELLRANGE]</a:t>
                    </a:fld>
                    <a:r>
                      <a:rPr lang="en-US" sz="1200" b="1" baseline="0"/>
                      <a:t>, </a:t>
                    </a:r>
                    <a:fld id="{3914374F-93BA-473E-B3C0-C60F364D1C39}" type="SERIESNAME">
                      <a:rPr lang="en-US" sz="1200" b="1" baseline="0"/>
                      <a:pPr>
                        <a:defRPr sz="1200" b="1">
                          <a:solidFill>
                            <a:schemeClr val="bg1"/>
                          </a:solidFill>
                        </a:defRPr>
                      </a:pPr>
                      <a:t>[SERIES NAME]</a:t>
                    </a:fld>
                    <a:r>
                      <a:rPr lang="en-US" sz="1200" b="1" baseline="0"/>
                      <a:t>, </a:t>
                    </a:r>
                    <a:fld id="{252379EC-E350-4CBD-8D55-3A138FF3E925}"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66571700870938"/>
                      <c:h val="6.3108622307135653E-2"/>
                    </c:manualLayout>
                  </c15:layout>
                  <c15:dlblFieldTable/>
                  <c15:showDataLabelsRange val="1"/>
                </c:ext>
                <c:ext xmlns:c16="http://schemas.microsoft.com/office/drawing/2014/chart" uri="{C3380CC4-5D6E-409C-BE32-E72D297353CC}">
                  <c16:uniqueId val="{00000006-FCF1-429F-AA3A-B71216AF03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Chart!$P$222</c:f>
              <c:numCache>
                <c:formatCode>_(* #,##0_);_(* \(#,##0\);_(* "-"??_);_(@_)</c:formatCode>
                <c:ptCount val="1"/>
                <c:pt idx="0">
                  <c:v>75.720403751029934</c:v>
                </c:pt>
              </c:numCache>
            </c:numRef>
          </c:val>
          <c:extLst>
            <c:ext xmlns:c15="http://schemas.microsoft.com/office/drawing/2012/chart" uri="{02D57815-91ED-43cb-92C2-25804820EDAC}">
              <c15:datalabelsRange>
                <c15:f>Chart!$Q$222</c15:f>
                <c15:dlblRangeCache>
                  <c:ptCount val="1"/>
                  <c:pt idx="0">
                    <c:v>9%</c:v>
                  </c:pt>
                </c15:dlblRangeCache>
              </c15:datalabelsRange>
            </c:ext>
            <c:ext xmlns:c16="http://schemas.microsoft.com/office/drawing/2014/chart" uri="{C3380CC4-5D6E-409C-BE32-E72D297353CC}">
              <c16:uniqueId val="{00000007-FCF1-429F-AA3A-B71216AF0377}"/>
            </c:ext>
          </c:extLst>
        </c:ser>
        <c:ser>
          <c:idx val="4"/>
          <c:order val="4"/>
          <c:tx>
            <c:strRef>
              <c:f>Chart!$O$223</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B0136C83-BE28-41FB-A580-8413F983B643}" type="CELLRANGE">
                      <a:rPr lang="en-US" sz="1200" baseline="0"/>
                      <a:pPr>
                        <a:defRPr sz="1200">
                          <a:solidFill>
                            <a:schemeClr val="bg1"/>
                          </a:solidFill>
                        </a:defRPr>
                      </a:pPr>
                      <a:t>[CELLRANGE]</a:t>
                    </a:fld>
                    <a:r>
                      <a:rPr lang="en-US" sz="1200" baseline="0"/>
                      <a:t>, </a:t>
                    </a:r>
                    <a:fld id="{F397EEA4-6051-4DEA-B846-CD939401C467}" type="SERIESNAME">
                      <a:rPr lang="en-US" sz="1200" baseline="0"/>
                      <a:pPr>
                        <a:defRPr sz="1200">
                          <a:solidFill>
                            <a:schemeClr val="bg1"/>
                          </a:solidFill>
                        </a:defRPr>
                      </a:pPr>
                      <a:t>[SERIES NAME]</a:t>
                    </a:fld>
                    <a:r>
                      <a:rPr lang="en-US" sz="1200" baseline="0"/>
                      <a:t>, </a:t>
                    </a:r>
                    <a:fld id="{DBD156FA-C0B7-43EE-94BB-843310093D87}" type="VALUE">
                      <a:rPr lang="en-US" sz="1200" baseline="0"/>
                      <a:pPr>
                        <a:defRPr sz="1200">
                          <a:solidFill>
                            <a:schemeClr val="bg1"/>
                          </a:solidFill>
                        </a:defRPr>
                      </a:pPr>
                      <a:t>[VALUE]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10950104197563"/>
                      <c:h val="6.3108622307135653E-2"/>
                    </c:manualLayout>
                  </c15:layout>
                  <c15:dlblFieldTable/>
                  <c15:showDataLabelsRange val="1"/>
                </c:ext>
                <c:ext xmlns:c16="http://schemas.microsoft.com/office/drawing/2014/chart" uri="{C3380CC4-5D6E-409C-BE32-E72D297353CC}">
                  <c16:uniqueId val="{00000008-FCF1-429F-AA3A-B71216AF03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Chart!$P$223</c:f>
              <c:numCache>
                <c:formatCode>_(* #,##0_);_(* \(#,##0\);_(* "-"??_);_(@_)</c:formatCode>
                <c:ptCount val="1"/>
                <c:pt idx="0">
                  <c:v>47.967658890254739</c:v>
                </c:pt>
              </c:numCache>
            </c:numRef>
          </c:val>
          <c:extLst>
            <c:ext xmlns:c15="http://schemas.microsoft.com/office/drawing/2012/chart" uri="{02D57815-91ED-43cb-92C2-25804820EDAC}">
              <c15:datalabelsRange>
                <c15:f>Chart!$Q$223</c15:f>
                <c15:dlblRangeCache>
                  <c:ptCount val="1"/>
                  <c:pt idx="0">
                    <c:v>6%</c:v>
                  </c:pt>
                </c15:dlblRangeCache>
              </c15:datalabelsRange>
            </c:ext>
            <c:ext xmlns:c16="http://schemas.microsoft.com/office/drawing/2014/chart" uri="{C3380CC4-5D6E-409C-BE32-E72D297353CC}">
              <c16:uniqueId val="{00000009-FCF1-429F-AA3A-B71216AF0377}"/>
            </c:ext>
          </c:extLst>
        </c:ser>
        <c:ser>
          <c:idx val="5"/>
          <c:order val="5"/>
          <c:tx>
            <c:strRef>
              <c:f>Chart!$O$224</c:f>
              <c:strCache>
                <c:ptCount val="1"/>
                <c:pt idx="0">
                  <c:v>Phó sản thu hồi</c:v>
                </c:pt>
              </c:strCache>
            </c:strRef>
          </c:tx>
          <c:spPr>
            <a:solidFill>
              <a:schemeClr val="accent6"/>
            </a:solidFill>
            <a:ln>
              <a:noFill/>
            </a:ln>
            <a:effectLst/>
          </c:spPr>
          <c:invertIfNegative val="0"/>
          <c:dLbls>
            <c:dLbl>
              <c:idx val="0"/>
              <c:tx>
                <c:rich>
                  <a:bodyPr/>
                  <a:lstStyle/>
                  <a:p>
                    <a:fld id="{97A37347-F834-4BF2-A277-4A6D53CDD84F}" type="CELLRANGE">
                      <a:rPr lang="en-US" baseline="0"/>
                      <a:pPr/>
                      <a:t>[CELLRANGE]</a:t>
                    </a:fld>
                    <a:r>
                      <a:rPr lang="en-US" baseline="0"/>
                      <a:t>, </a:t>
                    </a:r>
                    <a:fld id="{E248437C-E0A0-4F4E-A2B3-7AEECFD82C46}" type="SERIESNAME">
                      <a:rPr lang="en-US" baseline="0"/>
                      <a:pPr/>
                      <a:t>[SERIES NAME]</a:t>
                    </a:fld>
                    <a:r>
                      <a:rPr lang="en-US" baseline="0"/>
                      <a:t>, </a:t>
                    </a:r>
                    <a:fld id="{FD23F26C-7BED-4138-B734-E9429688A8D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4220285826519917"/>
                      <c:h val="4.3827578181448293E-2"/>
                    </c:manualLayout>
                  </c15:layout>
                  <c15:dlblFieldTable/>
                  <c15:showDataLabelsRange val="1"/>
                </c:ext>
                <c:ext xmlns:c16="http://schemas.microsoft.com/office/drawing/2014/chart" uri="{C3380CC4-5D6E-409C-BE32-E72D297353CC}">
                  <c16:uniqueId val="{0000000A-FCF1-429F-AA3A-B71216AF037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Chart!$P$224</c:f>
              <c:numCache>
                <c:formatCode>_(* #,##0_);_(* \(#,##0\);_(* "-"??_);_(@_)</c:formatCode>
                <c:ptCount val="1"/>
                <c:pt idx="0">
                  <c:v>-44.119145106084652</c:v>
                </c:pt>
              </c:numCache>
            </c:numRef>
          </c:val>
          <c:extLst>
            <c:ext xmlns:c15="http://schemas.microsoft.com/office/drawing/2012/chart" uri="{02D57815-91ED-43cb-92C2-25804820EDAC}">
              <c15:datalabelsRange>
                <c15:f>Chart!$Q$183</c15:f>
                <c15:dlblRangeCache>
                  <c:ptCount val="1"/>
                  <c:pt idx="0">
                    <c:v>-5%</c:v>
                  </c:pt>
                </c15:dlblRangeCache>
              </c15:datalabelsRange>
            </c:ext>
            <c:ext xmlns:c16="http://schemas.microsoft.com/office/drawing/2014/chart" uri="{C3380CC4-5D6E-409C-BE32-E72D297353CC}">
              <c16:uniqueId val="{0000000B-FCF1-429F-AA3A-B71216AF0377}"/>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b="1">
                <a:solidFill>
                  <a:srgbClr val="FFC000"/>
                </a:solidFill>
              </a:rPr>
              <a:t>Vảy</a:t>
            </a:r>
            <a:r>
              <a:rPr lang="en-US" b="1" baseline="0">
                <a:solidFill>
                  <a:srgbClr val="FFC000"/>
                </a:solidFill>
              </a:rPr>
              <a:t> FPET201</a:t>
            </a:r>
            <a:endParaRPr lang="en-US"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lotArea>
      <c:layout>
        <c:manualLayout>
          <c:layoutTarget val="inner"/>
          <c:xMode val="edge"/>
          <c:yMode val="edge"/>
          <c:x val="0.13682158074867939"/>
          <c:y val="0.17213920163766633"/>
          <c:w val="0.80896738343331476"/>
          <c:h val="0.78053578768365317"/>
        </c:manualLayout>
      </c:layout>
      <c:barChart>
        <c:barDir val="col"/>
        <c:grouping val="percentStacked"/>
        <c:varyColors val="0"/>
        <c:ser>
          <c:idx val="0"/>
          <c:order val="0"/>
          <c:tx>
            <c:strRef>
              <c:f>Chart!$BE$219</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FC1400CC-3F8A-449C-AEE9-451E67C30282}" type="CELLRANGE">
                      <a:rPr lang="en-US" sz="1100" b="1" baseline="0"/>
                      <a:pPr>
                        <a:defRPr sz="1100" b="1">
                          <a:solidFill>
                            <a:schemeClr val="bg1"/>
                          </a:solidFill>
                        </a:defRPr>
                      </a:pPr>
                      <a:t>[CELLRANGE]</a:t>
                    </a:fld>
                    <a:r>
                      <a:rPr lang="en-US" sz="1100" b="1" baseline="0"/>
                      <a:t>, </a:t>
                    </a:r>
                    <a:fld id="{542C0C9E-2582-4623-9469-228BA0995259}" type="SERIESNAME">
                      <a:rPr lang="en-US" sz="1100" b="1" baseline="0"/>
                      <a:pPr>
                        <a:defRPr sz="1100" b="1">
                          <a:solidFill>
                            <a:schemeClr val="bg1"/>
                          </a:solidFill>
                        </a:defRPr>
                      </a:pPr>
                      <a:t>[SERIES NAME]</a:t>
                    </a:fld>
                    <a:r>
                      <a:rPr lang="en-US" sz="1100" b="1" baseline="0"/>
                      <a:t>, </a:t>
                    </a:r>
                    <a:fld id="{B8EA9191-A478-4329-B4B3-54BC480A1973}"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675036158448766"/>
                      <c:h val="5.1590296399486375E-2"/>
                    </c:manualLayout>
                  </c15:layout>
                  <c15:dlblFieldTable/>
                  <c15:showDataLabelsRange val="1"/>
                </c:ext>
                <c:ext xmlns:c16="http://schemas.microsoft.com/office/drawing/2014/chart" uri="{C3380CC4-5D6E-409C-BE32-E72D297353CC}">
                  <c16:uniqueId val="{00000000-A4ED-4270-AB01-93ACFDF3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Chart!$BF$219</c:f>
              <c:numCache>
                <c:formatCode>_(* #,##0_);_(* \(#,##0\);_(* "-"??_);_(@_)</c:formatCode>
                <c:ptCount val="1"/>
                <c:pt idx="0">
                  <c:v>551.74932666089535</c:v>
                </c:pt>
              </c:numCache>
            </c:numRef>
          </c:val>
          <c:extLst>
            <c:ext xmlns:c15="http://schemas.microsoft.com/office/drawing/2012/chart" uri="{02D57815-91ED-43cb-92C2-25804820EDAC}">
              <c15:datalabelsRange>
                <c15:f>Chart!$BG$219</c15:f>
                <c15:dlblRangeCache>
                  <c:ptCount val="1"/>
                  <c:pt idx="0">
                    <c:v>53%</c:v>
                  </c:pt>
                </c15:dlblRangeCache>
              </c15:datalabelsRange>
            </c:ext>
            <c:ext xmlns:c16="http://schemas.microsoft.com/office/drawing/2014/chart" uri="{C3380CC4-5D6E-409C-BE32-E72D297353CC}">
              <c16:uniqueId val="{00000001-A4ED-4270-AB01-93ACFDF3D341}"/>
            </c:ext>
          </c:extLst>
        </c:ser>
        <c:ser>
          <c:idx val="1"/>
          <c:order val="1"/>
          <c:tx>
            <c:strRef>
              <c:f>Chart!$BE$220</c:f>
              <c:strCache>
                <c:ptCount val="1"/>
                <c:pt idx="0">
                  <c:v>Chi phí sản xuất</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2080EE9F-A6B1-4330-A8B3-48EAE0DB1364}" type="CELLRANGE">
                      <a:rPr lang="en-US" sz="1100" b="1" baseline="0"/>
                      <a:pPr>
                        <a:defRPr sz="1100" b="1">
                          <a:solidFill>
                            <a:schemeClr val="bg1"/>
                          </a:solidFill>
                        </a:defRPr>
                      </a:pPr>
                      <a:t>[CELLRANGE]</a:t>
                    </a:fld>
                    <a:r>
                      <a:rPr lang="en-US" sz="1100" b="1" baseline="0"/>
                      <a:t>, </a:t>
                    </a:r>
                    <a:fld id="{032A9EAF-6575-4F6C-B5B5-2B03EBA2310E}" type="SERIESNAME">
                      <a:rPr lang="en-US" sz="1100" b="1" baseline="0"/>
                      <a:pPr>
                        <a:defRPr sz="1100" b="1">
                          <a:solidFill>
                            <a:schemeClr val="bg1"/>
                          </a:solidFill>
                        </a:defRPr>
                      </a:pPr>
                      <a:t>[SERIES NAME]</a:t>
                    </a:fld>
                    <a:r>
                      <a:rPr lang="en-US" sz="1100" b="1" baseline="0"/>
                      <a:t>, </a:t>
                    </a:r>
                    <a:fld id="{BC53B0EF-B1E7-4AF5-B106-25B5AA4F9C68}"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2823391794420449"/>
                      <c:h val="7.4286389193334565E-2"/>
                    </c:manualLayout>
                  </c15:layout>
                  <c15:dlblFieldTable/>
                  <c15:showDataLabelsRange val="1"/>
                </c:ext>
                <c:ext xmlns:c16="http://schemas.microsoft.com/office/drawing/2014/chart" uri="{C3380CC4-5D6E-409C-BE32-E72D297353CC}">
                  <c16:uniqueId val="{00000002-A4ED-4270-AB01-93ACFDF3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Chart!$BF$220</c:f>
              <c:numCache>
                <c:formatCode>_(* #,##0_);_(* \(#,##0\);_(* "-"??_);_(@_)</c:formatCode>
                <c:ptCount val="1"/>
                <c:pt idx="0">
                  <c:v>269.58540497075541</c:v>
                </c:pt>
              </c:numCache>
            </c:numRef>
          </c:val>
          <c:extLst>
            <c:ext xmlns:c15="http://schemas.microsoft.com/office/drawing/2012/chart" uri="{02D57815-91ED-43cb-92C2-25804820EDAC}">
              <c15:datalabelsRange>
                <c15:f>Chart!$BG$220</c15:f>
                <c15:dlblRangeCache>
                  <c:ptCount val="1"/>
                  <c:pt idx="0">
                    <c:v>26%</c:v>
                  </c:pt>
                </c15:dlblRangeCache>
              </c15:datalabelsRange>
            </c:ext>
            <c:ext xmlns:c16="http://schemas.microsoft.com/office/drawing/2014/chart" uri="{C3380CC4-5D6E-409C-BE32-E72D297353CC}">
              <c16:uniqueId val="{00000003-A4ED-4270-AB01-93ACFDF3D341}"/>
            </c:ext>
          </c:extLst>
        </c:ser>
        <c:ser>
          <c:idx val="2"/>
          <c:order val="2"/>
          <c:tx>
            <c:strRef>
              <c:f>Chart!$BE$221</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C8280D48-AF98-4DFA-91E2-432B4191E451}" type="CELLRANGE">
                      <a:rPr lang="en-US" sz="1100" b="1" baseline="0"/>
                      <a:pPr>
                        <a:defRPr sz="1100" b="1">
                          <a:solidFill>
                            <a:schemeClr val="bg1"/>
                          </a:solidFill>
                        </a:defRPr>
                      </a:pPr>
                      <a:t>[CELLRANGE]</a:t>
                    </a:fld>
                    <a:r>
                      <a:rPr lang="en-US" sz="1100" b="1" baseline="0"/>
                      <a:t>, </a:t>
                    </a:r>
                    <a:fld id="{C78AB5F6-842B-4FD2-9F8E-49000F1EDCD0}" type="SERIESNAME">
                      <a:rPr lang="en-US" sz="1100" b="1" baseline="0"/>
                      <a:pPr>
                        <a:defRPr sz="1100" b="1">
                          <a:solidFill>
                            <a:schemeClr val="bg1"/>
                          </a:solidFill>
                        </a:defRPr>
                      </a:pPr>
                      <a:t>[SERIES NAME]</a:t>
                    </a:fld>
                    <a:r>
                      <a:rPr lang="en-US" sz="1100" b="1" baseline="0"/>
                      <a:t>, </a:t>
                    </a:r>
                    <a:fld id="{00C7DEC7-6EBC-4675-A48B-CE1F64469FD6}"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4939045453346121"/>
                      <c:h val="5.1590296399486375E-2"/>
                    </c:manualLayout>
                  </c15:layout>
                  <c15:dlblFieldTable/>
                  <c15:showDataLabelsRange val="1"/>
                </c:ext>
                <c:ext xmlns:c16="http://schemas.microsoft.com/office/drawing/2014/chart" uri="{C3380CC4-5D6E-409C-BE32-E72D297353CC}">
                  <c16:uniqueId val="{00000004-A4ED-4270-AB01-93ACFDF3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Chart!$BF$221</c:f>
              <c:numCache>
                <c:formatCode>_(* #,##0_);_(* \(#,##0\);_(* "-"??_);_(@_)</c:formatCode>
                <c:ptCount val="1"/>
                <c:pt idx="0">
                  <c:v>32.772474805226551</c:v>
                </c:pt>
              </c:numCache>
            </c:numRef>
          </c:val>
          <c:extLst>
            <c:ext xmlns:c15="http://schemas.microsoft.com/office/drawing/2012/chart" uri="{02D57815-91ED-43cb-92C2-25804820EDAC}">
              <c15:datalabelsRange>
                <c15:f>Chart!$BG$221</c15:f>
                <c15:dlblRangeCache>
                  <c:ptCount val="1"/>
                  <c:pt idx="0">
                    <c:v>3%</c:v>
                  </c:pt>
                </c15:dlblRangeCache>
              </c15:datalabelsRange>
            </c:ext>
            <c:ext xmlns:c16="http://schemas.microsoft.com/office/drawing/2014/chart" uri="{C3380CC4-5D6E-409C-BE32-E72D297353CC}">
              <c16:uniqueId val="{00000005-A4ED-4270-AB01-93ACFDF3D341}"/>
            </c:ext>
          </c:extLst>
        </c:ser>
        <c:ser>
          <c:idx val="3"/>
          <c:order val="3"/>
          <c:tx>
            <c:strRef>
              <c:f>Chart!$BE$222</c:f>
              <c:strCache>
                <c:ptCount val="1"/>
                <c:pt idx="0">
                  <c:v>CP QL + bán hàng + lãi vay</c:v>
                </c:pt>
              </c:strCache>
            </c:strRef>
          </c:tx>
          <c:spPr>
            <a:solidFill>
              <a:schemeClr val="accent4"/>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606107191565927"/>
                      <c:h val="7.4286389193334565E-2"/>
                    </c:manualLayout>
                  </c15:layout>
                </c:ext>
                <c:ext xmlns:c16="http://schemas.microsoft.com/office/drawing/2014/chart" uri="{C3380CC4-5D6E-409C-BE32-E72D297353CC}">
                  <c16:uniqueId val="{00000006-A4ED-4270-AB01-93ACFDF3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Chart!$BF$222</c:f>
              <c:numCache>
                <c:formatCode>_(* #,##0_);_(* \(#,##0\);_(* "-"??_);_(@_)</c:formatCode>
                <c:ptCount val="1"/>
                <c:pt idx="0">
                  <c:v>140</c:v>
                </c:pt>
              </c:numCache>
            </c:numRef>
          </c:val>
          <c:extLst>
            <c:ext xmlns:c16="http://schemas.microsoft.com/office/drawing/2014/chart" uri="{C3380CC4-5D6E-409C-BE32-E72D297353CC}">
              <c16:uniqueId val="{00000007-A4ED-4270-AB01-93ACFDF3D341}"/>
            </c:ext>
          </c:extLst>
        </c:ser>
        <c:ser>
          <c:idx val="4"/>
          <c:order val="4"/>
          <c:tx>
            <c:strRef>
              <c:f>Chart!$BE$223</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50F6D980-E7B4-4E91-BF46-32DD6939FFD5}" type="CELLRANGE">
                      <a:rPr lang="en-US" baseline="0"/>
                      <a:pPr>
                        <a:defRPr>
                          <a:solidFill>
                            <a:schemeClr val="bg1"/>
                          </a:solidFill>
                        </a:defRPr>
                      </a:pPr>
                      <a:t>[CELLRANGE]</a:t>
                    </a:fld>
                    <a:r>
                      <a:rPr lang="en-US" baseline="0"/>
                      <a:t>, </a:t>
                    </a:r>
                    <a:fld id="{23D1FC64-2816-4EBD-B423-E08A4C7A1A8E}" type="SERIESNAME">
                      <a:rPr lang="en-US" baseline="0"/>
                      <a:pPr>
                        <a:defRPr>
                          <a:solidFill>
                            <a:schemeClr val="bg1"/>
                          </a:solidFill>
                        </a:defRPr>
                      </a:pPr>
                      <a:t>[SERIES NAME]</a:t>
                    </a:fld>
                    <a:r>
                      <a:rPr lang="en-US" baseline="0"/>
                      <a:t>, </a:t>
                    </a:r>
                    <a:fld id="{F92BDF13-69D4-4FD8-8925-05FD94027A55}"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748007887497759"/>
                      <c:h val="6.1964977210090824E-2"/>
                    </c:manualLayout>
                  </c15:layout>
                  <c15:dlblFieldTable/>
                  <c15:showDataLabelsRange val="1"/>
                </c:ext>
                <c:ext xmlns:c16="http://schemas.microsoft.com/office/drawing/2014/chart" uri="{C3380CC4-5D6E-409C-BE32-E72D297353CC}">
                  <c16:uniqueId val="{00000008-A4ED-4270-AB01-93ACFDF3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Chart!$BF$223</c:f>
              <c:numCache>
                <c:formatCode>_(* #,##0_);_(* \(#,##0\);_(* "-"??_);_(@_)</c:formatCode>
                <c:ptCount val="1"/>
                <c:pt idx="0">
                  <c:v>50</c:v>
                </c:pt>
              </c:numCache>
            </c:numRef>
          </c:val>
          <c:extLst>
            <c:ext xmlns:c15="http://schemas.microsoft.com/office/drawing/2012/chart" uri="{02D57815-91ED-43cb-92C2-25804820EDAC}">
              <c15:datalabelsRange>
                <c15:f>Chart!$BG$223</c15:f>
                <c15:dlblRangeCache>
                  <c:ptCount val="1"/>
                  <c:pt idx="0">
                    <c:v>5%</c:v>
                  </c:pt>
                </c15:dlblRangeCache>
              </c15:datalabelsRange>
            </c:ext>
            <c:ext xmlns:c16="http://schemas.microsoft.com/office/drawing/2014/chart" uri="{C3380CC4-5D6E-409C-BE32-E72D297353CC}">
              <c16:uniqueId val="{00000009-A4ED-4270-AB01-93ACFDF3D341}"/>
            </c:ext>
          </c:extLst>
        </c:ser>
        <c:ser>
          <c:idx val="5"/>
          <c:order val="5"/>
          <c:tx>
            <c:strRef>
              <c:f>Chart!$BE$224</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52448E8C-BFAA-4BFB-9184-528A59A4A919}" type="CELLRANGE">
                      <a:rPr lang="en-US" b="0" baseline="0"/>
                      <a:pPr>
                        <a:defRPr>
                          <a:solidFill>
                            <a:schemeClr val="bg1"/>
                          </a:solidFill>
                        </a:defRPr>
                      </a:pPr>
                      <a:t>[CELLRANGE]</a:t>
                    </a:fld>
                    <a:r>
                      <a:rPr lang="en-US" b="0" baseline="0"/>
                      <a:t>, </a:t>
                    </a:r>
                    <a:fld id="{6B1FA345-F33E-4B81-8180-76149AC02760}" type="SERIESNAME">
                      <a:rPr lang="en-US" b="0" baseline="0"/>
                      <a:pPr>
                        <a:defRPr>
                          <a:solidFill>
                            <a:schemeClr val="bg1"/>
                          </a:solidFill>
                        </a:defRPr>
                      </a:pPr>
                      <a:t>[SERIES NAME]</a:t>
                    </a:fld>
                    <a:r>
                      <a:rPr lang="en-US" b="0" baseline="0"/>
                      <a:t>, </a:t>
                    </a:r>
                    <a:fld id="{C738F81B-6FE6-4878-97DC-7D1504897FE1}" type="VALUE">
                      <a:rPr lang="en-US" b="0" baseline="0"/>
                      <a:pPr>
                        <a:defRPr>
                          <a:solidFill>
                            <a:schemeClr val="bg1"/>
                          </a:solidFill>
                        </a:defRPr>
                      </a:pPr>
                      <a:t>[VALUE]</a:t>
                    </a:fld>
                    <a:endParaRPr lang="en-US" b="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745809957736817"/>
                      <c:h val="3.8956450478921191E-2"/>
                    </c:manualLayout>
                  </c15:layout>
                  <c15:dlblFieldTable/>
                  <c15:showDataLabelsRange val="1"/>
                </c:ext>
                <c:ext xmlns:c16="http://schemas.microsoft.com/office/drawing/2014/chart" uri="{C3380CC4-5D6E-409C-BE32-E72D297353CC}">
                  <c16:uniqueId val="{0000000A-A4ED-4270-AB01-93ACFDF3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Chart!$BF$224</c:f>
              <c:numCache>
                <c:formatCode>_(* #,##0_);_(* \(#,##0\);_(* "-"??_);_(@_)</c:formatCode>
                <c:ptCount val="1"/>
                <c:pt idx="0">
                  <c:v>10</c:v>
                </c:pt>
              </c:numCache>
            </c:numRef>
          </c:val>
          <c:extLst>
            <c:ext xmlns:c15="http://schemas.microsoft.com/office/drawing/2012/chart" uri="{02D57815-91ED-43cb-92C2-25804820EDAC}">
              <c15:datalabelsRange>
                <c15:f>Chart!$BG$224</c15:f>
                <c15:dlblRangeCache>
                  <c:ptCount val="1"/>
                  <c:pt idx="0">
                    <c:v>1%</c:v>
                  </c:pt>
                </c15:dlblRangeCache>
              </c15:datalabelsRange>
            </c:ext>
            <c:ext xmlns:c16="http://schemas.microsoft.com/office/drawing/2014/chart" uri="{C3380CC4-5D6E-409C-BE32-E72D297353CC}">
              <c16:uniqueId val="{0000000B-A4ED-4270-AB01-93ACFDF3D341}"/>
            </c:ext>
          </c:extLst>
        </c:ser>
        <c:ser>
          <c:idx val="6"/>
          <c:order val="6"/>
          <c:tx>
            <c:strRef>
              <c:f>Chart!$BE$225</c:f>
              <c:strCache>
                <c:ptCount val="1"/>
                <c:pt idx="0">
                  <c:v>Lợi nhuận sau thuế</c:v>
                </c:pt>
              </c:strCache>
            </c:strRef>
          </c:tx>
          <c:spPr>
            <a:solidFill>
              <a:schemeClr val="accent1">
                <a:lumMod val="6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EB415C81-2DDF-4B04-B15E-49081DD58C75}" type="CELLRANGE">
                      <a:rPr lang="en-US" baseline="0"/>
                      <a:pPr>
                        <a:defRPr>
                          <a:solidFill>
                            <a:schemeClr val="bg1"/>
                          </a:solidFill>
                        </a:defRPr>
                      </a:pPr>
                      <a:t>[CELLRANGE]</a:t>
                    </a:fld>
                    <a:r>
                      <a:rPr lang="en-US" baseline="0"/>
                      <a:t>, </a:t>
                    </a:r>
                    <a:fld id="{9820C84E-8F10-4F60-BA06-898AF96B5299}" type="SERIESNAME">
                      <a:rPr lang="en-US" baseline="0"/>
                      <a:pPr>
                        <a:defRPr>
                          <a:solidFill>
                            <a:schemeClr val="bg1"/>
                          </a:solidFill>
                        </a:defRPr>
                      </a:pPr>
                      <a:t>[SERIES NAME]</a:t>
                    </a:fld>
                    <a:r>
                      <a:rPr lang="en-US" baseline="0"/>
                      <a:t>, </a:t>
                    </a:r>
                    <a:fld id="{65EC7E9F-A8B0-49F0-AB01-021E53A1ACAC}"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971518557156101"/>
                      <c:h val="4.7589903232629113E-2"/>
                    </c:manualLayout>
                  </c15:layout>
                  <c15:dlblFieldTable/>
                  <c15:showDataLabelsRange val="1"/>
                </c:ext>
                <c:ext xmlns:c16="http://schemas.microsoft.com/office/drawing/2014/chart" uri="{C3380CC4-5D6E-409C-BE32-E72D297353CC}">
                  <c16:uniqueId val="{0000000D-A4ED-4270-AB01-93ACFDF3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Chart!$BF$225</c:f>
              <c:numCache>
                <c:formatCode>_(* #,##0_);_(* \(#,##0\);_(* "-"??_);_(@_)</c:formatCode>
                <c:ptCount val="1"/>
                <c:pt idx="0">
                  <c:v>40</c:v>
                </c:pt>
              </c:numCache>
            </c:numRef>
          </c:val>
          <c:extLst>
            <c:ext xmlns:c15="http://schemas.microsoft.com/office/drawing/2012/chart" uri="{02D57815-91ED-43cb-92C2-25804820EDAC}">
              <c15:datalabelsRange>
                <c15:f>Chart!$BG$225</c15:f>
                <c15:dlblRangeCache>
                  <c:ptCount val="1"/>
                  <c:pt idx="0">
                    <c:v>4%</c:v>
                  </c:pt>
                </c15:dlblRangeCache>
              </c15:datalabelsRange>
            </c:ext>
            <c:ext xmlns:c16="http://schemas.microsoft.com/office/drawing/2014/chart" uri="{C3380CC4-5D6E-409C-BE32-E72D297353CC}">
              <c16:uniqueId val="{0000000E-A4ED-4270-AB01-93ACFDF3D341}"/>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FFC000"/>
                </a:solidFill>
              </a:rPr>
              <a:t>Vảy FPET201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213920163766633"/>
          <c:w val="0.80896738343331476"/>
          <c:h val="0.78053578768365317"/>
        </c:manualLayout>
      </c:layout>
      <c:barChart>
        <c:barDir val="col"/>
        <c:grouping val="percentStacked"/>
        <c:varyColors val="0"/>
        <c:ser>
          <c:idx val="0"/>
          <c:order val="0"/>
          <c:tx>
            <c:strRef>
              <c:f>Chart!$BQ$219</c:f>
              <c:strCache>
                <c:ptCount val="1"/>
                <c:pt idx="0">
                  <c:v>Chi phí NVL</c:v>
                </c:pt>
              </c:strCache>
            </c:strRef>
          </c:tx>
          <c:spPr>
            <a:solidFill>
              <a:schemeClr val="accent3">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27C46D46-BD91-443E-8059-A61412556534}" type="CELLRANGE">
                      <a:rPr lang="en-US" sz="1200" b="1" baseline="0"/>
                      <a:pPr>
                        <a:defRPr sz="1200" b="1">
                          <a:solidFill>
                            <a:schemeClr val="bg1"/>
                          </a:solidFill>
                        </a:defRPr>
                      </a:pPr>
                      <a:t>[CELLRANGE]</a:t>
                    </a:fld>
                    <a:r>
                      <a:rPr lang="en-US" sz="1200" b="1" baseline="0"/>
                      <a:t>, </a:t>
                    </a:r>
                    <a:fld id="{C0C54266-33A8-4688-B919-A2FBD1694205}" type="SERIESNAME">
                      <a:rPr lang="en-US" sz="1200" b="1" baseline="0"/>
                      <a:pPr>
                        <a:defRPr sz="1200" b="1">
                          <a:solidFill>
                            <a:schemeClr val="bg1"/>
                          </a:solidFill>
                        </a:defRPr>
                      </a:pPr>
                      <a:t>[SERIES NAME]</a:t>
                    </a:fld>
                    <a:r>
                      <a:rPr lang="en-US" sz="1200" b="1" baseline="0"/>
                      <a:t>, </a:t>
                    </a:r>
                    <a:fld id="{540413B5-8440-4B44-B93E-86CE9DCC3D1C}"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2823391794420449"/>
                      <c:h val="5.159030479242125E-2"/>
                    </c:manualLayout>
                  </c15:layout>
                  <c15:dlblFieldTable/>
                  <c15:showDataLabelsRange val="1"/>
                </c:ext>
                <c:ext xmlns:c16="http://schemas.microsoft.com/office/drawing/2014/chart" uri="{C3380CC4-5D6E-409C-BE32-E72D297353CC}">
                  <c16:uniqueId val="{00000000-E42A-4E7A-B1FA-85FBAB5144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Chart!$BR$219</c:f>
              <c:numCache>
                <c:formatCode>_(* #,##0_);_(* \(#,##0\);_(* "-"??_);_(@_)</c:formatCode>
                <c:ptCount val="1"/>
                <c:pt idx="0">
                  <c:v>551.74932666089535</c:v>
                </c:pt>
              </c:numCache>
            </c:numRef>
          </c:val>
          <c:extLst>
            <c:ext xmlns:c15="http://schemas.microsoft.com/office/drawing/2012/chart" uri="{02D57815-91ED-43cb-92C2-25804820EDAC}">
              <c15:datalabelsRange>
                <c15:f>Chart!$BS$219</c15:f>
                <c15:dlblRangeCache>
                  <c:ptCount val="1"/>
                  <c:pt idx="0">
                    <c:v>52%</c:v>
                  </c:pt>
                </c15:dlblRangeCache>
              </c15:datalabelsRange>
            </c:ext>
            <c:ext xmlns:c16="http://schemas.microsoft.com/office/drawing/2014/chart" uri="{C3380CC4-5D6E-409C-BE32-E72D297353CC}">
              <c16:uniqueId val="{00000001-E42A-4E7A-B1FA-85FBAB51448B}"/>
            </c:ext>
          </c:extLst>
        </c:ser>
        <c:ser>
          <c:idx val="1"/>
          <c:order val="1"/>
          <c:tx>
            <c:strRef>
              <c:f>Chart!$BQ$220</c:f>
              <c:strCache>
                <c:ptCount val="1"/>
                <c:pt idx="0">
                  <c:v>Chi phí sản xuất</c:v>
                </c:pt>
              </c:strCache>
            </c:strRef>
          </c:tx>
          <c:spPr>
            <a:solidFill>
              <a:srgbClr val="FFC000"/>
            </a:solidFill>
            <a:ln>
              <a:noFill/>
            </a:ln>
            <a:effectLst/>
          </c:spPr>
          <c:invertIfNegative val="0"/>
          <c:dLbls>
            <c:dLbl>
              <c:idx val="0"/>
              <c:layout>
                <c:manualLayout>
                  <c:x val="3.1599102657846961E-2"/>
                  <c:y val="8.2643660059945872E-3"/>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fld id="{E5BFC775-DA78-4333-A6ED-630D6945E752}" type="CELLRANGE">
                      <a:rPr lang="en-US" sz="1100" b="1" baseline="0"/>
                      <a:pPr>
                        <a:defRPr sz="1100" b="1">
                          <a:solidFill>
                            <a:schemeClr val="bg1"/>
                          </a:solidFill>
                        </a:defRPr>
                      </a:pPr>
                      <a:t>[CELLRANGE]</a:t>
                    </a:fld>
                    <a:r>
                      <a:rPr lang="en-US" sz="1100" b="1" baseline="0"/>
                      <a:t>, </a:t>
                    </a:r>
                    <a:fld id="{88DA0F33-2573-4B9B-89DD-84D1191ED894}" type="SERIESNAME">
                      <a:rPr lang="en-US" sz="1100" b="1" baseline="0"/>
                      <a:pPr>
                        <a:defRPr sz="1100" b="1">
                          <a:solidFill>
                            <a:schemeClr val="bg1"/>
                          </a:solidFill>
                        </a:defRPr>
                      </a:pPr>
                      <a:t>[SERIES NAME]</a:t>
                    </a:fld>
                    <a:r>
                      <a:rPr lang="en-US" sz="1100" b="1" baseline="0"/>
                      <a:t>, </a:t>
                    </a:r>
                    <a:fld id="{6BB23991-8E88-438C-986E-D6F0BC55A5DE}"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79592866026768"/>
                      <c:h val="4.5423103002632872E-2"/>
                    </c:manualLayout>
                  </c15:layout>
                  <c15:dlblFieldTable/>
                  <c15:showDataLabelsRange val="1"/>
                </c:ext>
                <c:ext xmlns:c16="http://schemas.microsoft.com/office/drawing/2014/chart" uri="{C3380CC4-5D6E-409C-BE32-E72D297353CC}">
                  <c16:uniqueId val="{00000003-E42A-4E7A-B1FA-85FBAB51448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Chart!$BR$220</c:f>
              <c:numCache>
                <c:formatCode>_(* #,##0_);_(* \(#,##0\);_(* "-"??_);_(@_)</c:formatCode>
                <c:ptCount val="1"/>
                <c:pt idx="0">
                  <c:v>269.58540497075541</c:v>
                </c:pt>
              </c:numCache>
            </c:numRef>
          </c:val>
          <c:extLst>
            <c:ext xmlns:c15="http://schemas.microsoft.com/office/drawing/2012/chart" uri="{02D57815-91ED-43cb-92C2-25804820EDAC}">
              <c15:datalabelsRange>
                <c15:f>Chart!$BS$220</c15:f>
                <c15:dlblRangeCache>
                  <c:ptCount val="1"/>
                  <c:pt idx="0">
                    <c:v>25%</c:v>
                  </c:pt>
                </c15:dlblRangeCache>
              </c15:datalabelsRange>
            </c:ext>
            <c:ext xmlns:c16="http://schemas.microsoft.com/office/drawing/2014/chart" uri="{C3380CC4-5D6E-409C-BE32-E72D297353CC}">
              <c16:uniqueId val="{00000004-E42A-4E7A-B1FA-85FBAB51448B}"/>
            </c:ext>
          </c:extLst>
        </c:ser>
        <c:ser>
          <c:idx val="2"/>
          <c:order val="2"/>
          <c:tx>
            <c:strRef>
              <c:f>Chart!$BQ$221</c:f>
              <c:strCache>
                <c:ptCount val="1"/>
                <c:pt idx="0">
                  <c:v>Hao hụt về tiền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Chart!$BR$221</c:f>
              <c:numCache>
                <c:formatCode>_(* #,##0_);_(* \(#,##0\);_(* "-"??_);_(@_)</c:formatCode>
                <c:ptCount val="1"/>
                <c:pt idx="0">
                  <c:v>32.772474805226551</c:v>
                </c:pt>
              </c:numCache>
            </c:numRef>
          </c:val>
          <c:extLst>
            <c:ext xmlns:c16="http://schemas.microsoft.com/office/drawing/2014/chart" uri="{C3380CC4-5D6E-409C-BE32-E72D297353CC}">
              <c16:uniqueId val="{00000006-E42A-4E7A-B1FA-85FBAB51448B}"/>
            </c:ext>
          </c:extLst>
        </c:ser>
        <c:ser>
          <c:idx val="3"/>
          <c:order val="3"/>
          <c:tx>
            <c:strRef>
              <c:f>Chart!$BQ$222</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855AE425-BA3F-4410-9C92-3FFCE5C00BD7}"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E2A30E5D-7F0A-4FA0-A51D-9BD1FF40C57D}"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A2EA846C-E199-4839-A624-905712F33E47}"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591562533265924"/>
                      <c:h val="7.4286401278569003E-2"/>
                    </c:manualLayout>
                  </c15:layout>
                  <c15:dlblFieldTable/>
                  <c15:showDataLabelsRange val="1"/>
                </c:ext>
                <c:ext xmlns:c16="http://schemas.microsoft.com/office/drawing/2014/chart" uri="{C3380CC4-5D6E-409C-BE32-E72D297353CC}">
                  <c16:uniqueId val="{00000007-E42A-4E7A-B1FA-85FBAB5144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Chart!$BR$222</c:f>
              <c:numCache>
                <c:formatCode>_(* #,##0_);_(* \(#,##0\);_(* "-"??_);_(@_)</c:formatCode>
                <c:ptCount val="1"/>
                <c:pt idx="0">
                  <c:v>140</c:v>
                </c:pt>
              </c:numCache>
            </c:numRef>
          </c:val>
          <c:extLst>
            <c:ext xmlns:c15="http://schemas.microsoft.com/office/drawing/2012/chart" uri="{02D57815-91ED-43cb-92C2-25804820EDAC}">
              <c15:datalabelsRange>
                <c15:f>Chart!$BS$222</c15:f>
                <c15:dlblRangeCache>
                  <c:ptCount val="1"/>
                  <c:pt idx="0">
                    <c:v>13%</c:v>
                  </c:pt>
                </c15:dlblRangeCache>
              </c15:datalabelsRange>
            </c:ext>
            <c:ext xmlns:c16="http://schemas.microsoft.com/office/drawing/2014/chart" uri="{C3380CC4-5D6E-409C-BE32-E72D297353CC}">
              <c16:uniqueId val="{00000008-E42A-4E7A-B1FA-85FBAB51448B}"/>
            </c:ext>
          </c:extLst>
        </c:ser>
        <c:ser>
          <c:idx val="4"/>
          <c:order val="4"/>
          <c:tx>
            <c:strRef>
              <c:f>Chart!$BQ$223</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09AF626A-B6F8-48AE-BA25-694BF8F2C12E}" type="CELLRANGE">
                      <a:rPr lang="en-US" sz="1100" b="1" baseline="0"/>
                      <a:pPr>
                        <a:defRPr sz="1100" b="1">
                          <a:solidFill>
                            <a:schemeClr val="bg1"/>
                          </a:solidFill>
                        </a:defRPr>
                      </a:pPr>
                      <a:t>[CELLRANGE]</a:t>
                    </a:fld>
                    <a:r>
                      <a:rPr lang="en-US" sz="1100" b="1" baseline="0"/>
                      <a:t>, </a:t>
                    </a:r>
                    <a:fld id="{30ED5278-232A-4969-A740-1C70C34429A2}" type="SERIESNAME">
                      <a:rPr lang="en-US" sz="1100" b="1" baseline="0"/>
                      <a:pPr>
                        <a:defRPr sz="1100" b="1">
                          <a:solidFill>
                            <a:schemeClr val="bg1"/>
                          </a:solidFill>
                        </a:defRPr>
                      </a:pPr>
                      <a:t>[SERIES NAME]</a:t>
                    </a:fld>
                    <a:r>
                      <a:rPr lang="en-US" sz="1100" b="1" baseline="0"/>
                      <a:t>, </a:t>
                    </a:r>
                    <a:fld id="{5860F067-EAB5-49EF-91F2-2DAF04E16B08}"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029439603941775"/>
                      <c:h val="7.4286401278569003E-2"/>
                    </c:manualLayout>
                  </c15:layout>
                  <c15:dlblFieldTable/>
                  <c15:showDataLabelsRange val="1"/>
                </c:ext>
                <c:ext xmlns:c16="http://schemas.microsoft.com/office/drawing/2014/chart" uri="{C3380CC4-5D6E-409C-BE32-E72D297353CC}">
                  <c16:uniqueId val="{00000009-E42A-4E7A-B1FA-85FBAB5144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Chart!$BR$223</c:f>
              <c:numCache>
                <c:formatCode>_(* #,##0_);_(* \(#,##0\);_(* "-"??_);_(@_)</c:formatCode>
                <c:ptCount val="1"/>
                <c:pt idx="0">
                  <c:v>65.892793563122609</c:v>
                </c:pt>
              </c:numCache>
            </c:numRef>
          </c:val>
          <c:extLst>
            <c:ext xmlns:c15="http://schemas.microsoft.com/office/drawing/2012/chart" uri="{02D57815-91ED-43cb-92C2-25804820EDAC}">
              <c15:datalabelsRange>
                <c15:f>Chart!$BS$223</c15:f>
                <c15:dlblRangeCache>
                  <c:ptCount val="1"/>
                  <c:pt idx="0">
                    <c:v>6%</c:v>
                  </c:pt>
                </c15:dlblRangeCache>
              </c15:datalabelsRange>
            </c:ext>
            <c:ext xmlns:c16="http://schemas.microsoft.com/office/drawing/2014/chart" uri="{C3380CC4-5D6E-409C-BE32-E72D297353CC}">
              <c16:uniqueId val="{0000000A-E42A-4E7A-B1FA-85FBAB51448B}"/>
            </c:ext>
          </c:extLst>
        </c:ser>
        <c:ser>
          <c:idx val="5"/>
          <c:order val="5"/>
          <c:tx>
            <c:strRef>
              <c:f>Chart!$BQ$224</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5BC2A76A-BE30-46EE-8116-DCADEF0C1B0A}" type="CELLRANGE">
                      <a:rPr lang="en-US" baseline="0"/>
                      <a:pPr>
                        <a:defRPr>
                          <a:solidFill>
                            <a:schemeClr val="bg1"/>
                          </a:solidFill>
                        </a:defRPr>
                      </a:pPr>
                      <a:t>[CELLRANGE]</a:t>
                    </a:fld>
                    <a:r>
                      <a:rPr lang="en-US" baseline="0"/>
                      <a:t>, </a:t>
                    </a:r>
                    <a:fld id="{73BA5DF4-75FF-4A58-AA8D-0BED530E763A}" type="SERIESNAME">
                      <a:rPr lang="en-US" baseline="0"/>
                      <a:pPr>
                        <a:defRPr>
                          <a:solidFill>
                            <a:schemeClr val="bg1"/>
                          </a:solidFill>
                        </a:defRPr>
                      </a:pPr>
                      <a:t>[SERIES NAME]</a:t>
                    </a:fld>
                    <a:r>
                      <a:rPr lang="en-US" baseline="0"/>
                      <a:t>, </a:t>
                    </a:r>
                    <a:fld id="{8425EE5D-A385-492F-A6E8-3C17BE50A0D2}"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3138416877117075"/>
                      <c:h val="3.5061572780432065E-2"/>
                    </c:manualLayout>
                  </c15:layout>
                  <c15:dlblFieldTable/>
                  <c15:showDataLabelsRange val="1"/>
                </c:ext>
                <c:ext xmlns:c16="http://schemas.microsoft.com/office/drawing/2014/chart" uri="{C3380CC4-5D6E-409C-BE32-E72D297353CC}">
                  <c16:uniqueId val="{0000000B-E42A-4E7A-B1FA-85FBAB5144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Chart!$BR$224</c:f>
              <c:numCache>
                <c:formatCode>_(* #,##0_);_(* \(#,##0\);_(* "-"??_);_(@_)</c:formatCode>
                <c:ptCount val="1"/>
                <c:pt idx="0">
                  <c:v>13.178558712624522</c:v>
                </c:pt>
              </c:numCache>
            </c:numRef>
          </c:val>
          <c:extLst>
            <c:ext xmlns:c15="http://schemas.microsoft.com/office/drawing/2012/chart" uri="{02D57815-91ED-43cb-92C2-25804820EDAC}">
              <c15:datalabelsRange>
                <c15:f>Chart!$BS$224</c15:f>
                <c15:dlblRangeCache>
                  <c:ptCount val="1"/>
                  <c:pt idx="0">
                    <c:v>1%</c:v>
                  </c:pt>
                </c15:dlblRangeCache>
              </c15:datalabelsRange>
            </c:ext>
            <c:ext xmlns:c16="http://schemas.microsoft.com/office/drawing/2014/chart" uri="{C3380CC4-5D6E-409C-BE32-E72D297353CC}">
              <c16:uniqueId val="{0000000C-E42A-4E7A-B1FA-85FBAB51448B}"/>
            </c:ext>
          </c:extLst>
        </c:ser>
        <c:ser>
          <c:idx val="6"/>
          <c:order val="6"/>
          <c:tx>
            <c:strRef>
              <c:f>Chart!$BQ$225</c:f>
              <c:strCache>
                <c:ptCount val="1"/>
                <c:pt idx="0">
                  <c:v>Lợi nhuận sau thuế</c:v>
                </c:pt>
              </c:strCache>
            </c:strRef>
          </c:tx>
          <c:spPr>
            <a:solidFill>
              <a:schemeClr val="accent1">
                <a:lumMod val="60000"/>
              </a:schemeClr>
            </a:solidFill>
            <a:ln>
              <a:noFill/>
            </a:ln>
            <a:effectLst/>
          </c:spPr>
          <c:invertIfNegative val="0"/>
          <c:dLbls>
            <c:dLbl>
              <c:idx val="0"/>
              <c:tx>
                <c:rich>
                  <a:bodyPr/>
                  <a:lstStyle/>
                  <a:p>
                    <a:fld id="{B7F4AB91-0477-4915-ADEE-32662E983A27}" type="CELLRANGE">
                      <a:rPr lang="en-US" baseline="0"/>
                      <a:pPr/>
                      <a:t>[CELLRANGE]</a:t>
                    </a:fld>
                    <a:r>
                      <a:rPr lang="en-US" baseline="0"/>
                      <a:t>, </a:t>
                    </a:r>
                    <a:fld id="{2A34A0E4-AF33-40A9-86A8-0C1638A15E82}" type="SERIESNAME">
                      <a:rPr lang="en-US" baseline="0"/>
                      <a:pPr/>
                      <a:t>[SERIES NAME]</a:t>
                    </a:fld>
                    <a:r>
                      <a:rPr lang="en-US" baseline="0"/>
                      <a:t>, </a:t>
                    </a:r>
                    <a:fld id="{0FB4036D-2AED-48E0-B63B-09EDBFF8248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1481078569602401"/>
                      <c:h val="5.159030479242125E-2"/>
                    </c:manualLayout>
                  </c15:layout>
                  <c15:dlblFieldTable/>
                  <c15:showDataLabelsRange val="1"/>
                </c:ext>
                <c:ext xmlns:c16="http://schemas.microsoft.com/office/drawing/2014/chart" uri="{C3380CC4-5D6E-409C-BE32-E72D297353CC}">
                  <c16:uniqueId val="{0000000D-E42A-4E7A-B1FA-85FBAB51448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Chart!$BR$225</c:f>
              <c:numCache>
                <c:formatCode>_(* #,##0_);_(* \(#,##0\);_(* "-"??_);_(@_)</c:formatCode>
                <c:ptCount val="1"/>
                <c:pt idx="0">
                  <c:v>52.714234850498087</c:v>
                </c:pt>
              </c:numCache>
            </c:numRef>
          </c:val>
          <c:extLst>
            <c:ext xmlns:c15="http://schemas.microsoft.com/office/drawing/2012/chart" uri="{02D57815-91ED-43cb-92C2-25804820EDAC}">
              <c15:datalabelsRange>
                <c15:f>Chart!$BS$225</c15:f>
                <c15:dlblRangeCache>
                  <c:ptCount val="1"/>
                  <c:pt idx="0">
                    <c:v>5%</c:v>
                  </c:pt>
                </c15:dlblRangeCache>
              </c15:datalabelsRange>
            </c:ext>
            <c:ext xmlns:c16="http://schemas.microsoft.com/office/drawing/2014/chart" uri="{C3380CC4-5D6E-409C-BE32-E72D297353CC}">
              <c16:uniqueId val="{0000000E-E42A-4E7A-B1FA-85FBAB51448B}"/>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WSS03NC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Chart!$AA$263</c:f>
              <c:strCache>
                <c:ptCount val="1"/>
                <c:pt idx="0">
                  <c:v>Chi phí NVL</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7D969457-9394-4598-8118-182497919490}" type="CELLRANGE">
                      <a:rPr lang="en-US" sz="1200" b="1" baseline="0">
                        <a:solidFill>
                          <a:schemeClr val="bg1"/>
                        </a:solidFill>
                      </a:rPr>
                      <a:pPr>
                        <a:defRPr sz="1200" b="1">
                          <a:solidFill>
                            <a:schemeClr val="bg1"/>
                          </a:solidFill>
                        </a:defRPr>
                      </a:pPr>
                      <a:t>[CELLRANGE]</a:t>
                    </a:fld>
                    <a:r>
                      <a:rPr lang="en-US" sz="1200" b="1" baseline="0">
                        <a:solidFill>
                          <a:schemeClr val="bg1"/>
                        </a:solidFill>
                      </a:rPr>
                      <a:t>, </a:t>
                    </a:r>
                    <a:fld id="{CD7DD14D-2B22-48AB-88F7-C40EC5C4DC22}" type="SERIESNAME">
                      <a:rPr lang="en-US" sz="1200" b="1" baseline="0">
                        <a:solidFill>
                          <a:schemeClr val="bg1"/>
                        </a:solidFill>
                      </a:rPr>
                      <a:pPr>
                        <a:defRPr sz="1200" b="1">
                          <a:solidFill>
                            <a:schemeClr val="bg1"/>
                          </a:solidFill>
                        </a:defRPr>
                      </a:pPr>
                      <a:t>[SERIES NAME]</a:t>
                    </a:fld>
                    <a:r>
                      <a:rPr lang="en-US" sz="1200" b="1" baseline="0">
                        <a:solidFill>
                          <a:schemeClr val="bg1"/>
                        </a:solidFill>
                      </a:rPr>
                      <a:t>, </a:t>
                    </a:r>
                    <a:fld id="{D3B974DD-1E24-40A0-9E70-88FEF9AC802E}" type="VALUE">
                      <a:rPr lang="en-US" sz="1200" b="1" baseline="0">
                        <a:solidFill>
                          <a:schemeClr val="bg1"/>
                        </a:solidFill>
                      </a:rPr>
                      <a:pPr>
                        <a:defRPr sz="1200" b="1">
                          <a:solidFill>
                            <a:schemeClr val="bg1"/>
                          </a:solidFill>
                        </a:defRPr>
                      </a:pPr>
                      <a:t>[VALUE]</a:t>
                    </a:fld>
                    <a:endParaRPr lang="en-US" sz="12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400832002804388"/>
                      <c:h val="4.365626802984638E-2"/>
                    </c:manualLayout>
                  </c15:layout>
                  <c15:dlblFieldTable/>
                  <c15:showDataLabelsRange val="1"/>
                </c:ext>
                <c:ext xmlns:c16="http://schemas.microsoft.com/office/drawing/2014/chart" uri="{C3380CC4-5D6E-409C-BE32-E72D297353CC}">
                  <c16:uniqueId val="{00000000-18C7-4DA5-B463-E727F152D8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Chart!$AB$263</c:f>
              <c:numCache>
                <c:formatCode>_(* #,##0_);_(* \(#,##0\);_(* "-"??_);_(@_)</c:formatCode>
                <c:ptCount val="1"/>
                <c:pt idx="0">
                  <c:v>15563.220954722789</c:v>
                </c:pt>
              </c:numCache>
            </c:numRef>
          </c:val>
          <c:extLst>
            <c:ext xmlns:c15="http://schemas.microsoft.com/office/drawing/2012/chart" uri="{02D57815-91ED-43cb-92C2-25804820EDAC}">
              <c15:datalabelsRange>
                <c15:f>Chart!$AC$263</c15:f>
                <c15:dlblRangeCache>
                  <c:ptCount val="1"/>
                  <c:pt idx="0">
                    <c:v>60%</c:v>
                  </c:pt>
                </c15:dlblRangeCache>
              </c15:datalabelsRange>
            </c:ext>
            <c:ext xmlns:c16="http://schemas.microsoft.com/office/drawing/2014/chart" uri="{C3380CC4-5D6E-409C-BE32-E72D297353CC}">
              <c16:uniqueId val="{00000001-18C7-4DA5-B463-E727F152D80E}"/>
            </c:ext>
          </c:extLst>
        </c:ser>
        <c:ser>
          <c:idx val="1"/>
          <c:order val="1"/>
          <c:tx>
            <c:strRef>
              <c:f>Chart!$AA$264</c:f>
              <c:strCache>
                <c:ptCount val="1"/>
                <c:pt idx="0">
                  <c:v>Hao hụt về tiền</c:v>
                </c:pt>
              </c:strCache>
            </c:strRef>
          </c:tx>
          <c:spPr>
            <a:solidFill>
              <a:schemeClr val="accent2"/>
            </a:solidFill>
            <a:ln>
              <a:noFill/>
            </a:ln>
            <a:effectLst/>
          </c:spPr>
          <c:invertIfNegative val="0"/>
          <c:dLbls>
            <c:dLbl>
              <c:idx val="0"/>
              <c:tx>
                <c:rich>
                  <a:bodyPr/>
                  <a:lstStyle/>
                  <a:p>
                    <a:fld id="{9F03F75E-96AD-4E45-928A-4B1A2B441984}" type="CELLRANGE">
                      <a:rPr lang="en-US" baseline="0"/>
                      <a:pPr/>
                      <a:t>[CELLRANGE]</a:t>
                    </a:fld>
                    <a:r>
                      <a:rPr lang="en-US" baseline="0"/>
                      <a:t>, </a:t>
                    </a:r>
                    <a:fld id="{E7CF0DFF-479E-4098-BF03-1DE789A5775B}" type="SERIESNAME">
                      <a:rPr lang="en-US" baseline="0"/>
                      <a:pPr/>
                      <a:t>[SERIES NAME]</a:t>
                    </a:fld>
                    <a:r>
                      <a:rPr lang="en-US" baseline="0"/>
                      <a:t>, </a:t>
                    </a:r>
                    <a:fld id="{A602D810-550C-49E1-B523-697FCDE313F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1016615408209931"/>
                      <c:h val="4.365626802984638E-2"/>
                    </c:manualLayout>
                  </c15:layout>
                  <c15:dlblFieldTable/>
                  <c15:showDataLabelsRange val="1"/>
                </c:ext>
                <c:ext xmlns:c16="http://schemas.microsoft.com/office/drawing/2014/chart" uri="{C3380CC4-5D6E-409C-BE32-E72D297353CC}">
                  <c16:uniqueId val="{00000002-18C7-4DA5-B463-E727F152D80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Chart!$AB$264</c:f>
              <c:numCache>
                <c:formatCode>_(* #,##0_);_(* \(#,##0\);_(* "-"??_);_(@_)</c:formatCode>
                <c:ptCount val="1"/>
                <c:pt idx="0">
                  <c:v>2103.2594021091791</c:v>
                </c:pt>
              </c:numCache>
            </c:numRef>
          </c:val>
          <c:extLst>
            <c:ext xmlns:c15="http://schemas.microsoft.com/office/drawing/2012/chart" uri="{02D57815-91ED-43cb-92C2-25804820EDAC}">
              <c15:datalabelsRange>
                <c15:f>Chart!$AC$264</c15:f>
                <c15:dlblRangeCache>
                  <c:ptCount val="1"/>
                  <c:pt idx="0">
                    <c:v>8%</c:v>
                  </c:pt>
                </c15:dlblRangeCache>
              </c15:datalabelsRange>
            </c:ext>
            <c:ext xmlns:c16="http://schemas.microsoft.com/office/drawing/2014/chart" uri="{C3380CC4-5D6E-409C-BE32-E72D297353CC}">
              <c16:uniqueId val="{00000003-18C7-4DA5-B463-E727F152D80E}"/>
            </c:ext>
          </c:extLst>
        </c:ser>
        <c:ser>
          <c:idx val="2"/>
          <c:order val="2"/>
          <c:tx>
            <c:strRef>
              <c:f>Chart!$AA$265</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D41DC0FC-E36E-459A-AA06-78426C4502B0}"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C3E25677-7646-4862-A775-DE3C577ED341}"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422DA942-8A46-4B48-ABDE-1ABE8B06974F}"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5939371698211391"/>
                      <c:h val="8.2067489840648336E-2"/>
                    </c:manualLayout>
                  </c15:layout>
                  <c15:dlblFieldTable/>
                  <c15:showDataLabelsRange val="1"/>
                </c:ext>
                <c:ext xmlns:c16="http://schemas.microsoft.com/office/drawing/2014/chart" uri="{C3380CC4-5D6E-409C-BE32-E72D297353CC}">
                  <c16:uniqueId val="{00000004-18C7-4DA5-B463-E727F152D80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Chart!$AB$265</c:f>
              <c:numCache>
                <c:formatCode>_(* #,##0_);_(* \(#,##0\);_(* "-"??_);_(@_)</c:formatCode>
                <c:ptCount val="1"/>
                <c:pt idx="0">
                  <c:v>4277.4227042342764</c:v>
                </c:pt>
              </c:numCache>
            </c:numRef>
          </c:val>
          <c:extLst>
            <c:ext xmlns:c15="http://schemas.microsoft.com/office/drawing/2012/chart" uri="{02D57815-91ED-43cb-92C2-25804820EDAC}">
              <c15:datalabelsRange>
                <c15:f>Chart!$AC$266</c15:f>
                <c15:dlblRangeCache>
                  <c:ptCount val="1"/>
                  <c:pt idx="0">
                    <c:v>9%</c:v>
                  </c:pt>
                </c15:dlblRangeCache>
              </c15:datalabelsRange>
            </c:ext>
            <c:ext xmlns:c16="http://schemas.microsoft.com/office/drawing/2014/chart" uri="{C3380CC4-5D6E-409C-BE32-E72D297353CC}">
              <c16:uniqueId val="{00000005-18C7-4DA5-B463-E727F152D80E}"/>
            </c:ext>
          </c:extLst>
        </c:ser>
        <c:ser>
          <c:idx val="3"/>
          <c:order val="3"/>
          <c:tx>
            <c:strRef>
              <c:f>Chart!$AA$266</c:f>
              <c:strCache>
                <c:ptCount val="1"/>
                <c:pt idx="0">
                  <c:v>Chi phí sản xuất _Băm</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62F8DFE6-ED36-4080-B5C2-B22640F5FDA4}"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10E5C3F4-F0DA-43BB-9419-6A2BB3675ACD}"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BD2F7358-5250-4A71-BF5B-78B0C49D1FD6}"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329186099692445"/>
                      <c:h val="6.2861947767874904E-2"/>
                    </c:manualLayout>
                  </c15:layout>
                  <c15:dlblFieldTable/>
                  <c15:showDataLabelsRange val="1"/>
                </c:ext>
                <c:ext xmlns:c16="http://schemas.microsoft.com/office/drawing/2014/chart" uri="{C3380CC4-5D6E-409C-BE32-E72D297353CC}">
                  <c16:uniqueId val="{00000006-18C7-4DA5-B463-E727F152D80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Chart!$AB$266</c:f>
              <c:numCache>
                <c:formatCode>_(* #,##0_);_(* \(#,##0\);_(* "-"??_);_(@_)</c:formatCode>
                <c:ptCount val="1"/>
                <c:pt idx="0">
                  <c:v>2219.9730920870757</c:v>
                </c:pt>
              </c:numCache>
            </c:numRef>
          </c:val>
          <c:extLst>
            <c:ext xmlns:c15="http://schemas.microsoft.com/office/drawing/2012/chart" uri="{02D57815-91ED-43cb-92C2-25804820EDAC}">
              <c15:datalabelsRange>
                <c15:f>Chart!$AC$266</c15:f>
                <c15:dlblRangeCache>
                  <c:ptCount val="1"/>
                  <c:pt idx="0">
                    <c:v>9%</c:v>
                  </c:pt>
                </c15:dlblRangeCache>
              </c15:datalabelsRange>
            </c:ext>
            <c:ext xmlns:c16="http://schemas.microsoft.com/office/drawing/2014/chart" uri="{C3380CC4-5D6E-409C-BE32-E72D297353CC}">
              <c16:uniqueId val="{00000007-18C7-4DA5-B463-E727F152D80E}"/>
            </c:ext>
          </c:extLst>
        </c:ser>
        <c:ser>
          <c:idx val="4"/>
          <c:order val="4"/>
          <c:tx>
            <c:strRef>
              <c:f>Chart!$AA$267</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7B9C4BD-9203-45AD-9AF5-A2B92029136D}" type="CELLRANGE">
                      <a:rPr lang="en-US" b="1" baseline="0"/>
                      <a:pPr>
                        <a:defRPr b="1">
                          <a:solidFill>
                            <a:schemeClr val="bg1"/>
                          </a:solidFill>
                        </a:defRPr>
                      </a:pPr>
                      <a:t>[CELLRANGE]</a:t>
                    </a:fld>
                    <a:r>
                      <a:rPr lang="en-US" b="1" baseline="0"/>
                      <a:t>, </a:t>
                    </a:r>
                    <a:fld id="{D60BBCD3-C69E-4DAE-A387-97708DB535C6}" type="SERIESNAME">
                      <a:rPr lang="en-US" b="1" baseline="0"/>
                      <a:pPr>
                        <a:defRPr b="1">
                          <a:solidFill>
                            <a:schemeClr val="bg1"/>
                          </a:solidFill>
                        </a:defRPr>
                      </a:pPr>
                      <a:t>[SERIES NAME]</a:t>
                    </a:fld>
                    <a:r>
                      <a:rPr lang="en-US" b="1" baseline="0"/>
                      <a:t>, </a:t>
                    </a:r>
                    <a:fld id="{DEE6AD3A-19E6-48E4-81EA-28E4FF6EA20D}" type="VALUE">
                      <a:rPr lang="en-US" b="1" baseline="0"/>
                      <a:pPr>
                        <a:defRPr b="1">
                          <a:solidFill>
                            <a:schemeClr val="bg1"/>
                          </a:solidFill>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343457220869628"/>
                      <c:h val="6.2861947767874904E-2"/>
                    </c:manualLayout>
                  </c15:layout>
                  <c15:dlblFieldTable/>
                  <c15:showDataLabelsRange val="1"/>
                </c:ext>
                <c:ext xmlns:c16="http://schemas.microsoft.com/office/drawing/2014/chart" uri="{C3380CC4-5D6E-409C-BE32-E72D297353CC}">
                  <c16:uniqueId val="{00000008-18C7-4DA5-B463-E727F152D8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Chart!$AB$267</c:f>
              <c:numCache>
                <c:formatCode>_(* #,##0_);_(* \(#,##0\);_(* "-"??_);_(@_)</c:formatCode>
                <c:ptCount val="1"/>
                <c:pt idx="0">
                  <c:v>1406.3172771358672</c:v>
                </c:pt>
              </c:numCache>
            </c:numRef>
          </c:val>
          <c:extLst>
            <c:ext xmlns:c15="http://schemas.microsoft.com/office/drawing/2012/chart" uri="{02D57815-91ED-43cb-92C2-25804820EDAC}">
              <c15:datalabelsRange>
                <c15:f>Chart!$AC$267</c15:f>
                <c15:dlblRangeCache>
                  <c:ptCount val="1"/>
                  <c:pt idx="0">
                    <c:v>5%</c:v>
                  </c:pt>
                </c15:dlblRangeCache>
              </c15:datalabelsRange>
            </c:ext>
            <c:ext xmlns:c16="http://schemas.microsoft.com/office/drawing/2014/chart" uri="{C3380CC4-5D6E-409C-BE32-E72D297353CC}">
              <c16:uniqueId val="{00000009-18C7-4DA5-B463-E727F152D80E}"/>
            </c:ext>
          </c:extLst>
        </c:ser>
        <c:ser>
          <c:idx val="5"/>
          <c:order val="5"/>
          <c:tx>
            <c:strRef>
              <c:f>Chart!$AA$268</c:f>
              <c:strCache>
                <c:ptCount val="1"/>
                <c:pt idx="0">
                  <c:v>Chi phí sản xuất _Tạo hạt</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3FD60707-26F4-4C14-98F9-B7D58B5F72AD}" type="CELLRANGE">
                      <a:rPr lang="en-US" sz="1000" b="1" baseline="0"/>
                      <a:pPr>
                        <a:defRPr sz="1000" b="1">
                          <a:solidFill>
                            <a:schemeClr val="bg1"/>
                          </a:solidFill>
                        </a:defRPr>
                      </a:pPr>
                      <a:t>[CELLRANGE]</a:t>
                    </a:fld>
                    <a:r>
                      <a:rPr lang="en-US" sz="1000" b="1" baseline="0"/>
                      <a:t>, </a:t>
                    </a:r>
                    <a:fld id="{25111587-23D6-4AF9-AC36-8B31A4065115}" type="SERIESNAME">
                      <a:rPr lang="en-US" sz="1000" b="1" baseline="0"/>
                      <a:pPr>
                        <a:defRPr sz="1000" b="1">
                          <a:solidFill>
                            <a:schemeClr val="bg1"/>
                          </a:solidFill>
                        </a:defRPr>
                      </a:pPr>
                      <a:t>[SERIES NAME]</a:t>
                    </a:fld>
                    <a:r>
                      <a:rPr lang="en-US" sz="1000" b="1" baseline="0"/>
                      <a:t>, </a:t>
                    </a:r>
                    <a:fld id="{CC3392BB-8DDB-4667-85C2-3799CA01537B}" type="VALUE">
                      <a:rPr lang="en-US" sz="1000" b="1" baseline="0"/>
                      <a:pPr>
                        <a:defRPr sz="1000" b="1">
                          <a:solidFill>
                            <a:schemeClr val="bg1"/>
                          </a:solidFill>
                        </a:defRPr>
                      </a:pPr>
                      <a:t>[VALUE]</a:t>
                    </a:fld>
                    <a:endParaRPr lang="en-US" sz="1000" b="1"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489142609881597"/>
                      <c:h val="8.2067489840648336E-2"/>
                    </c:manualLayout>
                  </c15:layout>
                  <c15:dlblFieldTable/>
                  <c15:showDataLabelsRange val="1"/>
                </c:ext>
                <c:ext xmlns:c16="http://schemas.microsoft.com/office/drawing/2014/chart" uri="{C3380CC4-5D6E-409C-BE32-E72D297353CC}">
                  <c16:uniqueId val="{0000000A-18C7-4DA5-B463-E727F152D8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Chart!$AB$268</c:f>
              <c:numCache>
                <c:formatCode>_(* #,##0_);_(* \(#,##0\);_(* "-"??_);_(@_)</c:formatCode>
                <c:ptCount val="1"/>
                <c:pt idx="0">
                  <c:v>2000.939404729972</c:v>
                </c:pt>
              </c:numCache>
            </c:numRef>
          </c:val>
          <c:extLst>
            <c:ext xmlns:c15="http://schemas.microsoft.com/office/drawing/2012/chart" uri="{02D57815-91ED-43cb-92C2-25804820EDAC}">
              <c15:datalabelsRange>
                <c15:f>Chart!$AC$268</c15:f>
                <c15:dlblRangeCache>
                  <c:ptCount val="1"/>
                  <c:pt idx="0">
                    <c:v>8%</c:v>
                  </c:pt>
                </c15:dlblRangeCache>
              </c15:datalabelsRange>
            </c:ext>
            <c:ext xmlns:c16="http://schemas.microsoft.com/office/drawing/2014/chart" uri="{C3380CC4-5D6E-409C-BE32-E72D297353CC}">
              <c16:uniqueId val="{0000000B-18C7-4DA5-B463-E727F152D80E}"/>
            </c:ext>
          </c:extLst>
        </c:ser>
        <c:ser>
          <c:idx val="6"/>
          <c:order val="6"/>
          <c:tx>
            <c:strRef>
              <c:f>Chart!$AA$269</c:f>
              <c:strCache>
                <c:ptCount val="1"/>
                <c:pt idx="0">
                  <c:v>Chi phí sản xuất _Nâng IV</c:v>
                </c:pt>
              </c:strCache>
            </c:strRef>
          </c:tx>
          <c:spPr>
            <a:solidFill>
              <a:schemeClr val="accent1">
                <a:lumMod val="60000"/>
              </a:schemeClr>
            </a:solidFill>
            <a:ln>
              <a:noFill/>
            </a:ln>
            <a:effectLst/>
          </c:spPr>
          <c:invertIfNegative val="0"/>
          <c:val>
            <c:numRef>
              <c:f>Chart!$AB$269</c:f>
              <c:numCache>
                <c:formatCode>_(* #,##0_);_(* \(#,##0\);_(* "-"??_);_(@_)</c:formatCode>
                <c:ptCount val="1"/>
                <c:pt idx="0">
                  <c:v>0</c:v>
                </c:pt>
              </c:numCache>
            </c:numRef>
          </c:val>
          <c:extLst>
            <c:ext xmlns:c16="http://schemas.microsoft.com/office/drawing/2014/chart" uri="{C3380CC4-5D6E-409C-BE32-E72D297353CC}">
              <c16:uniqueId val="{0000000D-18C7-4DA5-B463-E727F152D80E}"/>
            </c:ext>
          </c:extLst>
        </c:ser>
        <c:ser>
          <c:idx val="7"/>
          <c:order val="7"/>
          <c:tx>
            <c:strRef>
              <c:f>Chart!$AA$270</c:f>
              <c:strCache>
                <c:ptCount val="1"/>
                <c:pt idx="0">
                  <c:v>Phó sản thu hồi</c:v>
                </c:pt>
              </c:strCache>
            </c:strRef>
          </c:tx>
          <c:spPr>
            <a:solidFill>
              <a:schemeClr val="accent2">
                <a:lumMod val="6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06A8F09-D0CC-46F9-BB86-709EDD1A60AB}" type="CELLRANGE">
                      <a:rPr lang="en-US" b="1" baseline="0">
                        <a:solidFill>
                          <a:schemeClr val="bg1"/>
                        </a:solidFill>
                      </a:rPr>
                      <a:pPr>
                        <a:defRPr b="1">
                          <a:solidFill>
                            <a:schemeClr val="bg1"/>
                          </a:solidFill>
                        </a:defRPr>
                      </a:pPr>
                      <a:t>[CELLRANGE]</a:t>
                    </a:fld>
                    <a:r>
                      <a:rPr lang="en-US" b="1" baseline="0">
                        <a:solidFill>
                          <a:schemeClr val="bg1"/>
                        </a:solidFill>
                      </a:rPr>
                      <a:t>, </a:t>
                    </a:r>
                    <a:fld id="{D24F0D4D-AC34-456B-8FBB-719C7966D922}" type="SERIESNAME">
                      <a:rPr lang="en-US" b="1" baseline="0">
                        <a:solidFill>
                          <a:schemeClr val="bg1"/>
                        </a:solidFill>
                      </a:rPr>
                      <a:pPr>
                        <a:defRPr b="1">
                          <a:solidFill>
                            <a:schemeClr val="bg1"/>
                          </a:solidFill>
                        </a:defRPr>
                      </a:pPr>
                      <a:t>[SERIES NAME]</a:t>
                    </a:fld>
                    <a:r>
                      <a:rPr lang="en-US" b="1" baseline="0">
                        <a:solidFill>
                          <a:schemeClr val="bg1"/>
                        </a:solidFill>
                      </a:rPr>
                      <a:t>, </a:t>
                    </a:r>
                    <a:fld id="{404886AA-5110-480C-8FC2-FF76726938C7}"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437464226344198"/>
                      <c:h val="4.365626802984638E-2"/>
                    </c:manualLayout>
                  </c15:layout>
                  <c15:dlblFieldTable/>
                  <c15:showDataLabelsRange val="1"/>
                </c:ext>
                <c:ext xmlns:c16="http://schemas.microsoft.com/office/drawing/2014/chart" uri="{C3380CC4-5D6E-409C-BE32-E72D297353CC}">
                  <c16:uniqueId val="{0000000E-18C7-4DA5-B463-E727F152D8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Chart!$AB$270</c:f>
              <c:numCache>
                <c:formatCode>_(* #,##0_);_(* \(#,##0\);_(* "-"??_);_(@_)</c:formatCode>
                <c:ptCount val="1"/>
                <c:pt idx="0">
                  <c:v>-1728.3946133679024</c:v>
                </c:pt>
              </c:numCache>
            </c:numRef>
          </c:val>
          <c:extLst>
            <c:ext xmlns:c15="http://schemas.microsoft.com/office/drawing/2012/chart" uri="{02D57815-91ED-43cb-92C2-25804820EDAC}">
              <c15:datalabelsRange>
                <c15:f>Chart!$AC$141</c15:f>
                <c15:dlblRangeCache>
                  <c:ptCount val="1"/>
                  <c:pt idx="0">
                    <c:v>-5%</c:v>
                  </c:pt>
                </c15:dlblRangeCache>
              </c15:datalabelsRange>
            </c:ext>
            <c:ext xmlns:c16="http://schemas.microsoft.com/office/drawing/2014/chart" uri="{C3380CC4-5D6E-409C-BE32-E72D297353CC}">
              <c16:uniqueId val="{0000000F-18C7-4DA5-B463-E727F152D80E}"/>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FF"/>
                </a:solidFill>
              </a:rPr>
              <a:t>Hạt rPET WSS03NC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63553166965241"/>
          <c:y val="0.16559479553903345"/>
          <c:w val="0.80129039425627357"/>
          <c:h val="0.79143444662354012"/>
        </c:manualLayout>
      </c:layout>
      <c:barChart>
        <c:barDir val="col"/>
        <c:grouping val="percentStacked"/>
        <c:varyColors val="0"/>
        <c:ser>
          <c:idx val="0"/>
          <c:order val="0"/>
          <c:tx>
            <c:strRef>
              <c:f>Chart!$AO$134</c:f>
              <c:strCache>
                <c:ptCount val="1"/>
                <c:pt idx="0">
                  <c:v>Chi phí NVL</c:v>
                </c:pt>
              </c:strCache>
            </c:strRef>
          </c:tx>
          <c:spPr>
            <a:solidFill>
              <a:schemeClr val="accent1"/>
            </a:solidFill>
            <a:ln>
              <a:noFill/>
            </a:ln>
            <a:effectLst/>
          </c:spPr>
          <c:invertIfNegative val="0"/>
          <c:dLbls>
            <c:dLbl>
              <c:idx val="0"/>
              <c:layout>
                <c:manualLayout>
                  <c:x val="-1.7505585686526139E-3"/>
                  <c:y val="0"/>
                </c:manualLayout>
              </c:layout>
              <c:tx>
                <c:rich>
                  <a:bodyPr/>
                  <a:lstStyle/>
                  <a:p>
                    <a:fld id="{71443787-1434-49E0-A223-2D5E59AF4651}" type="CELLRANGE">
                      <a:rPr lang="en-US" sz="1100" b="1" baseline="0"/>
                      <a:pPr/>
                      <a:t>[CELLRANGE]</a:t>
                    </a:fld>
                    <a:r>
                      <a:rPr lang="en-US" sz="1100" b="1" baseline="0"/>
                      <a:t>, </a:t>
                    </a:r>
                    <a:fld id="{F7AF25CE-C016-456B-87D3-F2483F03E286}" type="SERIESNAME">
                      <a:rPr lang="en-US" sz="1100" b="1" baseline="0"/>
                      <a:pPr/>
                      <a:t>[SERIES NAME]</a:t>
                    </a:fld>
                    <a:r>
                      <a:rPr lang="en-US" sz="1100" b="1" baseline="0"/>
                      <a:t>, </a:t>
                    </a:r>
                    <a:fld id="{E46D7C51-43FA-41B1-BAAC-6770A0D10241}" type="VALUE">
                      <a:rPr lang="en-US" sz="1100" b="1" baseline="0"/>
                      <a:pPr/>
                      <a:t>[VALUE]</a:t>
                    </a:fld>
                    <a:endParaRPr lang="en-US" sz="1100" b="1" baseline="0"/>
                  </a:p>
                </c:rich>
              </c:tx>
              <c:showLegendKey val="0"/>
              <c:showVal val="1"/>
              <c:showCatName val="0"/>
              <c:showSerName val="1"/>
              <c:showPercent val="0"/>
              <c:showBubbleSize val="0"/>
              <c:extLst>
                <c:ext xmlns:c15="http://schemas.microsoft.com/office/drawing/2012/chart" uri="{CE6537A1-D6FC-4f65-9D91-7224C49458BB}">
                  <c15:layout>
                    <c:manualLayout>
                      <c:w val="0.56423181095345964"/>
                      <c:h val="4.2672617958296105E-2"/>
                    </c:manualLayout>
                  </c15:layout>
                  <c15:dlblFieldTable/>
                  <c15:showDataLabelsRange val="1"/>
                </c:ext>
                <c:ext xmlns:c16="http://schemas.microsoft.com/office/drawing/2014/chart" uri="{C3380CC4-5D6E-409C-BE32-E72D297353CC}">
                  <c16:uniqueId val="{00000000-35A1-483A-A281-47D2DF28EF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Chart!$AP$134</c:f>
              <c:numCache>
                <c:formatCode>_(* #,##0_);_(* \(#,##0\);_(* "-"??_);_(@_)</c:formatCode>
                <c:ptCount val="1"/>
                <c:pt idx="0">
                  <c:v>554.7920391810876</c:v>
                </c:pt>
              </c:numCache>
            </c:numRef>
          </c:val>
          <c:extLst>
            <c:ext xmlns:c15="http://schemas.microsoft.com/office/drawing/2012/chart" uri="{02D57815-91ED-43cb-92C2-25804820EDAC}">
              <c15:datalabelsRange>
                <c15:f>Chart!$AQ$134</c15:f>
                <c15:dlblRangeCache>
                  <c:ptCount val="1"/>
                  <c:pt idx="0">
                    <c:v>57%</c:v>
                  </c:pt>
                </c15:dlblRangeCache>
              </c15:datalabelsRange>
            </c:ext>
            <c:ext xmlns:c16="http://schemas.microsoft.com/office/drawing/2014/chart" uri="{C3380CC4-5D6E-409C-BE32-E72D297353CC}">
              <c16:uniqueId val="{00000001-35A1-483A-A281-47D2DF28EF71}"/>
            </c:ext>
          </c:extLst>
        </c:ser>
        <c:ser>
          <c:idx val="1"/>
          <c:order val="1"/>
          <c:tx>
            <c:strRef>
              <c:f>Chart!$AO$135</c:f>
              <c:strCache>
                <c:ptCount val="1"/>
                <c:pt idx="0">
                  <c:v>Hao hụt về tiền</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35C3D363-635B-49AF-BDE2-3652DD1E5265}" type="CELLRANGE">
                      <a:rPr lang="en-US" sz="1100" b="1" baseline="0"/>
                      <a:pPr>
                        <a:defRPr sz="1100" b="1">
                          <a:solidFill>
                            <a:schemeClr val="bg1"/>
                          </a:solidFill>
                        </a:defRPr>
                      </a:pPr>
                      <a:t>[CELLRANGE]</a:t>
                    </a:fld>
                    <a:r>
                      <a:rPr lang="en-US" sz="1100" b="1" baseline="0"/>
                      <a:t>, </a:t>
                    </a:r>
                    <a:fld id="{8BFF522F-43D6-4633-8911-4096458E48A3}" type="SERIESNAME">
                      <a:rPr lang="en-US" sz="1100" b="1" baseline="0"/>
                      <a:pPr>
                        <a:defRPr sz="1100" b="1">
                          <a:solidFill>
                            <a:schemeClr val="bg1"/>
                          </a:solidFill>
                        </a:defRPr>
                      </a:pPr>
                      <a:t>[SERIES NAME]</a:t>
                    </a:fld>
                    <a:r>
                      <a:rPr lang="en-US" sz="1100" b="1" baseline="0"/>
                      <a:t>, </a:t>
                    </a:r>
                    <a:fld id="{07C7C00B-7443-428D-B9E9-4678DA0DC7C1}"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0306275378205556"/>
                      <c:h val="4.2672617958296105E-2"/>
                    </c:manualLayout>
                  </c15:layout>
                  <c15:dlblFieldTable/>
                  <c15:showDataLabelsRange val="1"/>
                </c:ext>
                <c:ext xmlns:c16="http://schemas.microsoft.com/office/drawing/2014/chart" uri="{C3380CC4-5D6E-409C-BE32-E72D297353CC}">
                  <c16:uniqueId val="{00000002-35A1-483A-A281-47D2DF28EF7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Chart!$AP$135</c:f>
              <c:numCache>
                <c:formatCode>_(* #,##0_);_(* \(#,##0\);_(* "-"??_);_(@_)</c:formatCode>
                <c:ptCount val="1"/>
                <c:pt idx="0">
                  <c:v>77.315651411300337</c:v>
                </c:pt>
              </c:numCache>
            </c:numRef>
          </c:val>
          <c:extLst>
            <c:ext xmlns:c15="http://schemas.microsoft.com/office/drawing/2012/chart" uri="{02D57815-91ED-43cb-92C2-25804820EDAC}">
              <c15:datalabelsRange>
                <c15:f>Chart!$AQ$135</c15:f>
                <c15:dlblRangeCache>
                  <c:ptCount val="1"/>
                  <c:pt idx="0">
                    <c:v>8%</c:v>
                  </c:pt>
                </c15:dlblRangeCache>
              </c15:datalabelsRange>
            </c:ext>
            <c:ext xmlns:c16="http://schemas.microsoft.com/office/drawing/2014/chart" uri="{C3380CC4-5D6E-409C-BE32-E72D297353CC}">
              <c16:uniqueId val="{00000003-35A1-483A-A281-47D2DF28EF71}"/>
            </c:ext>
          </c:extLst>
        </c:ser>
        <c:ser>
          <c:idx val="2"/>
          <c:order val="2"/>
          <c:tx>
            <c:strRef>
              <c:f>Chart!$AO$136</c:f>
              <c:strCache>
                <c:ptCount val="1"/>
                <c:pt idx="0">
                  <c:v>Chi phí sản xuất _Phân loại</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CC5F8DFA-F1A5-4FAB-B169-AFACD4BBBA3C}" type="CELLRANGE">
                      <a:rPr lang="en-US" sz="1100" b="1" baseline="0">
                        <a:solidFill>
                          <a:schemeClr val="bg1"/>
                        </a:solidFill>
                      </a:rPr>
                      <a:pPr>
                        <a:defRPr sz="1100" b="1">
                          <a:solidFill>
                            <a:schemeClr val="bg1"/>
                          </a:solidFill>
                        </a:defRPr>
                      </a:pPr>
                      <a:t>[CELLRANGE]</a:t>
                    </a:fld>
                    <a:r>
                      <a:rPr lang="en-US" sz="1100" b="1" baseline="0">
                        <a:solidFill>
                          <a:schemeClr val="bg1"/>
                        </a:solidFill>
                      </a:rPr>
                      <a:t>, </a:t>
                    </a:r>
                    <a:fld id="{9945EC29-63F6-479C-B7C1-3B2F47D1CB9E}" type="SERIESNAME">
                      <a:rPr lang="en-US" sz="1100" b="1" baseline="0">
                        <a:solidFill>
                          <a:schemeClr val="bg1"/>
                        </a:solidFill>
                      </a:rPr>
                      <a:pPr>
                        <a:defRPr sz="1100" b="1">
                          <a:solidFill>
                            <a:schemeClr val="bg1"/>
                          </a:solidFill>
                        </a:defRPr>
                      </a:pPr>
                      <a:t>[SERIES NAME]</a:t>
                    </a:fld>
                    <a:r>
                      <a:rPr lang="en-US" sz="1100" b="1" baseline="0">
                        <a:solidFill>
                          <a:schemeClr val="bg1"/>
                        </a:solidFill>
                      </a:rPr>
                      <a:t>, </a:t>
                    </a:r>
                    <a:fld id="{020616F6-16B0-4A78-9D64-180DC722B508}"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4826523905414968"/>
                      <c:h val="8.0218369521923072E-2"/>
                    </c:manualLayout>
                  </c15:layout>
                  <c15:dlblFieldTable/>
                  <c15:showDataLabelsRange val="1"/>
                </c:ext>
                <c:ext xmlns:c16="http://schemas.microsoft.com/office/drawing/2014/chart" uri="{C3380CC4-5D6E-409C-BE32-E72D297353CC}">
                  <c16:uniqueId val="{00000004-35A1-483A-A281-47D2DF28EF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Chart!$AP$136</c:f>
              <c:numCache>
                <c:formatCode>_(* #,##0_);_(* \(#,##0\);_(* "-"??_);_(@_)</c:formatCode>
                <c:ptCount val="1"/>
                <c:pt idx="0">
                  <c:v>141.04882352061546</c:v>
                </c:pt>
              </c:numCache>
            </c:numRef>
          </c:val>
          <c:extLst>
            <c:ext xmlns:c15="http://schemas.microsoft.com/office/drawing/2012/chart" uri="{02D57815-91ED-43cb-92C2-25804820EDAC}">
              <c15:datalabelsRange>
                <c15:f>Chart!$AQ$136</c15:f>
                <c15:dlblRangeCache>
                  <c:ptCount val="1"/>
                  <c:pt idx="0">
                    <c:v>15%</c:v>
                  </c:pt>
                </c15:dlblRangeCache>
              </c15:datalabelsRange>
            </c:ext>
            <c:ext xmlns:c16="http://schemas.microsoft.com/office/drawing/2014/chart" uri="{C3380CC4-5D6E-409C-BE32-E72D297353CC}">
              <c16:uniqueId val="{00000005-35A1-483A-A281-47D2DF28EF71}"/>
            </c:ext>
          </c:extLst>
        </c:ser>
        <c:ser>
          <c:idx val="3"/>
          <c:order val="3"/>
          <c:tx>
            <c:strRef>
              <c:f>Chart!$AO$137</c:f>
              <c:strCache>
                <c:ptCount val="1"/>
                <c:pt idx="0">
                  <c:v>Chi phí sản xuất _Băm</c:v>
                </c:pt>
              </c:strCache>
            </c:strRef>
          </c:tx>
          <c:spPr>
            <a:solidFill>
              <a:schemeClr val="accent4"/>
            </a:solidFill>
            <a:ln>
              <a:noFill/>
            </a:ln>
            <a:effectLst/>
          </c:spPr>
          <c:invertIfNegative val="0"/>
          <c:dLbls>
            <c:dLbl>
              <c:idx val="0"/>
              <c:tx>
                <c:rich>
                  <a:bodyPr/>
                  <a:lstStyle/>
                  <a:p>
                    <a:fld id="{C6A738EE-8801-496E-992A-400C8EDDC616}" type="CELLRANGE">
                      <a:rPr lang="en-US" baseline="0"/>
                      <a:pPr/>
                      <a:t>[CELLRANGE]</a:t>
                    </a:fld>
                    <a:r>
                      <a:rPr lang="en-US" baseline="0"/>
                      <a:t>, </a:t>
                    </a:r>
                    <a:fld id="{76E097FF-FCC8-4F83-9379-5257792AFE69}" type="SERIESNAME">
                      <a:rPr lang="en-US" baseline="0"/>
                      <a:pPr/>
                      <a:t>[SERIES NAME]</a:t>
                    </a:fld>
                    <a:r>
                      <a:rPr lang="en-US" baseline="0"/>
                      <a:t>, </a:t>
                    </a:r>
                    <a:fld id="{10896592-85B3-4EE9-8278-71E202CF6AB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4891335513938289"/>
                      <c:h val="6.1445561021820805E-2"/>
                    </c:manualLayout>
                  </c15:layout>
                  <c15:dlblFieldTable/>
                  <c15:showDataLabelsRange val="1"/>
                </c:ext>
                <c:ext xmlns:c16="http://schemas.microsoft.com/office/drawing/2014/chart" uri="{C3380CC4-5D6E-409C-BE32-E72D297353CC}">
                  <c16:uniqueId val="{00000006-35A1-483A-A281-47D2DF28EF7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Chart!$AP$137</c:f>
              <c:numCache>
                <c:formatCode>_(* #,##0_);_(* \(#,##0\);_(* "-"??_);_(@_)</c:formatCode>
                <c:ptCount val="1"/>
                <c:pt idx="0">
                  <c:v>73.204033021178574</c:v>
                </c:pt>
              </c:numCache>
            </c:numRef>
          </c:val>
          <c:extLst>
            <c:ext xmlns:c15="http://schemas.microsoft.com/office/drawing/2012/chart" uri="{02D57815-91ED-43cb-92C2-25804820EDAC}">
              <c15:datalabelsRange>
                <c15:f>Chart!$AQ$137</c15:f>
                <c15:dlblRangeCache>
                  <c:ptCount val="1"/>
                  <c:pt idx="0">
                    <c:v>8%</c:v>
                  </c:pt>
                </c15:dlblRangeCache>
              </c15:datalabelsRange>
            </c:ext>
            <c:ext xmlns:c16="http://schemas.microsoft.com/office/drawing/2014/chart" uri="{C3380CC4-5D6E-409C-BE32-E72D297353CC}">
              <c16:uniqueId val="{00000007-35A1-483A-A281-47D2DF28EF71}"/>
            </c:ext>
          </c:extLst>
        </c:ser>
        <c:ser>
          <c:idx val="4"/>
          <c:order val="4"/>
          <c:tx>
            <c:strRef>
              <c:f>Chart!$AO$138</c:f>
              <c:strCache>
                <c:ptCount val="1"/>
                <c:pt idx="0">
                  <c:v>Chi phí sản xuất _Rữa</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16EF3BE3-3407-489A-9CB6-275D0566CBE7}" type="CELLRANGE">
                      <a:rPr lang="en-US" sz="1100" b="1" baseline="0"/>
                      <a:pPr>
                        <a:defRPr sz="1100" b="1">
                          <a:solidFill>
                            <a:schemeClr val="bg1"/>
                          </a:solidFill>
                        </a:defRPr>
                      </a:pPr>
                      <a:t>[CELLRANGE]</a:t>
                    </a:fld>
                    <a:r>
                      <a:rPr lang="en-US" sz="1100" b="1" baseline="0"/>
                      <a:t>, </a:t>
                    </a:r>
                    <a:fld id="{B8A2B671-A8A0-4CA4-9BAF-BAAA036D4B03}" type="SERIESNAME">
                      <a:rPr lang="en-US" sz="1100" b="1" baseline="0"/>
                      <a:pPr>
                        <a:defRPr sz="1100" b="1">
                          <a:solidFill>
                            <a:schemeClr val="bg1"/>
                          </a:solidFill>
                        </a:defRPr>
                      </a:pPr>
                      <a:t>[SERIES NAME]</a:t>
                    </a:fld>
                    <a:r>
                      <a:rPr lang="en-US" sz="1100" b="1" baseline="0"/>
                      <a:t>, </a:t>
                    </a:r>
                    <a:fld id="{6D9E4FD1-CB3F-4DF1-A5E3-12AAEF667963}"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075849542668474"/>
                      <c:h val="6.1445561021820805E-2"/>
                    </c:manualLayout>
                  </c15:layout>
                  <c15:dlblFieldTable/>
                  <c15:showDataLabelsRange val="1"/>
                </c:ext>
                <c:ext xmlns:c16="http://schemas.microsoft.com/office/drawing/2014/chart" uri="{C3380CC4-5D6E-409C-BE32-E72D297353CC}">
                  <c16:uniqueId val="{00000008-35A1-483A-A281-47D2DF28EF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Chart!$AP$138</c:f>
              <c:numCache>
                <c:formatCode>_(* #,##0_);_(* \(#,##0\);_(* "-"??_);_(@_)</c:formatCode>
                <c:ptCount val="1"/>
                <c:pt idx="0">
                  <c:v>46.373578472936714</c:v>
                </c:pt>
              </c:numCache>
            </c:numRef>
          </c:val>
          <c:extLst>
            <c:ext xmlns:c15="http://schemas.microsoft.com/office/drawing/2012/chart" uri="{02D57815-91ED-43cb-92C2-25804820EDAC}">
              <c15:datalabelsRange>
                <c15:f>Chart!$AQ$138</c15:f>
                <c15:dlblRangeCache>
                  <c:ptCount val="1"/>
                  <c:pt idx="0">
                    <c:v>5%</c:v>
                  </c:pt>
                </c15:dlblRangeCache>
              </c15:datalabelsRange>
            </c:ext>
            <c:ext xmlns:c16="http://schemas.microsoft.com/office/drawing/2014/chart" uri="{C3380CC4-5D6E-409C-BE32-E72D297353CC}">
              <c16:uniqueId val="{00000009-35A1-483A-A281-47D2DF28EF71}"/>
            </c:ext>
          </c:extLst>
        </c:ser>
        <c:ser>
          <c:idx val="5"/>
          <c:order val="5"/>
          <c:tx>
            <c:strRef>
              <c:f>Chart!$AO$139</c:f>
              <c:strCache>
                <c:ptCount val="1"/>
                <c:pt idx="0">
                  <c:v>Chi phí sản xuất _Tạo hạt</c:v>
                </c:pt>
              </c:strCache>
            </c:strRef>
          </c:tx>
          <c:spPr>
            <a:solidFill>
              <a:schemeClr val="accent6"/>
            </a:solidFill>
            <a:ln>
              <a:noFill/>
            </a:ln>
            <a:effectLst/>
          </c:spPr>
          <c:invertIfNegative val="0"/>
          <c:dLbls>
            <c:dLbl>
              <c:idx val="0"/>
              <c:tx>
                <c:rich>
                  <a:bodyPr/>
                  <a:lstStyle/>
                  <a:p>
                    <a:fld id="{9AEBF457-F421-472D-8361-0939C890AD43}" type="CELLRANGE">
                      <a:rPr lang="en-US" baseline="0"/>
                      <a:pPr/>
                      <a:t>[CELLRANGE]</a:t>
                    </a:fld>
                    <a:r>
                      <a:rPr lang="en-US" baseline="0"/>
                      <a:t>, </a:t>
                    </a:r>
                    <a:fld id="{4C131057-90A2-4EB6-BCA1-348F0C04D19B}" type="SERIESNAME">
                      <a:rPr lang="en-US" baseline="0"/>
                      <a:pPr/>
                      <a:t>[SERIES NAME]</a:t>
                    </a:fld>
                    <a:r>
                      <a:rPr lang="en-US" baseline="0"/>
                      <a:t>, </a:t>
                    </a:r>
                    <a:fld id="{95F59F04-2CEC-488B-A2A3-C1924FDDD59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62398321757599939"/>
                      <c:h val="6.1445561021820805E-2"/>
                    </c:manualLayout>
                  </c15:layout>
                  <c15:dlblFieldTable/>
                  <c15:showDataLabelsRange val="1"/>
                </c:ext>
                <c:ext xmlns:c16="http://schemas.microsoft.com/office/drawing/2014/chart" uri="{C3380CC4-5D6E-409C-BE32-E72D297353CC}">
                  <c16:uniqueId val="{0000000A-35A1-483A-A281-47D2DF28EF7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Chart!$AP$139</c:f>
              <c:numCache>
                <c:formatCode>_(* #,##0_);_(* \(#,##0\);_(* "-"??_);_(@_)</c:formatCode>
                <c:ptCount val="1"/>
                <c:pt idx="0">
                  <c:v>75.507147348300833</c:v>
                </c:pt>
              </c:numCache>
            </c:numRef>
          </c:val>
          <c:extLst>
            <c:ext xmlns:c15="http://schemas.microsoft.com/office/drawing/2012/chart" uri="{02D57815-91ED-43cb-92C2-25804820EDAC}">
              <c15:datalabelsRange>
                <c15:f>Chart!$AQ$139</c15:f>
                <c15:dlblRangeCache>
                  <c:ptCount val="1"/>
                  <c:pt idx="0">
                    <c:v>8%</c:v>
                  </c:pt>
                </c15:dlblRangeCache>
              </c15:datalabelsRange>
            </c:ext>
            <c:ext xmlns:c16="http://schemas.microsoft.com/office/drawing/2014/chart" uri="{C3380CC4-5D6E-409C-BE32-E72D297353CC}">
              <c16:uniqueId val="{0000000B-35A1-483A-A281-47D2DF28EF71}"/>
            </c:ext>
          </c:extLst>
        </c:ser>
        <c:ser>
          <c:idx val="6"/>
          <c:order val="6"/>
          <c:tx>
            <c:strRef>
              <c:f>Chart!$AO$140</c:f>
              <c:strCache>
                <c:ptCount val="1"/>
                <c:pt idx="0">
                  <c:v>Chi phí sản xuất _Nâng IV</c:v>
                </c:pt>
              </c:strCache>
            </c:strRef>
          </c:tx>
          <c:spPr>
            <a:solidFill>
              <a:schemeClr val="accent1">
                <a:lumMod val="6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D385DDE7-DE68-46C7-ACB1-88300B78D2A3}" type="CELLRANGE">
                      <a:rPr lang="en-US" sz="1000" b="1" baseline="0"/>
                      <a:pPr>
                        <a:defRPr sz="1000" b="1">
                          <a:solidFill>
                            <a:schemeClr val="bg1"/>
                          </a:solidFill>
                        </a:defRPr>
                      </a:pPr>
                      <a:t>[CELLRANGE]</a:t>
                    </a:fld>
                    <a:r>
                      <a:rPr lang="en-US" sz="1000" b="1" baseline="0"/>
                      <a:t>, </a:t>
                    </a:r>
                    <a:fld id="{D7C4C2C0-3E39-4AB5-ADD3-D08E4DD1C279}" type="SERIESNAME">
                      <a:rPr lang="en-US" sz="1000" b="1" baseline="0"/>
                      <a:pPr>
                        <a:defRPr sz="1000" b="1">
                          <a:solidFill>
                            <a:schemeClr val="bg1"/>
                          </a:solidFill>
                        </a:defRPr>
                      </a:pPr>
                      <a:t>[SERIES NAME]</a:t>
                    </a:fld>
                    <a:r>
                      <a:rPr lang="en-US" sz="1000" b="1" baseline="0"/>
                      <a:t>, </a:t>
                    </a:r>
                    <a:fld id="{7922354A-B1FF-4CB2-8A3A-E0E7ACE75F82}" type="VALUE">
                      <a:rPr lang="en-US" sz="1000" b="1" baseline="0"/>
                      <a:pPr>
                        <a:defRPr sz="1000" b="1">
                          <a:solidFill>
                            <a:schemeClr val="bg1"/>
                          </a:solidFill>
                        </a:defRPr>
                      </a:pPr>
                      <a:t>[VALUE]</a:t>
                    </a:fld>
                    <a:endParaRPr lang="en-US" sz="1000" b="1"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3576576288457423"/>
                      <c:h val="6.1445561021820805E-2"/>
                    </c:manualLayout>
                  </c15:layout>
                  <c15:dlblFieldTable/>
                  <c15:showDataLabelsRange val="1"/>
                </c:ext>
                <c:ext xmlns:c16="http://schemas.microsoft.com/office/drawing/2014/chart" uri="{C3380CC4-5D6E-409C-BE32-E72D297353CC}">
                  <c16:uniqueId val="{0000000C-35A1-483A-A281-47D2DF28EF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Chart!$AP$140</c:f>
              <c:numCache>
                <c:formatCode>_(* #,##0_);_(* \(#,##0\);_(* "-"??_);_(@_)</c:formatCode>
                <c:ptCount val="1"/>
                <c:pt idx="0">
                  <c:v>51.926880835744555</c:v>
                </c:pt>
              </c:numCache>
            </c:numRef>
          </c:val>
          <c:extLst>
            <c:ext xmlns:c15="http://schemas.microsoft.com/office/drawing/2012/chart" uri="{02D57815-91ED-43cb-92C2-25804820EDAC}">
              <c15:datalabelsRange>
                <c15:f>Chart!$AQ$140</c15:f>
                <c15:dlblRangeCache>
                  <c:ptCount val="1"/>
                  <c:pt idx="0">
                    <c:v>5%</c:v>
                  </c:pt>
                </c15:dlblRangeCache>
              </c15:datalabelsRange>
            </c:ext>
            <c:ext xmlns:c16="http://schemas.microsoft.com/office/drawing/2014/chart" uri="{C3380CC4-5D6E-409C-BE32-E72D297353CC}">
              <c16:uniqueId val="{0000000D-35A1-483A-A281-47D2DF28EF71}"/>
            </c:ext>
          </c:extLst>
        </c:ser>
        <c:ser>
          <c:idx val="7"/>
          <c:order val="7"/>
          <c:tx>
            <c:strRef>
              <c:f>Chart!$AO$141</c:f>
              <c:strCache>
                <c:ptCount val="1"/>
                <c:pt idx="0">
                  <c:v>Phó sản thu hồi</c:v>
                </c:pt>
              </c:strCache>
            </c:strRef>
          </c:tx>
          <c:spPr>
            <a:solidFill>
              <a:schemeClr val="accent2">
                <a:lumMod val="60000"/>
              </a:schemeClr>
            </a:solidFill>
            <a:ln>
              <a:noFill/>
            </a:ln>
            <a:effectLst/>
          </c:spPr>
          <c:invertIfNegative val="0"/>
          <c:dLbls>
            <c:dLbl>
              <c:idx val="0"/>
              <c:tx>
                <c:rich>
                  <a:bodyPr/>
                  <a:lstStyle/>
                  <a:p>
                    <a:fld id="{CBD3286C-8D52-451B-AF67-42697F2F0A29}" type="CELLRANGE">
                      <a:rPr lang="en-US" baseline="0"/>
                      <a:pPr/>
                      <a:t>[CELLRANGE]</a:t>
                    </a:fld>
                    <a:r>
                      <a:rPr lang="en-US" baseline="0"/>
                      <a:t>, </a:t>
                    </a:r>
                    <a:fld id="{F7760970-3D40-4EDA-9A8B-EFAA5682B076}" type="SERIESNAME">
                      <a:rPr lang="en-US" baseline="0"/>
                      <a:pPr/>
                      <a:t>[SERIES NAME]</a:t>
                    </a:fld>
                    <a:r>
                      <a:rPr lang="en-US" baseline="0"/>
                      <a:t>, </a:t>
                    </a:r>
                    <a:fld id="{2401D9EF-B8CF-4DDA-8958-93CDCB87E79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7151492861569816"/>
                      <c:h val="4.2672617958296105E-2"/>
                    </c:manualLayout>
                  </c15:layout>
                  <c15:dlblFieldTable/>
                  <c15:showDataLabelsRange val="1"/>
                </c:ext>
                <c:ext xmlns:c16="http://schemas.microsoft.com/office/drawing/2014/chart" uri="{C3380CC4-5D6E-409C-BE32-E72D297353CC}">
                  <c16:uniqueId val="{0000000E-35A1-483A-A281-47D2DF28EF7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Chart!$AP$141</c:f>
              <c:numCache>
                <c:formatCode>_(* #,##0_);_(* \(#,##0\);_(* "-"??_);_(@_)</c:formatCode>
                <c:ptCount val="1"/>
                <c:pt idx="0">
                  <c:v>-49.022877292579359</c:v>
                </c:pt>
              </c:numCache>
            </c:numRef>
          </c:val>
          <c:extLst>
            <c:ext xmlns:c15="http://schemas.microsoft.com/office/drawing/2012/chart" uri="{02D57815-91ED-43cb-92C2-25804820EDAC}">
              <c15:datalabelsRange>
                <c15:f>Chart!$AQ$141</c15:f>
                <c15:dlblRangeCache>
                  <c:ptCount val="1"/>
                  <c:pt idx="0">
                    <c:v>-5%</c:v>
                  </c:pt>
                </c15:dlblRangeCache>
              </c15:datalabelsRange>
            </c:ext>
            <c:ext xmlns:c16="http://schemas.microsoft.com/office/drawing/2014/chart" uri="{C3380CC4-5D6E-409C-BE32-E72D297353CC}">
              <c16:uniqueId val="{0000000F-35A1-483A-A281-47D2DF28EF71}"/>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WSS03NC</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213920163766633"/>
          <c:w val="0.80896738343331476"/>
          <c:h val="0.78053578768365317"/>
        </c:manualLayout>
      </c:layout>
      <c:barChart>
        <c:barDir val="col"/>
        <c:grouping val="percentStacked"/>
        <c:varyColors val="0"/>
        <c:ser>
          <c:idx val="0"/>
          <c:order val="0"/>
          <c:tx>
            <c:strRef>
              <c:f>Chart!$BE$262</c:f>
              <c:strCache>
                <c:ptCount val="1"/>
                <c:pt idx="0">
                  <c:v>Chi phí NVL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0-799A-4213-ABD6-261486AF89E8}"/>
              </c:ext>
            </c:extLst>
          </c:dPt>
          <c:dLbls>
            <c:dLbl>
              <c:idx val="0"/>
              <c:layout>
                <c:manualLayout>
                  <c:x val="7.7034403675984939E-3"/>
                  <c:y val="-1.515116018527597E-16"/>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2FF9ACFE-C709-4835-9570-89EF9A5A1AFC}" type="CELLRANGE">
                      <a:rPr lang="en-US" sz="1200" b="1" baseline="0"/>
                      <a:pPr>
                        <a:defRPr sz="1200" b="1">
                          <a:solidFill>
                            <a:schemeClr val="bg1"/>
                          </a:solidFill>
                        </a:defRPr>
                      </a:pPr>
                      <a:t>[CELLRANGE]</a:t>
                    </a:fld>
                    <a:r>
                      <a:rPr lang="en-US" sz="1200" b="1" baseline="0"/>
                      <a:t>, </a:t>
                    </a:r>
                    <a:fld id="{A98D862D-D29E-49F7-8661-75AC282351DD}" type="SERIESNAME">
                      <a:rPr lang="en-US" sz="1200" b="1" baseline="0"/>
                      <a:pPr>
                        <a:defRPr sz="1200" b="1">
                          <a:solidFill>
                            <a:schemeClr val="bg1"/>
                          </a:solidFill>
                        </a:defRPr>
                      </a:pPr>
                      <a:t>[SERIES NAME]</a:t>
                    </a:fld>
                    <a:r>
                      <a:rPr lang="en-US" sz="1200" b="1" baseline="0"/>
                      <a:t>, </a:t>
                    </a:r>
                    <a:fld id="{762EADB8-01BB-45BD-92BB-1008255189BC}"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81501643924273626"/>
                      <c:h val="5.1590296399486375E-2"/>
                    </c:manualLayout>
                  </c15:layout>
                  <c15:dlblFieldTable/>
                  <c15:showDataLabelsRange val="1"/>
                </c:ext>
                <c:ext xmlns:c16="http://schemas.microsoft.com/office/drawing/2014/chart" uri="{C3380CC4-5D6E-409C-BE32-E72D297353CC}">
                  <c16:uniqueId val="{00000000-799A-4213-ABD6-261486AF8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Chart!$BF$262</c:f>
              <c:numCache>
                <c:formatCode>_(* #,##0_);_(* \(#,##0\);_(* "-"??_);_(@_)</c:formatCode>
                <c:ptCount val="1"/>
                <c:pt idx="0">
                  <c:v>587.29135678199202</c:v>
                </c:pt>
              </c:numCache>
            </c:numRef>
          </c:val>
          <c:extLst>
            <c:ext xmlns:c15="http://schemas.microsoft.com/office/drawing/2012/chart" uri="{02D57815-91ED-43cb-92C2-25804820EDAC}">
              <c15:datalabelsRange>
                <c15:f>Chart!$BG$262</c15:f>
                <c15:dlblRangeCache>
                  <c:ptCount val="1"/>
                  <c:pt idx="0">
                    <c:v>50%</c:v>
                  </c:pt>
                </c15:dlblRangeCache>
              </c15:datalabelsRange>
            </c:ext>
            <c:ext xmlns:c16="http://schemas.microsoft.com/office/drawing/2014/chart" uri="{C3380CC4-5D6E-409C-BE32-E72D297353CC}">
              <c16:uniqueId val="{00000001-799A-4213-ABD6-261486AF89E8}"/>
            </c:ext>
          </c:extLst>
        </c:ser>
        <c:ser>
          <c:idx val="1"/>
          <c:order val="1"/>
          <c:tx>
            <c:strRef>
              <c:f>Chart!$BE$263</c:f>
              <c:strCache>
                <c:ptCount val="1"/>
                <c:pt idx="0">
                  <c:v>Chi phí sản xuất</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799A-4213-ABD6-261486AF89E8}"/>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44389484-0C2F-4478-8364-AD35CC64CE81}" type="CELLRANGE">
                      <a:rPr lang="en-US" sz="1200" b="1" baseline="0"/>
                      <a:pPr>
                        <a:defRPr sz="1200" b="1">
                          <a:solidFill>
                            <a:schemeClr val="bg1"/>
                          </a:solidFill>
                        </a:defRPr>
                      </a:pPr>
                      <a:t>[CELLRANGE]</a:t>
                    </a:fld>
                    <a:r>
                      <a:rPr lang="en-US" sz="1200" b="1" baseline="0"/>
                      <a:t>, </a:t>
                    </a:r>
                    <a:fld id="{DA30764F-C263-4523-BBEE-A0F6035F2686}" type="SERIESNAME">
                      <a:rPr lang="en-US" sz="1200" b="1" baseline="0"/>
                      <a:pPr>
                        <a:defRPr sz="1200" b="1">
                          <a:solidFill>
                            <a:schemeClr val="bg1"/>
                          </a:solidFill>
                        </a:defRPr>
                      </a:pPr>
                      <a:t>[SERIES NAME]</a:t>
                    </a:fld>
                    <a:r>
                      <a:rPr lang="en-US" sz="1200" b="1" baseline="0"/>
                      <a:t>, </a:t>
                    </a:r>
                    <a:fld id="{F2000CBE-3128-4E19-A6C0-9361F1CDD265}"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2693215313288808"/>
                      <c:h val="5.1590296399486375E-2"/>
                    </c:manualLayout>
                  </c15:layout>
                  <c15:dlblFieldTable/>
                  <c15:showDataLabelsRange val="1"/>
                </c:ext>
                <c:ext xmlns:c16="http://schemas.microsoft.com/office/drawing/2014/chart" uri="{C3380CC4-5D6E-409C-BE32-E72D297353CC}">
                  <c16:uniqueId val="{00000002-799A-4213-ABD6-261486AF8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Chart!$BF$263</c:f>
              <c:numCache>
                <c:formatCode>_(* #,##0_);_(* \(#,##0\);_(* "-"??_);_(@_)</c:formatCode>
                <c:ptCount val="1"/>
                <c:pt idx="0">
                  <c:v>373.76047087498836</c:v>
                </c:pt>
              </c:numCache>
            </c:numRef>
          </c:val>
          <c:extLst>
            <c:ext xmlns:c15="http://schemas.microsoft.com/office/drawing/2012/chart" uri="{02D57815-91ED-43cb-92C2-25804820EDAC}">
              <c15:datalabelsRange>
                <c15:f>Chart!$BG$263</c15:f>
                <c15:dlblRangeCache>
                  <c:ptCount val="1"/>
                  <c:pt idx="0">
                    <c:v>32%</c:v>
                  </c:pt>
                </c15:dlblRangeCache>
              </c15:datalabelsRange>
            </c:ext>
            <c:ext xmlns:c16="http://schemas.microsoft.com/office/drawing/2014/chart" uri="{C3380CC4-5D6E-409C-BE32-E72D297353CC}">
              <c16:uniqueId val="{00000003-799A-4213-ABD6-261486AF89E8}"/>
            </c:ext>
          </c:extLst>
        </c:ser>
        <c:ser>
          <c:idx val="2"/>
          <c:order val="2"/>
          <c:tx>
            <c:strRef>
              <c:f>Chart!$BE$264</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308CD8E0-A82D-4CE5-8ABD-D049972ACD58}" type="CELLRANGE">
                      <a:rPr lang="en-US" sz="1000" b="1" baseline="0"/>
                      <a:pPr>
                        <a:defRPr sz="1000" b="1">
                          <a:solidFill>
                            <a:schemeClr val="bg1"/>
                          </a:solidFill>
                        </a:defRPr>
                      </a:pPr>
                      <a:t>[CELLRANGE]</a:t>
                    </a:fld>
                    <a:r>
                      <a:rPr lang="en-US" sz="1000" b="1" baseline="0"/>
                      <a:t>, </a:t>
                    </a:r>
                    <a:fld id="{AC558162-FA8C-4E71-BBDB-AB29EE936F26}" type="SERIESNAME">
                      <a:rPr lang="en-US" sz="1000" b="1" baseline="0"/>
                      <a:pPr>
                        <a:defRPr sz="1000" b="1">
                          <a:solidFill>
                            <a:schemeClr val="bg1"/>
                          </a:solidFill>
                        </a:defRPr>
                      </a:pPr>
                      <a:t>[SERIES NAME]</a:t>
                    </a:fld>
                    <a:r>
                      <a:rPr lang="en-US" sz="1000" b="1" baseline="0"/>
                      <a:t>, </a:t>
                    </a:r>
                    <a:fld id="{12A83B3F-45DB-46C0-986B-4BB77F8B5911}" type="VALUE">
                      <a:rPr lang="en-US" sz="1000" b="1" baseline="0"/>
                      <a:pPr>
                        <a:defRPr sz="1000" b="1">
                          <a:solidFill>
                            <a:schemeClr val="bg1"/>
                          </a:solidFill>
                        </a:defRPr>
                      </a:pPr>
                      <a:t>[VALUE]</a:t>
                    </a:fld>
                    <a:endParaRPr lang="en-US" sz="1000" b="1"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6229376643203979"/>
                      <c:h val="3.299547591108519E-2"/>
                    </c:manualLayout>
                  </c15:layout>
                  <c15:dlblFieldTable/>
                  <c15:showDataLabelsRange val="1"/>
                </c:ext>
                <c:ext xmlns:c16="http://schemas.microsoft.com/office/drawing/2014/chart" uri="{C3380CC4-5D6E-409C-BE32-E72D297353CC}">
                  <c16:uniqueId val="{00000004-799A-4213-ABD6-261486AF89E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Chart!$BF$264</c:f>
              <c:numCache>
                <c:formatCode>_(* #,##0_);_(* \(#,##0\);_(* "-"??_);_(@_)</c:formatCode>
                <c:ptCount val="1"/>
                <c:pt idx="0">
                  <c:v>14.14584108457648</c:v>
                </c:pt>
              </c:numCache>
            </c:numRef>
          </c:val>
          <c:extLst>
            <c:ext xmlns:c15="http://schemas.microsoft.com/office/drawing/2012/chart" uri="{02D57815-91ED-43cb-92C2-25804820EDAC}">
              <c15:datalabelsRange>
                <c15:f>Chart!$BG$264</c15:f>
                <c15:dlblRangeCache>
                  <c:ptCount val="1"/>
                  <c:pt idx="0">
                    <c:v>1%</c:v>
                  </c:pt>
                </c15:dlblRangeCache>
              </c15:datalabelsRange>
            </c:ext>
            <c:ext xmlns:c16="http://schemas.microsoft.com/office/drawing/2014/chart" uri="{C3380CC4-5D6E-409C-BE32-E72D297353CC}">
              <c16:uniqueId val="{00000005-799A-4213-ABD6-261486AF89E8}"/>
            </c:ext>
          </c:extLst>
        </c:ser>
        <c:ser>
          <c:idx val="3"/>
          <c:order val="3"/>
          <c:tx>
            <c:strRef>
              <c:f>Chart!$BE$265</c:f>
              <c:strCache>
                <c:ptCount val="1"/>
                <c:pt idx="0">
                  <c:v>CP QL + bán hàng + lãi vay</c:v>
                </c:pt>
              </c:strCache>
            </c:strRef>
          </c:tx>
          <c:spPr>
            <a:solidFill>
              <a:schemeClr val="accent4"/>
            </a:solidFill>
            <a:ln>
              <a:noFill/>
            </a:ln>
            <a:effectLst/>
          </c:spPr>
          <c:invertIfNegative val="0"/>
          <c:dLbls>
            <c:dLbl>
              <c:idx val="0"/>
              <c:tx>
                <c:rich>
                  <a:bodyPr/>
                  <a:lstStyle/>
                  <a:p>
                    <a:fld id="{12EE6162-5AD7-4153-8197-129B7A46ED07}" type="CELLRANGE">
                      <a:rPr lang="en-US" baseline="0"/>
                      <a:pPr/>
                      <a:t>[CELLRANGE]</a:t>
                    </a:fld>
                    <a:r>
                      <a:rPr lang="en-US" baseline="0"/>
                      <a:t>, </a:t>
                    </a:r>
                    <a:fld id="{B724D19B-745F-40AD-85AC-18157519A92C}" type="SERIESNAME">
                      <a:rPr lang="en-US" baseline="0"/>
                      <a:pPr/>
                      <a:t>[SERIES NAME]</a:t>
                    </a:fld>
                    <a:r>
                      <a:rPr lang="en-US" baseline="0"/>
                      <a:t>, </a:t>
                    </a:r>
                    <a:fld id="{671A8CF2-C0B5-4EBF-B95F-BD4CA0A5701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7680285009551768"/>
                      <c:h val="7.4286389193334565E-2"/>
                    </c:manualLayout>
                  </c15:layout>
                  <c15:dlblFieldTable/>
                  <c15:showDataLabelsRange val="1"/>
                </c:ext>
                <c:ext xmlns:c16="http://schemas.microsoft.com/office/drawing/2014/chart" uri="{C3380CC4-5D6E-409C-BE32-E72D297353CC}">
                  <c16:uniqueId val="{00000006-799A-4213-ABD6-261486AF89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Chart!$BF$265</c:f>
              <c:numCache>
                <c:formatCode>_(* #,##0_);_(* \(#,##0\);_(* "-"??_);_(@_)</c:formatCode>
                <c:ptCount val="1"/>
                <c:pt idx="0">
                  <c:v>140</c:v>
                </c:pt>
              </c:numCache>
            </c:numRef>
          </c:val>
          <c:extLst>
            <c:ext xmlns:c15="http://schemas.microsoft.com/office/drawing/2012/chart" uri="{02D57815-91ED-43cb-92C2-25804820EDAC}">
              <c15:datalabelsRange>
                <c15:f>Chart!$BG$265</c15:f>
                <c15:dlblRangeCache>
                  <c:ptCount val="1"/>
                  <c:pt idx="0">
                    <c:v>12%</c:v>
                  </c:pt>
                </c15:dlblRangeCache>
              </c15:datalabelsRange>
            </c:ext>
            <c:ext xmlns:c16="http://schemas.microsoft.com/office/drawing/2014/chart" uri="{C3380CC4-5D6E-409C-BE32-E72D297353CC}">
              <c16:uniqueId val="{00000007-799A-4213-ABD6-261486AF89E8}"/>
            </c:ext>
          </c:extLst>
        </c:ser>
        <c:ser>
          <c:idx val="4"/>
          <c:order val="4"/>
          <c:tx>
            <c:strRef>
              <c:f>Chart!$BE$266</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C26CEEA9-A414-4117-BE04-AA042C76D521}" type="CELLRANGE">
                      <a:rPr lang="en-US" baseline="0"/>
                      <a:pPr>
                        <a:defRPr>
                          <a:solidFill>
                            <a:schemeClr val="bg1"/>
                          </a:solidFill>
                        </a:defRPr>
                      </a:pPr>
                      <a:t>[CELLRANGE]</a:t>
                    </a:fld>
                    <a:r>
                      <a:rPr lang="en-US" baseline="0"/>
                      <a:t>, </a:t>
                    </a:r>
                    <a:fld id="{9CE87681-9091-4B8C-B0CB-559FAEC79CD2}" type="SERIESNAME">
                      <a:rPr lang="en-US" baseline="0"/>
                      <a:pPr>
                        <a:defRPr>
                          <a:solidFill>
                            <a:schemeClr val="bg1"/>
                          </a:solidFill>
                        </a:defRPr>
                      </a:pPr>
                      <a:t>[SERIES NAME]</a:t>
                    </a:fld>
                    <a:r>
                      <a:rPr lang="en-US" baseline="0"/>
                      <a:t>, </a:t>
                    </a:r>
                    <a:fld id="{E5D2D57F-F02F-40B6-B94C-99731EF203C7}"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1650550921619631"/>
                      <c:h val="4.3325931737974742E-2"/>
                    </c:manualLayout>
                  </c15:layout>
                  <c15:dlblFieldTable/>
                  <c15:showDataLabelsRange val="1"/>
                </c:ext>
                <c:ext xmlns:c16="http://schemas.microsoft.com/office/drawing/2014/chart" uri="{C3380CC4-5D6E-409C-BE32-E72D297353CC}">
                  <c16:uniqueId val="{00000008-799A-4213-ABD6-261486AF8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Chart!$BF$266</c:f>
              <c:numCache>
                <c:formatCode>_(* #,##0_);_(* \(#,##0\);_(* "-"??_);_(@_)</c:formatCode>
                <c:ptCount val="1"/>
                <c:pt idx="0">
                  <c:v>50</c:v>
                </c:pt>
              </c:numCache>
            </c:numRef>
          </c:val>
          <c:extLst>
            <c:ext xmlns:c15="http://schemas.microsoft.com/office/drawing/2012/chart" uri="{02D57815-91ED-43cb-92C2-25804820EDAC}">
              <c15:datalabelsRange>
                <c15:f>Chart!$BG$266</c15:f>
                <c15:dlblRangeCache>
                  <c:ptCount val="1"/>
                  <c:pt idx="0">
                    <c:v>4%</c:v>
                  </c:pt>
                </c15:dlblRangeCache>
              </c15:datalabelsRange>
            </c:ext>
            <c:ext xmlns:c16="http://schemas.microsoft.com/office/drawing/2014/chart" uri="{C3380CC4-5D6E-409C-BE32-E72D297353CC}">
              <c16:uniqueId val="{00000009-799A-4213-ABD6-261486AF89E8}"/>
            </c:ext>
          </c:extLst>
        </c:ser>
        <c:ser>
          <c:idx val="5"/>
          <c:order val="5"/>
          <c:tx>
            <c:strRef>
              <c:f>Chart!$BE$267</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5C0C095F-0686-4FB3-A0A2-8523A8458B97}" type="CELLRANGE">
                      <a:rPr lang="en-US" baseline="0"/>
                      <a:pPr>
                        <a:defRPr>
                          <a:solidFill>
                            <a:schemeClr val="bg1"/>
                          </a:solidFill>
                        </a:defRPr>
                      </a:pPr>
                      <a:t>[CELLRANGE]</a:t>
                    </a:fld>
                    <a:r>
                      <a:rPr lang="en-US" baseline="0"/>
                      <a:t>, </a:t>
                    </a:r>
                    <a:fld id="{93B383B6-5791-4BBE-96A1-72D92D5E0FE3}" type="SERIESNAME">
                      <a:rPr lang="en-US" baseline="0"/>
                      <a:pPr>
                        <a:defRPr>
                          <a:solidFill>
                            <a:schemeClr val="bg1"/>
                          </a:solidFill>
                        </a:defRPr>
                      </a:pPr>
                      <a:t>[SERIES NAME]</a:t>
                    </a:fld>
                    <a:r>
                      <a:rPr lang="en-US" baseline="0"/>
                      <a:t>, </a:t>
                    </a:r>
                    <a:fld id="{0576F9D1-9C4E-403C-90DE-569C48A26C58}"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368088004311416"/>
                      <c:h val="4.3325931737974742E-2"/>
                    </c:manualLayout>
                  </c15:layout>
                  <c15:dlblFieldTable/>
                  <c15:showDataLabelsRange val="1"/>
                </c:ext>
                <c:ext xmlns:c16="http://schemas.microsoft.com/office/drawing/2014/chart" uri="{C3380CC4-5D6E-409C-BE32-E72D297353CC}">
                  <c16:uniqueId val="{0000000A-799A-4213-ABD6-261486AF8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Chart!$BF$267</c:f>
              <c:numCache>
                <c:formatCode>_(* #,##0_);_(* \(#,##0\);_(* "-"??_);_(@_)</c:formatCode>
                <c:ptCount val="1"/>
                <c:pt idx="0">
                  <c:v>10</c:v>
                </c:pt>
              </c:numCache>
            </c:numRef>
          </c:val>
          <c:extLst>
            <c:ext xmlns:c15="http://schemas.microsoft.com/office/drawing/2012/chart" uri="{02D57815-91ED-43cb-92C2-25804820EDAC}">
              <c15:datalabelsRange>
                <c15:f>Chart!$BG$267</c15:f>
                <c15:dlblRangeCache>
                  <c:ptCount val="1"/>
                  <c:pt idx="0">
                    <c:v>1%</c:v>
                  </c:pt>
                </c15:dlblRangeCache>
              </c15:datalabelsRange>
            </c:ext>
            <c:ext xmlns:c16="http://schemas.microsoft.com/office/drawing/2014/chart" uri="{C3380CC4-5D6E-409C-BE32-E72D297353CC}">
              <c16:uniqueId val="{0000000B-799A-4213-ABD6-261486AF89E8}"/>
            </c:ext>
          </c:extLst>
        </c:ser>
        <c:ser>
          <c:idx val="6"/>
          <c:order val="6"/>
          <c:tx>
            <c:strRef>
              <c:f>Chart!$BE$268</c:f>
              <c:strCache>
                <c:ptCount val="1"/>
                <c:pt idx="0">
                  <c:v>Lợi nhuận sau thuế</c:v>
                </c:pt>
              </c:strCache>
            </c:strRef>
          </c:tx>
          <c:spPr>
            <a:solidFill>
              <a:schemeClr val="accent1">
                <a:lumMod val="6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57D74AAF-0704-4404-8AD2-4016BAF7A3C7}" type="CELLRANGE">
                      <a:rPr lang="en-US" baseline="0"/>
                      <a:pPr>
                        <a:defRPr>
                          <a:solidFill>
                            <a:schemeClr val="bg1"/>
                          </a:solidFill>
                        </a:defRPr>
                      </a:pPr>
                      <a:t>[CELLRANGE]</a:t>
                    </a:fld>
                    <a:r>
                      <a:rPr lang="en-US" baseline="0"/>
                      <a:t>, </a:t>
                    </a:r>
                    <a:fld id="{85E6C14A-EA82-441A-A48A-CA835E5F1679}" type="SERIESNAME">
                      <a:rPr lang="en-US" baseline="0"/>
                      <a:pPr>
                        <a:defRPr>
                          <a:solidFill>
                            <a:schemeClr val="bg1"/>
                          </a:solidFill>
                        </a:defRPr>
                      </a:pPr>
                      <a:t>[SERIES NAME]</a:t>
                    </a:fld>
                    <a:r>
                      <a:rPr lang="en-US" baseline="0"/>
                      <a:t>, </a:t>
                    </a:r>
                    <a:fld id="{25E86907-141E-49E7-B482-37E555722E9A}" type="VALUE">
                      <a:rPr lang="en-US" baseline="0"/>
                      <a:pPr>
                        <a:defRPr>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555256387588242"/>
                      <c:h val="3.9193749407218925E-2"/>
                    </c:manualLayout>
                  </c15:layout>
                  <c15:dlblFieldTable/>
                  <c15:showDataLabelsRange val="1"/>
                </c:ext>
                <c:ext xmlns:c16="http://schemas.microsoft.com/office/drawing/2014/chart" uri="{C3380CC4-5D6E-409C-BE32-E72D297353CC}">
                  <c16:uniqueId val="{0000000D-799A-4213-ABD6-261486AF8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Chart!$BF$268</c:f>
              <c:numCache>
                <c:formatCode>_(* #,##0_);_(* \(#,##0\);_(* "-"??_);_(@_)</c:formatCode>
                <c:ptCount val="1"/>
                <c:pt idx="0">
                  <c:v>40</c:v>
                </c:pt>
              </c:numCache>
            </c:numRef>
          </c:val>
          <c:extLst>
            <c:ext xmlns:c15="http://schemas.microsoft.com/office/drawing/2012/chart" uri="{02D57815-91ED-43cb-92C2-25804820EDAC}">
              <c15:datalabelsRange>
                <c15:f>Chart!$BG$268</c15:f>
                <c15:dlblRangeCache>
                  <c:ptCount val="1"/>
                  <c:pt idx="0">
                    <c:v>3%</c:v>
                  </c:pt>
                </c15:dlblRangeCache>
              </c15:datalabelsRange>
            </c:ext>
            <c:ext xmlns:c16="http://schemas.microsoft.com/office/drawing/2014/chart" uri="{C3380CC4-5D6E-409C-BE32-E72D297353CC}">
              <c16:uniqueId val="{0000000E-799A-4213-ABD6-261486AF89E8}"/>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FF"/>
                </a:solidFill>
              </a:rPr>
              <a:t>Hạt</a:t>
            </a:r>
            <a:r>
              <a:rPr lang="en-US" b="1" baseline="0">
                <a:solidFill>
                  <a:srgbClr val="0000FF"/>
                </a:solidFill>
              </a:rPr>
              <a:t> rPET WSS03NC</a:t>
            </a:r>
            <a:endParaRPr lang="en-US" b="1">
              <a:solidFill>
                <a:srgbClr val="0000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82158074867939"/>
          <c:y val="0.17213920163766633"/>
          <c:w val="0.80896738343331476"/>
          <c:h val="0.78053578768365317"/>
        </c:manualLayout>
      </c:layout>
      <c:barChart>
        <c:barDir val="col"/>
        <c:grouping val="percentStacked"/>
        <c:varyColors val="0"/>
        <c:ser>
          <c:idx val="0"/>
          <c:order val="0"/>
          <c:tx>
            <c:strRef>
              <c:f>Chart!$BQ$262</c:f>
              <c:strCache>
                <c:ptCount val="1"/>
                <c:pt idx="0">
                  <c:v>Chi phí NVL</c:v>
                </c:pt>
              </c:strCache>
            </c:strRef>
          </c:tx>
          <c:spPr>
            <a:solidFill>
              <a:schemeClr val="accent1"/>
            </a:solidFill>
            <a:ln>
              <a:solidFill>
                <a:schemeClr val="accent3">
                  <a:lumMod val="60000"/>
                  <a:lumOff val="40000"/>
                </a:schemeClr>
              </a:solidFill>
            </a:ln>
            <a:effectLst/>
          </c:spPr>
          <c:invertIfNegative val="0"/>
          <c:dPt>
            <c:idx val="0"/>
            <c:invertIfNegative val="0"/>
            <c:bubble3D val="0"/>
            <c:spPr>
              <a:solidFill>
                <a:schemeClr val="accent3">
                  <a:lumMod val="60000"/>
                  <a:lumOff val="40000"/>
                </a:schemeClr>
              </a:solidFill>
              <a:ln>
                <a:solidFill>
                  <a:schemeClr val="accent3">
                    <a:lumMod val="60000"/>
                    <a:lumOff val="40000"/>
                  </a:schemeClr>
                </a:solidFill>
              </a:ln>
              <a:effectLst/>
            </c:spPr>
            <c:extLst>
              <c:ext xmlns:c16="http://schemas.microsoft.com/office/drawing/2014/chart" uri="{C3380CC4-5D6E-409C-BE32-E72D297353CC}">
                <c16:uniqueId val="{00000000-A8A2-4644-8F57-557B1C3905C9}"/>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BC1505A5-47E2-47DE-8207-63ADCD574493}" type="CELLRANGE">
                      <a:rPr lang="en-US" sz="1200" b="1" baseline="0"/>
                      <a:pPr>
                        <a:defRPr sz="1200" b="1">
                          <a:solidFill>
                            <a:schemeClr val="bg1"/>
                          </a:solidFill>
                        </a:defRPr>
                      </a:pPr>
                      <a:t>[CELLRANGE]</a:t>
                    </a:fld>
                    <a:r>
                      <a:rPr lang="en-US" sz="1200" b="1" baseline="0"/>
                      <a:t>, </a:t>
                    </a:r>
                    <a:fld id="{29D97198-E46B-42A3-853D-390AAF86CB5A}" type="SERIESNAME">
                      <a:rPr lang="en-US" sz="1200" b="1" baseline="0"/>
                      <a:pPr>
                        <a:defRPr sz="1200" b="1">
                          <a:solidFill>
                            <a:schemeClr val="bg1"/>
                          </a:solidFill>
                        </a:defRPr>
                      </a:pPr>
                      <a:t>[SERIES NAME]</a:t>
                    </a:fld>
                    <a:r>
                      <a:rPr lang="en-US" sz="1200" b="1" baseline="0"/>
                      <a:t>, </a:t>
                    </a:r>
                    <a:fld id="{299B8082-41CD-4E20-83C8-4D8F049C8620}"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7445365031254425"/>
                      <c:h val="5.1590296399486375E-2"/>
                    </c:manualLayout>
                  </c15:layout>
                  <c15:dlblFieldTable/>
                  <c15:showDataLabelsRange val="1"/>
                </c:ext>
                <c:ext xmlns:c16="http://schemas.microsoft.com/office/drawing/2014/chart" uri="{C3380CC4-5D6E-409C-BE32-E72D297353CC}">
                  <c16:uniqueId val="{00000000-A8A2-4644-8F57-557B1C39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Chart!$BR$262</c:f>
              <c:numCache>
                <c:formatCode>_(* #,##0_);_(* \(#,##0\);_(* "-"??_);_(@_)</c:formatCode>
                <c:ptCount val="1"/>
                <c:pt idx="0">
                  <c:v>587.29135678199202</c:v>
                </c:pt>
              </c:numCache>
            </c:numRef>
          </c:val>
          <c:extLst>
            <c:ext xmlns:c15="http://schemas.microsoft.com/office/drawing/2012/chart" uri="{02D57815-91ED-43cb-92C2-25804820EDAC}">
              <c15:datalabelsRange>
                <c15:f>Chart!$BS$262</c15:f>
                <c15:dlblRangeCache>
                  <c:ptCount val="1"/>
                  <c:pt idx="0">
                    <c:v>47%</c:v>
                  </c:pt>
                </c15:dlblRangeCache>
              </c15:datalabelsRange>
            </c:ext>
            <c:ext xmlns:c16="http://schemas.microsoft.com/office/drawing/2014/chart" uri="{C3380CC4-5D6E-409C-BE32-E72D297353CC}">
              <c16:uniqueId val="{00000001-A8A2-4644-8F57-557B1C3905C9}"/>
            </c:ext>
          </c:extLst>
        </c:ser>
        <c:ser>
          <c:idx val="1"/>
          <c:order val="1"/>
          <c:tx>
            <c:strRef>
              <c:f>Chart!$BQ$263</c:f>
              <c:strCache>
                <c:ptCount val="1"/>
                <c:pt idx="0">
                  <c:v>Chi phí sản xuất</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79F045C9-F88A-43D7-B3DB-47499756360E}" type="CELLRANGE">
                      <a:rPr lang="en-US" sz="1200" b="1" baseline="0"/>
                      <a:pPr>
                        <a:defRPr sz="1200" b="1">
                          <a:solidFill>
                            <a:schemeClr val="bg1"/>
                          </a:solidFill>
                        </a:defRPr>
                      </a:pPr>
                      <a:t>[CELLRANGE]</a:t>
                    </a:fld>
                    <a:r>
                      <a:rPr lang="en-US" sz="1200" b="1" baseline="0"/>
                      <a:t>, </a:t>
                    </a:r>
                    <a:fld id="{A72EA63F-CD32-46D2-BAF2-E5A6570D5DDC}" type="SERIESNAME">
                      <a:rPr lang="en-US" sz="1200" b="1" baseline="0"/>
                      <a:pPr>
                        <a:defRPr sz="1200" b="1">
                          <a:solidFill>
                            <a:schemeClr val="bg1"/>
                          </a:solidFill>
                        </a:defRPr>
                      </a:pPr>
                      <a:t>[SERIES NAME]</a:t>
                    </a:fld>
                    <a:r>
                      <a:rPr lang="en-US" sz="1200" b="1" baseline="0"/>
                      <a:t>, </a:t>
                    </a:r>
                    <a:fld id="{556760D0-A1AA-4894-942F-EFE946662D8C}" type="VALUE">
                      <a:rPr lang="en-US" sz="1200" b="1" baseline="0"/>
                      <a:pPr>
                        <a:defRPr sz="1200" b="1">
                          <a:solidFill>
                            <a:schemeClr val="bg1"/>
                          </a:solidFill>
                        </a:defRPr>
                      </a:pPr>
                      <a:t>[VALUE]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297009395282731"/>
                      <c:h val="7.4286389193334565E-2"/>
                    </c:manualLayout>
                  </c15:layout>
                  <c15:dlblFieldTable/>
                  <c15:showDataLabelsRange val="1"/>
                </c:ext>
                <c:ext xmlns:c16="http://schemas.microsoft.com/office/drawing/2014/chart" uri="{C3380CC4-5D6E-409C-BE32-E72D297353CC}">
                  <c16:uniqueId val="{00000003-A8A2-4644-8F57-557B1C39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Chart!$BR$263</c:f>
              <c:numCache>
                <c:formatCode>_(* #,##0_);_(* \(#,##0\);_(* "-"??_);_(@_)</c:formatCode>
                <c:ptCount val="1"/>
                <c:pt idx="0">
                  <c:v>373.76047087498836</c:v>
                </c:pt>
              </c:numCache>
            </c:numRef>
          </c:val>
          <c:extLst>
            <c:ext xmlns:c15="http://schemas.microsoft.com/office/drawing/2012/chart" uri="{02D57815-91ED-43cb-92C2-25804820EDAC}">
              <c15:datalabelsRange>
                <c15:f>Chart!$BS$263</c15:f>
                <c15:dlblRangeCache>
                  <c:ptCount val="1"/>
                  <c:pt idx="0">
                    <c:v>30%</c:v>
                  </c:pt>
                </c15:dlblRangeCache>
              </c15:datalabelsRange>
            </c:ext>
            <c:ext xmlns:c16="http://schemas.microsoft.com/office/drawing/2014/chart" uri="{C3380CC4-5D6E-409C-BE32-E72D297353CC}">
              <c16:uniqueId val="{00000004-A8A2-4644-8F57-557B1C3905C9}"/>
            </c:ext>
          </c:extLst>
        </c:ser>
        <c:ser>
          <c:idx val="2"/>
          <c:order val="2"/>
          <c:tx>
            <c:strRef>
              <c:f>Chart!$BQ$264</c:f>
              <c:strCache>
                <c:ptCount val="1"/>
                <c:pt idx="0">
                  <c:v>Hao hụt về tiền</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fld id="{75A4B681-DA46-4148-A13E-799E1F6817A7}" type="CELLRANGE">
                      <a:rPr lang="en-US" baseline="0"/>
                      <a:pPr>
                        <a:defRPr sz="1050" b="1">
                          <a:solidFill>
                            <a:schemeClr val="bg1"/>
                          </a:solidFill>
                        </a:defRPr>
                      </a:pPr>
                      <a:t>[CELLRANGE]</a:t>
                    </a:fld>
                    <a:r>
                      <a:rPr lang="en-US" baseline="0"/>
                      <a:t>, </a:t>
                    </a:r>
                    <a:fld id="{7FDE828B-5592-44C4-B42F-61C949EB282C}" type="SERIESNAME">
                      <a:rPr lang="en-US" baseline="0"/>
                      <a:pPr>
                        <a:defRPr sz="1050" b="1">
                          <a:solidFill>
                            <a:schemeClr val="bg1"/>
                          </a:solidFill>
                        </a:defRPr>
                      </a:pPr>
                      <a:t>[SERIES NAME]</a:t>
                    </a:fld>
                    <a:r>
                      <a:rPr lang="en-US" baseline="0"/>
                      <a:t>, </a:t>
                    </a:r>
                    <a:fld id="{B7474321-8A82-4F62-BB47-2C96826BF224}" type="VALUE">
                      <a:rPr lang="en-US" baseline="0"/>
                      <a:pPr>
                        <a:defRPr sz="1050" b="1">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6774369156759793"/>
                      <c:h val="3.1941769416742462E-2"/>
                    </c:manualLayout>
                  </c15:layout>
                  <c15:dlblFieldTable/>
                  <c15:showDataLabelsRange val="1"/>
                </c:ext>
                <c:ext xmlns:c16="http://schemas.microsoft.com/office/drawing/2014/chart" uri="{C3380CC4-5D6E-409C-BE32-E72D297353CC}">
                  <c16:uniqueId val="{00000005-A8A2-4644-8F57-557B1C3905C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Chart!$BR$264</c:f>
              <c:numCache>
                <c:formatCode>_(* #,##0_);_(* \(#,##0\);_(* "-"??_);_(@_)</c:formatCode>
                <c:ptCount val="1"/>
                <c:pt idx="0">
                  <c:v>14.14584108457648</c:v>
                </c:pt>
              </c:numCache>
            </c:numRef>
          </c:val>
          <c:extLst>
            <c:ext xmlns:c15="http://schemas.microsoft.com/office/drawing/2012/chart" uri="{02D57815-91ED-43cb-92C2-25804820EDAC}">
              <c15:datalabelsRange>
                <c15:f>Chart!$BS$264</c15:f>
                <c15:dlblRangeCache>
                  <c:ptCount val="1"/>
                  <c:pt idx="0">
                    <c:v>1%</c:v>
                  </c:pt>
                </c15:dlblRangeCache>
              </c15:datalabelsRange>
            </c:ext>
            <c:ext xmlns:c16="http://schemas.microsoft.com/office/drawing/2014/chart" uri="{C3380CC4-5D6E-409C-BE32-E72D297353CC}">
              <c16:uniqueId val="{00000006-A8A2-4644-8F57-557B1C3905C9}"/>
            </c:ext>
          </c:extLst>
        </c:ser>
        <c:ser>
          <c:idx val="3"/>
          <c:order val="3"/>
          <c:tx>
            <c:strRef>
              <c:f>Chart!$BQ$265</c:f>
              <c:strCache>
                <c:ptCount val="1"/>
                <c:pt idx="0">
                  <c:v>CP QL + bán hàng + lãi vay</c:v>
                </c:pt>
              </c:strCache>
            </c:strRef>
          </c:tx>
          <c:spPr>
            <a:solidFill>
              <a:schemeClr val="accent4"/>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7306834F-C5B0-4A37-8B86-8C6F7E267E39}" type="CELLRANGE">
                      <a:rPr lang="en-US" sz="1100" b="1" baseline="0"/>
                      <a:pPr>
                        <a:defRPr sz="1100" b="1">
                          <a:solidFill>
                            <a:schemeClr val="bg1"/>
                          </a:solidFill>
                        </a:defRPr>
                      </a:pPr>
                      <a:t>[CELLRANGE]</a:t>
                    </a:fld>
                    <a:r>
                      <a:rPr lang="en-US" sz="1100" b="1" baseline="0"/>
                      <a:t>, </a:t>
                    </a:r>
                    <a:fld id="{63C019CB-7074-42C9-9905-DDE9F7948AB4}" type="SERIESNAME">
                      <a:rPr lang="en-US" sz="1100" b="1" baseline="0"/>
                      <a:pPr>
                        <a:defRPr sz="1100" b="1">
                          <a:solidFill>
                            <a:schemeClr val="bg1"/>
                          </a:solidFill>
                        </a:defRPr>
                      </a:pPr>
                      <a:t>[SERIES NAME]</a:t>
                    </a:fld>
                    <a:r>
                      <a:rPr lang="en-US" sz="1100" b="1" baseline="0"/>
                      <a:t>, </a:t>
                    </a:r>
                    <a:fld id="{02A59B5A-6473-4EF2-864F-AE7BB625B815}"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1754193515711218"/>
                      <c:h val="7.4286389193334565E-2"/>
                    </c:manualLayout>
                  </c15:layout>
                  <c15:dlblFieldTable/>
                  <c15:showDataLabelsRange val="1"/>
                </c:ext>
                <c:ext xmlns:c16="http://schemas.microsoft.com/office/drawing/2014/chart" uri="{C3380CC4-5D6E-409C-BE32-E72D297353CC}">
                  <c16:uniqueId val="{00000007-A8A2-4644-8F57-557B1C39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Chart!$BR$265</c:f>
              <c:numCache>
                <c:formatCode>_(* #,##0_);_(* \(#,##0\);_(* "-"??_);_(@_)</c:formatCode>
                <c:ptCount val="1"/>
                <c:pt idx="0">
                  <c:v>140</c:v>
                </c:pt>
              </c:numCache>
            </c:numRef>
          </c:val>
          <c:extLst>
            <c:ext xmlns:c15="http://schemas.microsoft.com/office/drawing/2012/chart" uri="{02D57815-91ED-43cb-92C2-25804820EDAC}">
              <c15:datalabelsRange>
                <c15:f>Chart!$BS$265</c15:f>
                <c15:dlblRangeCache>
                  <c:ptCount val="1"/>
                  <c:pt idx="0">
                    <c:v>11%</c:v>
                  </c:pt>
                </c15:dlblRangeCache>
              </c15:datalabelsRange>
            </c:ext>
            <c:ext xmlns:c16="http://schemas.microsoft.com/office/drawing/2014/chart" uri="{C3380CC4-5D6E-409C-BE32-E72D297353CC}">
              <c16:uniqueId val="{00000008-A8A2-4644-8F57-557B1C3905C9}"/>
            </c:ext>
          </c:extLst>
        </c:ser>
        <c:ser>
          <c:idx val="4"/>
          <c:order val="4"/>
          <c:tx>
            <c:strRef>
              <c:f>Chart!$BQ$266</c:f>
              <c:strCache>
                <c:ptCount val="1"/>
                <c:pt idx="0">
                  <c:v>Lợi nhuận MM</c:v>
                </c:pt>
              </c:strCache>
            </c:strRef>
          </c:tx>
          <c:spPr>
            <a:solidFill>
              <a:schemeClr val="accent5"/>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4806B7D0-04E2-4E72-A7AE-1C25F9731169}" type="CELLRANGE">
                      <a:rPr lang="en-US" sz="1100" b="1" baseline="0"/>
                      <a:pPr>
                        <a:defRPr sz="1100" b="1">
                          <a:solidFill>
                            <a:schemeClr val="bg1"/>
                          </a:solidFill>
                        </a:defRPr>
                      </a:pPr>
                      <a:t>[CELLRANGE]</a:t>
                    </a:fld>
                    <a:r>
                      <a:rPr lang="en-US" sz="1100" b="1" baseline="0"/>
                      <a:t>, </a:t>
                    </a:r>
                    <a:fld id="{DC16BEC0-F6EE-46C9-9BDB-BEE5D719FCE9}" type="SERIESNAME">
                      <a:rPr lang="en-US" sz="1100" b="1" baseline="0"/>
                      <a:pPr>
                        <a:defRPr sz="1100" b="1">
                          <a:solidFill>
                            <a:schemeClr val="bg1"/>
                          </a:solidFill>
                        </a:defRPr>
                      </a:pPr>
                      <a:t>[SERIES NAME]</a:t>
                    </a:fld>
                    <a:r>
                      <a:rPr lang="en-US" sz="1100" b="1" baseline="0"/>
                      <a:t>, </a:t>
                    </a:r>
                    <a:fld id="{5464F476-0475-41D3-B5B3-AFA5692840C2}"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503057204804068"/>
                      <c:h val="7.4286389193334565E-2"/>
                    </c:manualLayout>
                  </c15:layout>
                  <c15:dlblFieldTable/>
                  <c15:showDataLabelsRange val="1"/>
                </c:ext>
                <c:ext xmlns:c16="http://schemas.microsoft.com/office/drawing/2014/chart" uri="{C3380CC4-5D6E-409C-BE32-E72D297353CC}">
                  <c16:uniqueId val="{00000009-A8A2-4644-8F57-557B1C39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Chart!$BR$266</c:f>
              <c:numCache>
                <c:formatCode>_(* #,##0_);_(* \(#,##0\);_(* "-"??_);_(@_)</c:formatCode>
                <c:ptCount val="1"/>
                <c:pt idx="0">
                  <c:v>134.80233125844325</c:v>
                </c:pt>
              </c:numCache>
            </c:numRef>
          </c:val>
          <c:extLst>
            <c:ext xmlns:c15="http://schemas.microsoft.com/office/drawing/2012/chart" uri="{02D57815-91ED-43cb-92C2-25804820EDAC}">
              <c15:datalabelsRange>
                <c15:f>Chart!$BS$266</c15:f>
                <c15:dlblRangeCache>
                  <c:ptCount val="1"/>
                  <c:pt idx="0">
                    <c:v>11%</c:v>
                  </c:pt>
                </c15:dlblRangeCache>
              </c15:datalabelsRange>
            </c:ext>
            <c:ext xmlns:c16="http://schemas.microsoft.com/office/drawing/2014/chart" uri="{C3380CC4-5D6E-409C-BE32-E72D297353CC}">
              <c16:uniqueId val="{0000000A-A8A2-4644-8F57-557B1C3905C9}"/>
            </c:ext>
          </c:extLst>
        </c:ser>
        <c:ser>
          <c:idx val="5"/>
          <c:order val="5"/>
          <c:tx>
            <c:strRef>
              <c:f>Chart!$BQ$267</c:f>
              <c:strCache>
                <c:ptCount val="1"/>
                <c:pt idx="0">
                  <c:v>Thuế TNDN</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9A8AB0B6-8398-4CD6-B0A3-E4CE50E3CD0D}" type="CELLRANGE">
                      <a:rPr lang="en-US" sz="1100" b="1" baseline="0"/>
                      <a:pPr>
                        <a:defRPr sz="1100" b="1">
                          <a:solidFill>
                            <a:schemeClr val="bg1"/>
                          </a:solidFill>
                        </a:defRPr>
                      </a:pPr>
                      <a:t>[CELLRANGE]</a:t>
                    </a:fld>
                    <a:r>
                      <a:rPr lang="en-US" sz="1100" b="1" baseline="0"/>
                      <a:t>, </a:t>
                    </a:r>
                    <a:fld id="{458EFFDE-2DC7-4711-BF46-7E3836978FAA}" type="SERIESNAME">
                      <a:rPr lang="en-US" sz="1100" b="1" baseline="0"/>
                      <a:pPr>
                        <a:defRPr sz="1100" b="1">
                          <a:solidFill>
                            <a:schemeClr val="bg1"/>
                          </a:solidFill>
                        </a:defRPr>
                      </a:pPr>
                      <a:t>[SERIES NAME]</a:t>
                    </a:fld>
                    <a:r>
                      <a:rPr lang="en-US" sz="1100" b="1" baseline="0"/>
                      <a:t>, </a:t>
                    </a:r>
                    <a:fld id="{0FB3C716-818C-46E4-8B5A-0CE4CDFE0905}"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700487642438815"/>
                      <c:h val="5.1590296399486375E-2"/>
                    </c:manualLayout>
                  </c15:layout>
                  <c15:dlblFieldTable/>
                  <c15:showDataLabelsRange val="1"/>
                </c:ext>
                <c:ext xmlns:c16="http://schemas.microsoft.com/office/drawing/2014/chart" uri="{C3380CC4-5D6E-409C-BE32-E72D297353CC}">
                  <c16:uniqueId val="{0000000B-A8A2-4644-8F57-557B1C39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Chart!$BR$267</c:f>
              <c:numCache>
                <c:formatCode>_(* #,##0_);_(* \(#,##0\);_(* "-"??_);_(@_)</c:formatCode>
                <c:ptCount val="1"/>
                <c:pt idx="0">
                  <c:v>26.960466251688651</c:v>
                </c:pt>
              </c:numCache>
            </c:numRef>
          </c:val>
          <c:extLst>
            <c:ext xmlns:c15="http://schemas.microsoft.com/office/drawing/2012/chart" uri="{02D57815-91ED-43cb-92C2-25804820EDAC}">
              <c15:datalabelsRange>
                <c15:f>Chart!$BS$267</c15:f>
                <c15:dlblRangeCache>
                  <c:ptCount val="1"/>
                  <c:pt idx="0">
                    <c:v>2%</c:v>
                  </c:pt>
                </c15:dlblRangeCache>
              </c15:datalabelsRange>
            </c:ext>
            <c:ext xmlns:c16="http://schemas.microsoft.com/office/drawing/2014/chart" uri="{C3380CC4-5D6E-409C-BE32-E72D297353CC}">
              <c16:uniqueId val="{0000000C-A8A2-4644-8F57-557B1C3905C9}"/>
            </c:ext>
          </c:extLst>
        </c:ser>
        <c:ser>
          <c:idx val="6"/>
          <c:order val="6"/>
          <c:tx>
            <c:strRef>
              <c:f>Chart!$BQ$268</c:f>
              <c:strCache>
                <c:ptCount val="1"/>
                <c:pt idx="0">
                  <c:v>Lợi nhuận sau thuế</c:v>
                </c:pt>
              </c:strCache>
            </c:strRef>
          </c:tx>
          <c:spPr>
            <a:solidFill>
              <a:schemeClr val="accent1">
                <a:lumMod val="60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292905B8-62B8-42F7-A0C6-B059035B4432}" type="CELLRANGE">
                      <a:rPr lang="en-US" sz="1100" b="1" baseline="0"/>
                      <a:pPr>
                        <a:defRPr sz="1100" b="1">
                          <a:solidFill>
                            <a:schemeClr val="bg1"/>
                          </a:solidFill>
                        </a:defRPr>
                      </a:pPr>
                      <a:t>[CELLRANGE]</a:t>
                    </a:fld>
                    <a:r>
                      <a:rPr lang="en-US" sz="1100" b="1" baseline="0"/>
                      <a:t>, </a:t>
                    </a:r>
                    <a:fld id="{9D3DD2F3-7E12-4C29-9F15-2E49837D9250}" type="SERIESNAME">
                      <a:rPr lang="en-US" sz="1100" b="1" baseline="0"/>
                      <a:pPr>
                        <a:defRPr sz="1100" b="1">
                          <a:solidFill>
                            <a:schemeClr val="bg1"/>
                          </a:solidFill>
                        </a:defRPr>
                      </a:pPr>
                      <a:t>[SERIES NAME]</a:t>
                    </a:fld>
                    <a:r>
                      <a:rPr lang="en-US" sz="1100" b="1" baseline="0"/>
                      <a:t>, </a:t>
                    </a:r>
                    <a:fld id="{C40C4285-E8DE-4ED4-972C-0640C044FA5B}" type="VALUE">
                      <a:rPr lang="en-US" sz="1100" b="1" baseline="0"/>
                      <a:pPr>
                        <a:defRPr sz="1100" b="1">
                          <a:solidFill>
                            <a:schemeClr val="bg1"/>
                          </a:solidFill>
                        </a:defRPr>
                      </a:pPr>
                      <a:t>[VALUE]</a:t>
                    </a:fld>
                    <a:endParaRPr lang="en-US" sz="1100" b="1"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1356694718970983"/>
                      <c:h val="7.4286389193334565E-2"/>
                    </c:manualLayout>
                  </c15:layout>
                  <c15:dlblFieldTable/>
                  <c15:showDataLabelsRange val="1"/>
                </c:ext>
                <c:ext xmlns:c16="http://schemas.microsoft.com/office/drawing/2014/chart" uri="{C3380CC4-5D6E-409C-BE32-E72D297353CC}">
                  <c16:uniqueId val="{0000000D-A8A2-4644-8F57-557B1C39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Chart!$BR$268</c:f>
              <c:numCache>
                <c:formatCode>_(* #,##0_);_(* \(#,##0\);_(* "-"??_);_(@_)</c:formatCode>
                <c:ptCount val="1"/>
                <c:pt idx="0">
                  <c:v>107.8418650067546</c:v>
                </c:pt>
              </c:numCache>
            </c:numRef>
          </c:val>
          <c:extLst>
            <c:ext xmlns:c15="http://schemas.microsoft.com/office/drawing/2012/chart" uri="{02D57815-91ED-43cb-92C2-25804820EDAC}">
              <c15:datalabelsRange>
                <c15:f>Chart!$BS$268</c15:f>
                <c15:dlblRangeCache>
                  <c:ptCount val="1"/>
                  <c:pt idx="0">
                    <c:v>9%</c:v>
                  </c:pt>
                </c15:dlblRangeCache>
              </c15:datalabelsRange>
            </c:ext>
            <c:ext xmlns:c16="http://schemas.microsoft.com/office/drawing/2014/chart" uri="{C3380CC4-5D6E-409C-BE32-E72D297353CC}">
              <c16:uniqueId val="{0000000E-A8A2-4644-8F57-557B1C3905C9}"/>
            </c:ext>
          </c:extLst>
        </c:ser>
        <c:dLbls>
          <c:showLegendKey val="0"/>
          <c:showVal val="0"/>
          <c:showCatName val="0"/>
          <c:showSerName val="0"/>
          <c:showPercent val="0"/>
          <c:showBubbleSize val="0"/>
        </c:dLbls>
        <c:gapWidth val="0"/>
        <c:overlap val="100"/>
        <c:axId val="186261439"/>
        <c:axId val="186278239"/>
      </c:barChart>
      <c:catAx>
        <c:axId val="1862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39"/>
        <c:crosses val="autoZero"/>
        <c:auto val="1"/>
        <c:lblAlgn val="ctr"/>
        <c:lblOffset val="100"/>
        <c:noMultiLvlLbl val="0"/>
      </c:catAx>
      <c:valAx>
        <c:axId val="186278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862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A$3" max="12" min="1" page="10" val="3"/>
</file>

<file path=xl/ctrlProps/ctrlProp2.xml><?xml version="1.0" encoding="utf-8"?>
<formControlPr xmlns="http://schemas.microsoft.com/office/spreadsheetml/2009/9/main" objectType="Spin" dx="26" fmlaLink="$A$3" max="12" min="1" page="10" val="3"/>
</file>

<file path=xl/ctrlProps/ctrlProp3.xml><?xml version="1.0" encoding="utf-8"?>
<formControlPr xmlns="http://schemas.microsoft.com/office/spreadsheetml/2009/9/main" objectType="Spin" dx="26" fmlaLink="$A$3" max="12" min="1" page="10" val="3"/>
</file>

<file path=xl/ctrlProps/ctrlProp4.xml><?xml version="1.0" encoding="utf-8"?>
<formControlPr xmlns="http://schemas.microsoft.com/office/spreadsheetml/2009/9/main" objectType="Spin" dx="26" fmlaLink="$A$3" max="12" min="1" page="10" val="3"/>
</file>

<file path=xl/ctrlProps/ctrlProp5.xml><?xml version="1.0" encoding="utf-8"?>
<formControlPr xmlns="http://schemas.microsoft.com/office/spreadsheetml/2009/9/main" objectType="Spin" dx="26" fmlaLink="$A$3" max="12" min="1" page="10" val="4"/>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8" Type="http://schemas.openxmlformats.org/officeDocument/2006/relationships/chart" Target="../charts/chart8.xml"/></Relationships>
</file>

<file path=xl/drawings/_rels/drawing45.xml.rels><?xml version="1.0" encoding="UTF-8" standalone="yes"?>
<Relationships xmlns="http://schemas.openxmlformats.org/package/2006/relationships"><Relationship Id="rId1" Type="http://schemas.openxmlformats.org/officeDocument/2006/relationships/image" Target="../media/image2.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png"/></Relationships>
</file>

<file path=xl/drawings/_rels/drawing48.xml.rels><?xml version="1.0" encoding="UTF-8" standalone="yes"?>
<Relationships xmlns="http://schemas.openxmlformats.org/package/2006/relationships"><Relationship Id="rId1" Type="http://schemas.openxmlformats.org/officeDocument/2006/relationships/image" Target="../media/image3.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59764</xdr:rowOff>
    </xdr:from>
    <xdr:to>
      <xdr:col>2</xdr:col>
      <xdr:colOff>67235</xdr:colOff>
      <xdr:row>1</xdr:row>
      <xdr:rowOff>170837</xdr:rowOff>
    </xdr:to>
    <xdr:pic>
      <xdr:nvPicPr>
        <xdr:cNvPr id="2" name="Picture 1" descr="A green and grey recycle sign&#10;&#10;Description automatically generated">
          <a:extLst>
            <a:ext uri="{FF2B5EF4-FFF2-40B4-BE49-F238E27FC236}">
              <a16:creationId xmlns:a16="http://schemas.microsoft.com/office/drawing/2014/main" id="{6E4CF422-C708-4D9C-B9C5-2C2D4C7B8C26}"/>
            </a:ext>
          </a:extLst>
        </xdr:cNvPr>
        <xdr:cNvPicPr>
          <a:picLocks noChangeAspect="1"/>
        </xdr:cNvPicPr>
      </xdr:nvPicPr>
      <xdr:blipFill>
        <a:blip xmlns:r="http://schemas.openxmlformats.org/officeDocument/2006/relationships" r:embed="rId1"/>
        <a:stretch>
          <a:fillRect/>
        </a:stretch>
      </xdr:blipFill>
      <xdr:spPr>
        <a:xfrm>
          <a:off x="0" y="59764"/>
          <a:ext cx="1356285" cy="2952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59764</xdr:rowOff>
    </xdr:from>
    <xdr:to>
      <xdr:col>2</xdr:col>
      <xdr:colOff>67235</xdr:colOff>
      <xdr:row>1</xdr:row>
      <xdr:rowOff>170837</xdr:rowOff>
    </xdr:to>
    <xdr:pic>
      <xdr:nvPicPr>
        <xdr:cNvPr id="2" name="Picture 1" descr="A green and grey recycle sign&#10;&#10;Description automatically generated">
          <a:extLst>
            <a:ext uri="{FF2B5EF4-FFF2-40B4-BE49-F238E27FC236}">
              <a16:creationId xmlns:a16="http://schemas.microsoft.com/office/drawing/2014/main" id="{BF182743-3DCA-4BFC-A337-33BDB60A4D8C}"/>
            </a:ext>
          </a:extLst>
        </xdr:cNvPr>
        <xdr:cNvPicPr>
          <a:picLocks noChangeAspect="1"/>
        </xdr:cNvPicPr>
      </xdr:nvPicPr>
      <xdr:blipFill>
        <a:blip xmlns:r="http://schemas.openxmlformats.org/officeDocument/2006/relationships" r:embed="rId1"/>
        <a:stretch>
          <a:fillRect/>
        </a:stretch>
      </xdr:blipFill>
      <xdr:spPr>
        <a:xfrm>
          <a:off x="0" y="59764"/>
          <a:ext cx="1356285" cy="2952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59764</xdr:rowOff>
    </xdr:from>
    <xdr:to>
      <xdr:col>2</xdr:col>
      <xdr:colOff>67235</xdr:colOff>
      <xdr:row>1</xdr:row>
      <xdr:rowOff>170837</xdr:rowOff>
    </xdr:to>
    <xdr:pic>
      <xdr:nvPicPr>
        <xdr:cNvPr id="2" name="Picture 1" descr="A green and grey recycle sign&#10;&#10;Description automatically generated">
          <a:extLst>
            <a:ext uri="{FF2B5EF4-FFF2-40B4-BE49-F238E27FC236}">
              <a16:creationId xmlns:a16="http://schemas.microsoft.com/office/drawing/2014/main" id="{F878AEF4-8E5F-4FEA-AEED-27FF0F616069}"/>
            </a:ext>
          </a:extLst>
        </xdr:cNvPr>
        <xdr:cNvPicPr>
          <a:picLocks noChangeAspect="1"/>
        </xdr:cNvPicPr>
      </xdr:nvPicPr>
      <xdr:blipFill>
        <a:blip xmlns:r="http://schemas.openxmlformats.org/officeDocument/2006/relationships" r:embed="rId1"/>
        <a:stretch>
          <a:fillRect/>
        </a:stretch>
      </xdr:blipFill>
      <xdr:spPr>
        <a:xfrm>
          <a:off x="0" y="59764"/>
          <a:ext cx="1356285" cy="2952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59764</xdr:rowOff>
    </xdr:from>
    <xdr:to>
      <xdr:col>2</xdr:col>
      <xdr:colOff>67235</xdr:colOff>
      <xdr:row>1</xdr:row>
      <xdr:rowOff>170837</xdr:rowOff>
    </xdr:to>
    <xdr:pic>
      <xdr:nvPicPr>
        <xdr:cNvPr id="2" name="Picture 1" descr="A green and grey recycle sign&#10;&#10;Description automatically generated">
          <a:extLst>
            <a:ext uri="{FF2B5EF4-FFF2-40B4-BE49-F238E27FC236}">
              <a16:creationId xmlns:a16="http://schemas.microsoft.com/office/drawing/2014/main" id="{708CEB3C-ADB5-4AD3-BD46-61D9AD55CB5A}"/>
            </a:ext>
          </a:extLst>
        </xdr:cNvPr>
        <xdr:cNvPicPr>
          <a:picLocks noChangeAspect="1"/>
        </xdr:cNvPicPr>
      </xdr:nvPicPr>
      <xdr:blipFill>
        <a:blip xmlns:r="http://schemas.openxmlformats.org/officeDocument/2006/relationships" r:embed="rId1"/>
        <a:stretch>
          <a:fillRect/>
        </a:stretch>
      </xdr:blipFill>
      <xdr:spPr>
        <a:xfrm>
          <a:off x="0" y="59764"/>
          <a:ext cx="1356285" cy="2952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105473" name="Spinner 1" hidden="1">
              <a:extLst>
                <a:ext uri="{63B3BB69-23CF-44E3-9099-C40C66FF867C}">
                  <a14:compatExt spid="_x0000_s105473"/>
                </a:ext>
                <a:ext uri="{FF2B5EF4-FFF2-40B4-BE49-F238E27FC236}">
                  <a16:creationId xmlns:a16="http://schemas.microsoft.com/office/drawing/2014/main" id="{00000000-0008-0000-0B00-0000019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125953" name="Spinner 1" hidden="1">
              <a:extLst>
                <a:ext uri="{63B3BB69-23CF-44E3-9099-C40C66FF867C}">
                  <a14:compatExt spid="_x0000_s125953"/>
                </a:ext>
                <a:ext uri="{FF2B5EF4-FFF2-40B4-BE49-F238E27FC236}">
                  <a16:creationId xmlns:a16="http://schemas.microsoft.com/office/drawing/2014/main" id="{00000000-0008-0000-0C00-000001E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108545" name="Spinner 1" hidden="1">
              <a:extLst>
                <a:ext uri="{63B3BB69-23CF-44E3-9099-C40C66FF867C}">
                  <a14:compatExt spid="_x0000_s108545"/>
                </a:ext>
                <a:ext uri="{FF2B5EF4-FFF2-40B4-BE49-F238E27FC236}">
                  <a16:creationId xmlns:a16="http://schemas.microsoft.com/office/drawing/2014/main" id="{00000000-0008-0000-0D00-000001A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9217" name="Spinner 1" hidden="1">
              <a:extLst>
                <a:ext uri="{63B3BB69-23CF-44E3-9099-C40C66FF867C}">
                  <a14:compatExt spid="_x0000_s9217"/>
                </a:ext>
                <a:ext uri="{FF2B5EF4-FFF2-40B4-BE49-F238E27FC236}">
                  <a16:creationId xmlns:a16="http://schemas.microsoft.com/office/drawing/2014/main" id="{00000000-0008-0000-0E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21505" name="Spinner 1" hidden="1">
              <a:extLst>
                <a:ext uri="{63B3BB69-23CF-44E3-9099-C40C66FF867C}">
                  <a14:compatExt spid="_x0000_s21505"/>
                </a:ext>
                <a:ext uri="{FF2B5EF4-FFF2-40B4-BE49-F238E27FC236}">
                  <a16:creationId xmlns:a16="http://schemas.microsoft.com/office/drawing/2014/main" id="{00000000-0008-0000-0F00-00000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59</xdr:col>
      <xdr:colOff>314326</xdr:colOff>
      <xdr:row>42</xdr:row>
      <xdr:rowOff>69850</xdr:rowOff>
    </xdr:from>
    <xdr:to>
      <xdr:col>64</xdr:col>
      <xdr:colOff>386839</xdr:colOff>
      <xdr:row>73</xdr:row>
      <xdr:rowOff>102184</xdr:rowOff>
    </xdr:to>
    <xdr:graphicFrame macro="">
      <xdr:nvGraphicFramePr>
        <xdr:cNvPr id="5" name="Chart 4">
          <a:extLst>
            <a:ext uri="{FF2B5EF4-FFF2-40B4-BE49-F238E27FC236}">
              <a16:creationId xmlns:a16="http://schemas.microsoft.com/office/drawing/2014/main" id="{2B7F6D55-9D7A-544C-34DC-738C6E651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59</xdr:col>
      <xdr:colOff>321150</xdr:colOff>
      <xdr:row>2</xdr:row>
      <xdr:rowOff>171449</xdr:rowOff>
    </xdr:from>
    <xdr:to>
      <xdr:col>65</xdr:col>
      <xdr:colOff>153276</xdr:colOff>
      <xdr:row>37</xdr:row>
      <xdr:rowOff>80287</xdr:rowOff>
    </xdr:to>
    <xdr:graphicFrame macro="">
      <xdr:nvGraphicFramePr>
        <xdr:cNvPr id="6" name="Chart 5">
          <a:extLst>
            <a:ext uri="{FF2B5EF4-FFF2-40B4-BE49-F238E27FC236}">
              <a16:creationId xmlns:a16="http://schemas.microsoft.com/office/drawing/2014/main" id="{35EE0DF0-3270-411E-84BB-1985CAD91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317500</xdr:colOff>
      <xdr:row>123</xdr:row>
      <xdr:rowOff>63500</xdr:rowOff>
    </xdr:from>
    <xdr:to>
      <xdr:col>64</xdr:col>
      <xdr:colOff>549275</xdr:colOff>
      <xdr:row>157</xdr:row>
      <xdr:rowOff>6350</xdr:rowOff>
    </xdr:to>
    <xdr:graphicFrame macro="">
      <xdr:nvGraphicFramePr>
        <xdr:cNvPr id="9" name="Chart 8">
          <a:extLst>
            <a:ext uri="{FF2B5EF4-FFF2-40B4-BE49-F238E27FC236}">
              <a16:creationId xmlns:a16="http://schemas.microsoft.com/office/drawing/2014/main" id="{7389E082-B7BD-4DD1-B5DE-216131F44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59</xdr:col>
      <xdr:colOff>349251</xdr:colOff>
      <xdr:row>79</xdr:row>
      <xdr:rowOff>94884</xdr:rowOff>
    </xdr:from>
    <xdr:to>
      <xdr:col>64</xdr:col>
      <xdr:colOff>357642</xdr:colOff>
      <xdr:row>116</xdr:row>
      <xdr:rowOff>107950</xdr:rowOff>
    </xdr:to>
    <xdr:graphicFrame macro="">
      <xdr:nvGraphicFramePr>
        <xdr:cNvPr id="8" name="Chart 7">
          <a:extLst>
            <a:ext uri="{FF2B5EF4-FFF2-40B4-BE49-F238E27FC236}">
              <a16:creationId xmlns:a16="http://schemas.microsoft.com/office/drawing/2014/main" id="{67A35073-F0AB-4C83-8148-DDF9AAA1F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292100</xdr:colOff>
      <xdr:row>81</xdr:row>
      <xdr:rowOff>12700</xdr:rowOff>
    </xdr:from>
    <xdr:to>
      <xdr:col>64</xdr:col>
      <xdr:colOff>175172</xdr:colOff>
      <xdr:row>84</xdr:row>
      <xdr:rowOff>101601</xdr:rowOff>
    </xdr:to>
    <xdr:grpSp>
      <xdr:nvGrpSpPr>
        <xdr:cNvPr id="32" name="Group 31">
          <a:extLst>
            <a:ext uri="{FF2B5EF4-FFF2-40B4-BE49-F238E27FC236}">
              <a16:creationId xmlns:a16="http://schemas.microsoft.com/office/drawing/2014/main" id="{FC4BC3E9-CDA1-35AA-F05C-245948DDF7A0}"/>
            </a:ext>
          </a:extLst>
        </xdr:cNvPr>
        <xdr:cNvGrpSpPr/>
      </xdr:nvGrpSpPr>
      <xdr:grpSpPr>
        <a:xfrm>
          <a:off x="33337500" y="15932150"/>
          <a:ext cx="2321472" cy="641351"/>
          <a:chOff x="33414284" y="15281895"/>
          <a:chExt cx="2490514" cy="636315"/>
        </a:xfrm>
      </xdr:grpSpPr>
      <xdr:sp macro="" textlink="">
        <xdr:nvSpPr>
          <xdr:cNvPr id="2" name="Oval 1">
            <a:extLst>
              <a:ext uri="{FF2B5EF4-FFF2-40B4-BE49-F238E27FC236}">
                <a16:creationId xmlns:a16="http://schemas.microsoft.com/office/drawing/2014/main" id="{61A97B66-04F9-4567-8609-5C9CD0A0D1D1}"/>
              </a:ext>
            </a:extLst>
          </xdr:cNvPr>
          <xdr:cNvSpPr/>
        </xdr:nvSpPr>
        <xdr:spPr>
          <a:xfrm>
            <a:off x="33414284" y="15281895"/>
            <a:ext cx="2490514" cy="636315"/>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B37FDB62-FA9F-F6A0-9B04-EC7A1EB6F200}"/>
              </a:ext>
            </a:extLst>
          </xdr:cNvPr>
          <xdr:cNvSpPr txBox="1"/>
        </xdr:nvSpPr>
        <xdr:spPr>
          <a:xfrm>
            <a:off x="34217265" y="15322549"/>
            <a:ext cx="860427" cy="534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a:pPr algn="ctr"/>
            <a:r>
              <a:rPr lang="en-US" sz="1200" b="1">
                <a:solidFill>
                  <a:srgbClr val="FF0000"/>
                </a:solidFill>
              </a:rPr>
              <a:t>1,184</a:t>
            </a:r>
          </a:p>
        </xdr:txBody>
      </xdr:sp>
    </xdr:grpSp>
    <xdr:clientData/>
  </xdr:twoCellAnchor>
  <xdr:twoCellAnchor>
    <xdr:from>
      <xdr:col>6</xdr:col>
      <xdr:colOff>9071</xdr:colOff>
      <xdr:row>3</xdr:row>
      <xdr:rowOff>27214</xdr:rowOff>
    </xdr:from>
    <xdr:to>
      <xdr:col>11</xdr:col>
      <xdr:colOff>583932</xdr:colOff>
      <xdr:row>37</xdr:row>
      <xdr:rowOff>163285</xdr:rowOff>
    </xdr:to>
    <xdr:graphicFrame macro="">
      <xdr:nvGraphicFramePr>
        <xdr:cNvPr id="4" name="Chart 3">
          <a:extLst>
            <a:ext uri="{FF2B5EF4-FFF2-40B4-BE49-F238E27FC236}">
              <a16:creationId xmlns:a16="http://schemas.microsoft.com/office/drawing/2014/main" id="{0F885408-9F08-4522-BCCF-4222FEDAD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43</xdr:row>
      <xdr:rowOff>1</xdr:rowOff>
    </xdr:from>
    <xdr:to>
      <xdr:col>11</xdr:col>
      <xdr:colOff>554182</xdr:colOff>
      <xdr:row>82</xdr:row>
      <xdr:rowOff>117929</xdr:rowOff>
    </xdr:to>
    <xdr:graphicFrame macro="">
      <xdr:nvGraphicFramePr>
        <xdr:cNvPr id="7" name="Chart 6">
          <a:extLst>
            <a:ext uri="{FF2B5EF4-FFF2-40B4-BE49-F238E27FC236}">
              <a16:creationId xmlns:a16="http://schemas.microsoft.com/office/drawing/2014/main" id="{304DE57D-1CCB-4C14-9244-A57DEEE89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88</xdr:row>
      <xdr:rowOff>0</xdr:rowOff>
    </xdr:from>
    <xdr:to>
      <xdr:col>11</xdr:col>
      <xdr:colOff>562429</xdr:colOff>
      <xdr:row>128</xdr:row>
      <xdr:rowOff>117929</xdr:rowOff>
    </xdr:to>
    <xdr:graphicFrame macro="">
      <xdr:nvGraphicFramePr>
        <xdr:cNvPr id="11" name="Chart 10">
          <a:extLst>
            <a:ext uri="{FF2B5EF4-FFF2-40B4-BE49-F238E27FC236}">
              <a16:creationId xmlns:a16="http://schemas.microsoft.com/office/drawing/2014/main" id="{18E62E03-1D57-4E0D-84EF-767F6F7E6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131</xdr:row>
      <xdr:rowOff>18143</xdr:rowOff>
    </xdr:from>
    <xdr:to>
      <xdr:col>11</xdr:col>
      <xdr:colOff>574861</xdr:colOff>
      <xdr:row>170</xdr:row>
      <xdr:rowOff>127000</xdr:rowOff>
    </xdr:to>
    <xdr:graphicFrame macro="">
      <xdr:nvGraphicFramePr>
        <xdr:cNvPr id="12" name="Chart 11">
          <a:extLst>
            <a:ext uri="{FF2B5EF4-FFF2-40B4-BE49-F238E27FC236}">
              <a16:creationId xmlns:a16="http://schemas.microsoft.com/office/drawing/2014/main" id="{E821B8D6-6E8D-4C1E-906B-111BBAFDC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176</xdr:row>
      <xdr:rowOff>0</xdr:rowOff>
    </xdr:from>
    <xdr:to>
      <xdr:col>11</xdr:col>
      <xdr:colOff>574861</xdr:colOff>
      <xdr:row>214</xdr:row>
      <xdr:rowOff>138545</xdr:rowOff>
    </xdr:to>
    <xdr:graphicFrame macro="">
      <xdr:nvGraphicFramePr>
        <xdr:cNvPr id="13" name="Chart 12">
          <a:extLst>
            <a:ext uri="{FF2B5EF4-FFF2-40B4-BE49-F238E27FC236}">
              <a16:creationId xmlns:a16="http://schemas.microsoft.com/office/drawing/2014/main" id="{84BE2957-1A4D-4CFA-A889-1B58A1AB8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0</xdr:colOff>
      <xdr:row>176</xdr:row>
      <xdr:rowOff>0</xdr:rowOff>
    </xdr:from>
    <xdr:to>
      <xdr:col>23</xdr:col>
      <xdr:colOff>574860</xdr:colOff>
      <xdr:row>214</xdr:row>
      <xdr:rowOff>138545</xdr:rowOff>
    </xdr:to>
    <xdr:graphicFrame macro="">
      <xdr:nvGraphicFramePr>
        <xdr:cNvPr id="15" name="Chart 14">
          <a:extLst>
            <a:ext uri="{FF2B5EF4-FFF2-40B4-BE49-F238E27FC236}">
              <a16:creationId xmlns:a16="http://schemas.microsoft.com/office/drawing/2014/main" id="{7C57FFAD-6B9A-4851-A0F5-2EBF5E575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0</xdr:colOff>
      <xdr:row>131</xdr:row>
      <xdr:rowOff>0</xdr:rowOff>
    </xdr:from>
    <xdr:to>
      <xdr:col>23</xdr:col>
      <xdr:colOff>574860</xdr:colOff>
      <xdr:row>170</xdr:row>
      <xdr:rowOff>147617</xdr:rowOff>
    </xdr:to>
    <xdr:graphicFrame macro="">
      <xdr:nvGraphicFramePr>
        <xdr:cNvPr id="16" name="Chart 15">
          <a:extLst>
            <a:ext uri="{FF2B5EF4-FFF2-40B4-BE49-F238E27FC236}">
              <a16:creationId xmlns:a16="http://schemas.microsoft.com/office/drawing/2014/main" id="{021BD766-14DF-47A7-A486-CBC6F34F6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0</xdr:colOff>
      <xdr:row>88</xdr:row>
      <xdr:rowOff>0</xdr:rowOff>
    </xdr:from>
    <xdr:to>
      <xdr:col>23</xdr:col>
      <xdr:colOff>574860</xdr:colOff>
      <xdr:row>128</xdr:row>
      <xdr:rowOff>81643</xdr:rowOff>
    </xdr:to>
    <xdr:graphicFrame macro="">
      <xdr:nvGraphicFramePr>
        <xdr:cNvPr id="17" name="Chart 16">
          <a:extLst>
            <a:ext uri="{FF2B5EF4-FFF2-40B4-BE49-F238E27FC236}">
              <a16:creationId xmlns:a16="http://schemas.microsoft.com/office/drawing/2014/main" id="{32403449-AC03-472E-B16B-2D2E56115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0</xdr:colOff>
      <xdr:row>43</xdr:row>
      <xdr:rowOff>0</xdr:rowOff>
    </xdr:from>
    <xdr:to>
      <xdr:col>23</xdr:col>
      <xdr:colOff>574860</xdr:colOff>
      <xdr:row>82</xdr:row>
      <xdr:rowOff>147617</xdr:rowOff>
    </xdr:to>
    <xdr:graphicFrame macro="">
      <xdr:nvGraphicFramePr>
        <xdr:cNvPr id="18" name="Chart 17">
          <a:extLst>
            <a:ext uri="{FF2B5EF4-FFF2-40B4-BE49-F238E27FC236}">
              <a16:creationId xmlns:a16="http://schemas.microsoft.com/office/drawing/2014/main" id="{78790F75-F96D-4B0E-8BCB-60F281FB7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164353</xdr:colOff>
      <xdr:row>3</xdr:row>
      <xdr:rowOff>0</xdr:rowOff>
    </xdr:from>
    <xdr:to>
      <xdr:col>23</xdr:col>
      <xdr:colOff>515095</xdr:colOff>
      <xdr:row>37</xdr:row>
      <xdr:rowOff>156689</xdr:rowOff>
    </xdr:to>
    <xdr:graphicFrame macro="">
      <xdr:nvGraphicFramePr>
        <xdr:cNvPr id="20" name="Chart 19">
          <a:extLst>
            <a:ext uri="{FF2B5EF4-FFF2-40B4-BE49-F238E27FC236}">
              <a16:creationId xmlns:a16="http://schemas.microsoft.com/office/drawing/2014/main" id="{F8C5C197-504B-40DB-BEAB-D8C2A9ED8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179295</xdr:colOff>
      <xdr:row>3</xdr:row>
      <xdr:rowOff>0</xdr:rowOff>
    </xdr:from>
    <xdr:to>
      <xdr:col>37</xdr:col>
      <xdr:colOff>403037</xdr:colOff>
      <xdr:row>37</xdr:row>
      <xdr:rowOff>156689</xdr:rowOff>
    </xdr:to>
    <xdr:graphicFrame macro="">
      <xdr:nvGraphicFramePr>
        <xdr:cNvPr id="10" name="Chart 9">
          <a:extLst>
            <a:ext uri="{FF2B5EF4-FFF2-40B4-BE49-F238E27FC236}">
              <a16:creationId xmlns:a16="http://schemas.microsoft.com/office/drawing/2014/main" id="{8FC06EFF-8D18-4DD7-8871-8E0EF1202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226253</xdr:colOff>
      <xdr:row>42</xdr:row>
      <xdr:rowOff>164353</xdr:rowOff>
    </xdr:from>
    <xdr:to>
      <xdr:col>37</xdr:col>
      <xdr:colOff>447327</xdr:colOff>
      <xdr:row>82</xdr:row>
      <xdr:rowOff>125206</xdr:rowOff>
    </xdr:to>
    <xdr:graphicFrame macro="">
      <xdr:nvGraphicFramePr>
        <xdr:cNvPr id="14" name="Chart 13">
          <a:extLst>
            <a:ext uri="{FF2B5EF4-FFF2-40B4-BE49-F238E27FC236}">
              <a16:creationId xmlns:a16="http://schemas.microsoft.com/office/drawing/2014/main" id="{1DB0FE98-9823-4A51-98E1-CF8F364C1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7471</xdr:colOff>
      <xdr:row>87</xdr:row>
      <xdr:rowOff>173425</xdr:rowOff>
    </xdr:from>
    <xdr:to>
      <xdr:col>37</xdr:col>
      <xdr:colOff>456932</xdr:colOff>
      <xdr:row>128</xdr:row>
      <xdr:rowOff>68304</xdr:rowOff>
    </xdr:to>
    <xdr:graphicFrame macro="">
      <xdr:nvGraphicFramePr>
        <xdr:cNvPr id="19" name="Chart 18">
          <a:extLst>
            <a:ext uri="{FF2B5EF4-FFF2-40B4-BE49-F238E27FC236}">
              <a16:creationId xmlns:a16="http://schemas.microsoft.com/office/drawing/2014/main" id="{B38D7F61-E180-4C37-ACB3-D11833436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30</xdr:col>
      <xdr:colOff>108857</xdr:colOff>
      <xdr:row>131</xdr:row>
      <xdr:rowOff>9071</xdr:rowOff>
    </xdr:from>
    <xdr:to>
      <xdr:col>38</xdr:col>
      <xdr:colOff>30574</xdr:colOff>
      <xdr:row>170</xdr:row>
      <xdr:rowOff>156688</xdr:rowOff>
    </xdr:to>
    <xdr:graphicFrame macro="">
      <xdr:nvGraphicFramePr>
        <xdr:cNvPr id="21" name="Chart 20">
          <a:extLst>
            <a:ext uri="{FF2B5EF4-FFF2-40B4-BE49-F238E27FC236}">
              <a16:creationId xmlns:a16="http://schemas.microsoft.com/office/drawing/2014/main" id="{760E6360-CF7F-4E6F-858C-04CD99BDA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43</xdr:col>
      <xdr:colOff>156883</xdr:colOff>
      <xdr:row>3</xdr:row>
      <xdr:rowOff>0</xdr:rowOff>
    </xdr:from>
    <xdr:to>
      <xdr:col>51</xdr:col>
      <xdr:colOff>380625</xdr:colOff>
      <xdr:row>37</xdr:row>
      <xdr:rowOff>156689</xdr:rowOff>
    </xdr:to>
    <xdr:graphicFrame macro="">
      <xdr:nvGraphicFramePr>
        <xdr:cNvPr id="22" name="Chart 21">
          <a:extLst>
            <a:ext uri="{FF2B5EF4-FFF2-40B4-BE49-F238E27FC236}">
              <a16:creationId xmlns:a16="http://schemas.microsoft.com/office/drawing/2014/main" id="{2F29045D-6628-490C-88D5-BF5E5B690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44</xdr:col>
      <xdr:colOff>44824</xdr:colOff>
      <xdr:row>42</xdr:row>
      <xdr:rowOff>164353</xdr:rowOff>
    </xdr:from>
    <xdr:to>
      <xdr:col>51</xdr:col>
      <xdr:colOff>492684</xdr:colOff>
      <xdr:row>82</xdr:row>
      <xdr:rowOff>125206</xdr:rowOff>
    </xdr:to>
    <xdr:graphicFrame macro="">
      <xdr:nvGraphicFramePr>
        <xdr:cNvPr id="23" name="Chart 22">
          <a:extLst>
            <a:ext uri="{FF2B5EF4-FFF2-40B4-BE49-F238E27FC236}">
              <a16:creationId xmlns:a16="http://schemas.microsoft.com/office/drawing/2014/main" id="{B24F51D5-2FD1-449B-85B2-6CC136FE0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44</xdr:col>
      <xdr:colOff>134471</xdr:colOff>
      <xdr:row>87</xdr:row>
      <xdr:rowOff>164353</xdr:rowOff>
    </xdr:from>
    <xdr:to>
      <xdr:col>52</xdr:col>
      <xdr:colOff>66860</xdr:colOff>
      <xdr:row>128</xdr:row>
      <xdr:rowOff>59232</xdr:rowOff>
    </xdr:to>
    <xdr:graphicFrame macro="">
      <xdr:nvGraphicFramePr>
        <xdr:cNvPr id="24" name="Chart 23">
          <a:extLst>
            <a:ext uri="{FF2B5EF4-FFF2-40B4-BE49-F238E27FC236}">
              <a16:creationId xmlns:a16="http://schemas.microsoft.com/office/drawing/2014/main" id="{8E48F0D7-E643-4E1A-AB28-7A04E7A92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44</xdr:col>
      <xdr:colOff>108857</xdr:colOff>
      <xdr:row>131</xdr:row>
      <xdr:rowOff>9071</xdr:rowOff>
    </xdr:from>
    <xdr:to>
      <xdr:col>52</xdr:col>
      <xdr:colOff>30574</xdr:colOff>
      <xdr:row>170</xdr:row>
      <xdr:rowOff>156688</xdr:rowOff>
    </xdr:to>
    <xdr:graphicFrame macro="">
      <xdr:nvGraphicFramePr>
        <xdr:cNvPr id="25" name="Chart 24">
          <a:extLst>
            <a:ext uri="{FF2B5EF4-FFF2-40B4-BE49-F238E27FC236}">
              <a16:creationId xmlns:a16="http://schemas.microsoft.com/office/drawing/2014/main" id="{BDAC8C6A-0E09-4893-BCDF-210FA2F7B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71</xdr:col>
      <xdr:colOff>343046</xdr:colOff>
      <xdr:row>42</xdr:row>
      <xdr:rowOff>69851</xdr:rowOff>
    </xdr:from>
    <xdr:to>
      <xdr:col>76</xdr:col>
      <xdr:colOff>379540</xdr:colOff>
      <xdr:row>74</xdr:row>
      <xdr:rowOff>131380</xdr:rowOff>
    </xdr:to>
    <xdr:graphicFrame macro="">
      <xdr:nvGraphicFramePr>
        <xdr:cNvPr id="26" name="Chart 25">
          <a:extLst>
            <a:ext uri="{FF2B5EF4-FFF2-40B4-BE49-F238E27FC236}">
              <a16:creationId xmlns:a16="http://schemas.microsoft.com/office/drawing/2014/main" id="{2AA71BE9-2E10-4A61-82FE-1E5786A4A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71</xdr:col>
      <xdr:colOff>284655</xdr:colOff>
      <xdr:row>2</xdr:row>
      <xdr:rowOff>171449</xdr:rowOff>
    </xdr:from>
    <xdr:to>
      <xdr:col>77</xdr:col>
      <xdr:colOff>36493</xdr:colOff>
      <xdr:row>37</xdr:row>
      <xdr:rowOff>87586</xdr:rowOff>
    </xdr:to>
    <xdr:graphicFrame macro="">
      <xdr:nvGraphicFramePr>
        <xdr:cNvPr id="27" name="Chart 26">
          <a:extLst>
            <a:ext uri="{FF2B5EF4-FFF2-40B4-BE49-F238E27FC236}">
              <a16:creationId xmlns:a16="http://schemas.microsoft.com/office/drawing/2014/main" id="{EF552A32-6BC7-47C3-BC17-20C603D6E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71</xdr:col>
      <xdr:colOff>317500</xdr:colOff>
      <xdr:row>123</xdr:row>
      <xdr:rowOff>63500</xdr:rowOff>
    </xdr:from>
    <xdr:to>
      <xdr:col>76</xdr:col>
      <xdr:colOff>549275</xdr:colOff>
      <xdr:row>157</xdr:row>
      <xdr:rowOff>6350</xdr:rowOff>
    </xdr:to>
    <xdr:graphicFrame macro="">
      <xdr:nvGraphicFramePr>
        <xdr:cNvPr id="28" name="Chart 27">
          <a:extLst>
            <a:ext uri="{FF2B5EF4-FFF2-40B4-BE49-F238E27FC236}">
              <a16:creationId xmlns:a16="http://schemas.microsoft.com/office/drawing/2014/main" id="{CA1C8BC3-2F9E-4367-9396-59A27744C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71</xdr:col>
      <xdr:colOff>349251</xdr:colOff>
      <xdr:row>79</xdr:row>
      <xdr:rowOff>25400</xdr:rowOff>
    </xdr:from>
    <xdr:to>
      <xdr:col>76</xdr:col>
      <xdr:colOff>539750</xdr:colOff>
      <xdr:row>116</xdr:row>
      <xdr:rowOff>107950</xdr:rowOff>
    </xdr:to>
    <xdr:graphicFrame macro="">
      <xdr:nvGraphicFramePr>
        <xdr:cNvPr id="29" name="Chart 28">
          <a:extLst>
            <a:ext uri="{FF2B5EF4-FFF2-40B4-BE49-F238E27FC236}">
              <a16:creationId xmlns:a16="http://schemas.microsoft.com/office/drawing/2014/main" id="{E92519C1-A7BE-4740-A8F1-4AF4AE836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72</xdr:col>
      <xdr:colOff>292100</xdr:colOff>
      <xdr:row>81</xdr:row>
      <xdr:rowOff>12700</xdr:rowOff>
    </xdr:from>
    <xdr:to>
      <xdr:col>76</xdr:col>
      <xdr:colOff>330200</xdr:colOff>
      <xdr:row>84</xdr:row>
      <xdr:rowOff>101601</xdr:rowOff>
    </xdr:to>
    <xdr:sp macro="" textlink="">
      <xdr:nvSpPr>
        <xdr:cNvPr id="30" name="Oval 29">
          <a:extLst>
            <a:ext uri="{FF2B5EF4-FFF2-40B4-BE49-F238E27FC236}">
              <a16:creationId xmlns:a16="http://schemas.microsoft.com/office/drawing/2014/main" id="{817A3A84-8501-45B8-B36A-DF1B6E64B631}"/>
            </a:ext>
          </a:extLst>
        </xdr:cNvPr>
        <xdr:cNvSpPr/>
      </xdr:nvSpPr>
      <xdr:spPr>
        <a:xfrm>
          <a:off x="33185100" y="15243629"/>
          <a:ext cx="2469243" cy="633186"/>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73</xdr:col>
      <xdr:colOff>467380</xdr:colOff>
      <xdr:row>81</xdr:row>
      <xdr:rowOff>82550</xdr:rowOff>
    </xdr:from>
    <xdr:to>
      <xdr:col>75</xdr:col>
      <xdr:colOff>101600</xdr:colOff>
      <xdr:row>84</xdr:row>
      <xdr:rowOff>69850</xdr:rowOff>
    </xdr:to>
    <xdr:sp macro="" textlink="">
      <xdr:nvSpPr>
        <xdr:cNvPr id="31" name="TextBox 30">
          <a:extLst>
            <a:ext uri="{FF2B5EF4-FFF2-40B4-BE49-F238E27FC236}">
              <a16:creationId xmlns:a16="http://schemas.microsoft.com/office/drawing/2014/main" id="{94F53137-20B4-492A-87AA-333BEA4E213A}"/>
            </a:ext>
          </a:extLst>
        </xdr:cNvPr>
        <xdr:cNvSpPr txBox="1"/>
      </xdr:nvSpPr>
      <xdr:spPr>
        <a:xfrm>
          <a:off x="33968166" y="15313479"/>
          <a:ext cx="849791" cy="531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a:pPr algn="ctr"/>
          <a:r>
            <a:rPr lang="en-US" sz="1200" b="1">
              <a:solidFill>
                <a:srgbClr val="FF0000"/>
              </a:solidFill>
            </a:rPr>
            <a:t>1,380</a:t>
          </a:r>
        </a:p>
      </xdr:txBody>
    </xdr:sp>
    <xdr:clientData/>
  </xdr:twoCellAnchor>
  <xdr:twoCellAnchor>
    <xdr:from>
      <xdr:col>6</xdr:col>
      <xdr:colOff>0</xdr:colOff>
      <xdr:row>217</xdr:row>
      <xdr:rowOff>0</xdr:rowOff>
    </xdr:from>
    <xdr:to>
      <xdr:col>11</xdr:col>
      <xdr:colOff>574861</xdr:colOff>
      <xdr:row>255</xdr:row>
      <xdr:rowOff>138545</xdr:rowOff>
    </xdr:to>
    <xdr:graphicFrame macro="">
      <xdr:nvGraphicFramePr>
        <xdr:cNvPr id="38" name="Chart 37">
          <a:extLst>
            <a:ext uri="{FF2B5EF4-FFF2-40B4-BE49-F238E27FC236}">
              <a16:creationId xmlns:a16="http://schemas.microsoft.com/office/drawing/2014/main" id="{ACAE07A6-DFF9-48F2-8733-7C1770C5F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0</xdr:colOff>
      <xdr:row>217</xdr:row>
      <xdr:rowOff>0</xdr:rowOff>
    </xdr:from>
    <xdr:to>
      <xdr:col>23</xdr:col>
      <xdr:colOff>574860</xdr:colOff>
      <xdr:row>255</xdr:row>
      <xdr:rowOff>138545</xdr:rowOff>
    </xdr:to>
    <xdr:graphicFrame macro="">
      <xdr:nvGraphicFramePr>
        <xdr:cNvPr id="39" name="Chart 38">
          <a:extLst>
            <a:ext uri="{FF2B5EF4-FFF2-40B4-BE49-F238E27FC236}">
              <a16:creationId xmlns:a16="http://schemas.microsoft.com/office/drawing/2014/main" id="{8D3A7613-F99A-42AF-9994-F47E24531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59</xdr:col>
      <xdr:colOff>281006</xdr:colOff>
      <xdr:row>215</xdr:row>
      <xdr:rowOff>85396</xdr:rowOff>
    </xdr:from>
    <xdr:to>
      <xdr:col>64</xdr:col>
      <xdr:colOff>489023</xdr:colOff>
      <xdr:row>250</xdr:row>
      <xdr:rowOff>51091</xdr:rowOff>
    </xdr:to>
    <xdr:graphicFrame macro="">
      <xdr:nvGraphicFramePr>
        <xdr:cNvPr id="43" name="Chart 42">
          <a:extLst>
            <a:ext uri="{FF2B5EF4-FFF2-40B4-BE49-F238E27FC236}">
              <a16:creationId xmlns:a16="http://schemas.microsoft.com/office/drawing/2014/main" id="{54F1AA37-20BD-45D7-821F-977E6AA47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71</xdr:col>
      <xdr:colOff>145977</xdr:colOff>
      <xdr:row>215</xdr:row>
      <xdr:rowOff>29195</xdr:rowOff>
    </xdr:from>
    <xdr:to>
      <xdr:col>76</xdr:col>
      <xdr:colOff>377752</xdr:colOff>
      <xdr:row>248</xdr:row>
      <xdr:rowOff>154515</xdr:rowOff>
    </xdr:to>
    <xdr:graphicFrame macro="">
      <xdr:nvGraphicFramePr>
        <xdr:cNvPr id="44" name="Chart 43">
          <a:extLst>
            <a:ext uri="{FF2B5EF4-FFF2-40B4-BE49-F238E27FC236}">
              <a16:creationId xmlns:a16="http://schemas.microsoft.com/office/drawing/2014/main" id="{9B6E756F-55B6-4901-A0C7-96528EDDA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60</xdr:col>
      <xdr:colOff>291955</xdr:colOff>
      <xdr:row>211</xdr:row>
      <xdr:rowOff>51093</xdr:rowOff>
    </xdr:from>
    <xdr:to>
      <xdr:col>64</xdr:col>
      <xdr:colOff>311322</xdr:colOff>
      <xdr:row>214</xdr:row>
      <xdr:rowOff>116575</xdr:rowOff>
    </xdr:to>
    <xdr:sp macro="" textlink="">
      <xdr:nvSpPr>
        <xdr:cNvPr id="34" name="Oval 33">
          <a:extLst>
            <a:ext uri="{FF2B5EF4-FFF2-40B4-BE49-F238E27FC236}">
              <a16:creationId xmlns:a16="http://schemas.microsoft.com/office/drawing/2014/main" id="{52DFB00F-E514-93BA-F29B-DEEEAB01DE70}"/>
            </a:ext>
          </a:extLst>
        </xdr:cNvPr>
        <xdr:cNvSpPr/>
      </xdr:nvSpPr>
      <xdr:spPr>
        <a:xfrm>
          <a:off x="33414139" y="39041553"/>
          <a:ext cx="2471781"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61</xdr:col>
      <xdr:colOff>284655</xdr:colOff>
      <xdr:row>211</xdr:row>
      <xdr:rowOff>94886</xdr:rowOff>
    </xdr:from>
    <xdr:to>
      <xdr:col>63</xdr:col>
      <xdr:colOff>321150</xdr:colOff>
      <xdr:row>214</xdr:row>
      <xdr:rowOff>36495</xdr:rowOff>
    </xdr:to>
    <xdr:sp macro="" textlink="">
      <xdr:nvSpPr>
        <xdr:cNvPr id="35" name="TextBox 2">
          <a:extLst>
            <a:ext uri="{FF2B5EF4-FFF2-40B4-BE49-F238E27FC236}">
              <a16:creationId xmlns:a16="http://schemas.microsoft.com/office/drawing/2014/main" id="{75235965-77E2-F250-03BD-002F16BEB0C6}"/>
            </a:ext>
          </a:extLst>
        </xdr:cNvPr>
        <xdr:cNvSpPr txBox="1"/>
      </xdr:nvSpPr>
      <xdr:spPr>
        <a:xfrm>
          <a:off x="34019942" y="39085346"/>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968</a:t>
          </a:r>
        </a:p>
      </xdr:txBody>
    </xdr:sp>
    <xdr:clientData/>
  </xdr:twoCellAnchor>
  <xdr:twoCellAnchor>
    <xdr:from>
      <xdr:col>71</xdr:col>
      <xdr:colOff>598506</xdr:colOff>
      <xdr:row>210</xdr:row>
      <xdr:rowOff>138678</xdr:rowOff>
    </xdr:from>
    <xdr:to>
      <xdr:col>76</xdr:col>
      <xdr:colOff>4769</xdr:colOff>
      <xdr:row>214</xdr:row>
      <xdr:rowOff>21689</xdr:rowOff>
    </xdr:to>
    <xdr:sp macro="" textlink="">
      <xdr:nvSpPr>
        <xdr:cNvPr id="36" name="Oval 35">
          <a:extLst>
            <a:ext uri="{FF2B5EF4-FFF2-40B4-BE49-F238E27FC236}">
              <a16:creationId xmlns:a16="http://schemas.microsoft.com/office/drawing/2014/main" id="{C7E1F31A-4B45-4090-9C73-E8BC665A7CB7}"/>
            </a:ext>
          </a:extLst>
        </xdr:cNvPr>
        <xdr:cNvSpPr/>
      </xdr:nvSpPr>
      <xdr:spPr>
        <a:xfrm>
          <a:off x="40924655" y="38946667"/>
          <a:ext cx="2471781"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73</xdr:col>
      <xdr:colOff>14599</xdr:colOff>
      <xdr:row>211</xdr:row>
      <xdr:rowOff>7299</xdr:rowOff>
    </xdr:from>
    <xdr:to>
      <xdr:col>75</xdr:col>
      <xdr:colOff>51094</xdr:colOff>
      <xdr:row>213</xdr:row>
      <xdr:rowOff>153276</xdr:rowOff>
    </xdr:to>
    <xdr:sp macro="" textlink="">
      <xdr:nvSpPr>
        <xdr:cNvPr id="37" name="TextBox 2">
          <a:extLst>
            <a:ext uri="{FF2B5EF4-FFF2-40B4-BE49-F238E27FC236}">
              <a16:creationId xmlns:a16="http://schemas.microsoft.com/office/drawing/2014/main" id="{BFB26C7F-94C0-46EF-B524-143508A55C81}"/>
            </a:ext>
          </a:extLst>
        </xdr:cNvPr>
        <xdr:cNvSpPr txBox="1"/>
      </xdr:nvSpPr>
      <xdr:spPr>
        <a:xfrm>
          <a:off x="41566955" y="38997759"/>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968</a:t>
          </a:r>
        </a:p>
      </xdr:txBody>
    </xdr:sp>
    <xdr:clientData/>
  </xdr:twoCellAnchor>
  <xdr:twoCellAnchor>
    <xdr:from>
      <xdr:col>72</xdr:col>
      <xdr:colOff>218965</xdr:colOff>
      <xdr:row>119</xdr:row>
      <xdr:rowOff>72988</xdr:rowOff>
    </xdr:from>
    <xdr:to>
      <xdr:col>76</xdr:col>
      <xdr:colOff>238332</xdr:colOff>
      <xdr:row>122</xdr:row>
      <xdr:rowOff>182263</xdr:rowOff>
    </xdr:to>
    <xdr:sp macro="" textlink="">
      <xdr:nvSpPr>
        <xdr:cNvPr id="33" name="Oval 32">
          <a:extLst>
            <a:ext uri="{FF2B5EF4-FFF2-40B4-BE49-F238E27FC236}">
              <a16:creationId xmlns:a16="http://schemas.microsoft.com/office/drawing/2014/main" id="{50CCA259-9886-44C7-BD09-178A304CFAB7}"/>
            </a:ext>
          </a:extLst>
        </xdr:cNvPr>
        <xdr:cNvSpPr/>
      </xdr:nvSpPr>
      <xdr:spPr>
        <a:xfrm>
          <a:off x="41158218" y="22276091"/>
          <a:ext cx="2471781"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73</xdr:col>
      <xdr:colOff>262759</xdr:colOff>
      <xdr:row>119</xdr:row>
      <xdr:rowOff>109483</xdr:rowOff>
    </xdr:from>
    <xdr:to>
      <xdr:col>75</xdr:col>
      <xdr:colOff>299254</xdr:colOff>
      <xdr:row>122</xdr:row>
      <xdr:rowOff>94885</xdr:rowOff>
    </xdr:to>
    <xdr:sp macro="" textlink="">
      <xdr:nvSpPr>
        <xdr:cNvPr id="40" name="TextBox 2">
          <a:extLst>
            <a:ext uri="{FF2B5EF4-FFF2-40B4-BE49-F238E27FC236}">
              <a16:creationId xmlns:a16="http://schemas.microsoft.com/office/drawing/2014/main" id="{D74D2364-608D-4D34-A9DA-E67FC919F4B6}"/>
            </a:ext>
          </a:extLst>
        </xdr:cNvPr>
        <xdr:cNvSpPr txBox="1"/>
      </xdr:nvSpPr>
      <xdr:spPr>
        <a:xfrm>
          <a:off x="41815115" y="22312586"/>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1,111</a:t>
          </a:r>
        </a:p>
      </xdr:txBody>
    </xdr:sp>
    <xdr:clientData/>
  </xdr:twoCellAnchor>
  <xdr:twoCellAnchor>
    <xdr:from>
      <xdr:col>60</xdr:col>
      <xdr:colOff>350345</xdr:colOff>
      <xdr:row>119</xdr:row>
      <xdr:rowOff>153276</xdr:rowOff>
    </xdr:from>
    <xdr:to>
      <xdr:col>64</xdr:col>
      <xdr:colOff>231034</xdr:colOff>
      <xdr:row>123</xdr:row>
      <xdr:rowOff>80079</xdr:rowOff>
    </xdr:to>
    <xdr:sp macro="" textlink="">
      <xdr:nvSpPr>
        <xdr:cNvPr id="41" name="Oval 40">
          <a:extLst>
            <a:ext uri="{FF2B5EF4-FFF2-40B4-BE49-F238E27FC236}">
              <a16:creationId xmlns:a16="http://schemas.microsoft.com/office/drawing/2014/main" id="{81E82479-FF25-4424-B108-35FF01773609}"/>
            </a:ext>
          </a:extLst>
        </xdr:cNvPr>
        <xdr:cNvSpPr/>
      </xdr:nvSpPr>
      <xdr:spPr>
        <a:xfrm>
          <a:off x="33472529" y="22356379"/>
          <a:ext cx="2333103"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61</xdr:col>
      <xdr:colOff>328449</xdr:colOff>
      <xdr:row>120</xdr:row>
      <xdr:rowOff>36493</xdr:rowOff>
    </xdr:from>
    <xdr:to>
      <xdr:col>63</xdr:col>
      <xdr:colOff>364944</xdr:colOff>
      <xdr:row>123</xdr:row>
      <xdr:rowOff>21895</xdr:rowOff>
    </xdr:to>
    <xdr:sp macro="" textlink="">
      <xdr:nvSpPr>
        <xdr:cNvPr id="42" name="TextBox 2">
          <a:extLst>
            <a:ext uri="{FF2B5EF4-FFF2-40B4-BE49-F238E27FC236}">
              <a16:creationId xmlns:a16="http://schemas.microsoft.com/office/drawing/2014/main" id="{1098D12E-0874-44D2-BDD2-5646744F33C6}"/>
            </a:ext>
          </a:extLst>
        </xdr:cNvPr>
        <xdr:cNvSpPr txBox="1"/>
      </xdr:nvSpPr>
      <xdr:spPr>
        <a:xfrm>
          <a:off x="34063736" y="22422068"/>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1,111</a:t>
          </a:r>
        </a:p>
      </xdr:txBody>
    </xdr:sp>
    <xdr:clientData/>
  </xdr:twoCellAnchor>
  <xdr:twoCellAnchor>
    <xdr:from>
      <xdr:col>60</xdr:col>
      <xdr:colOff>335746</xdr:colOff>
      <xdr:row>75</xdr:row>
      <xdr:rowOff>29196</xdr:rowOff>
    </xdr:from>
    <xdr:to>
      <xdr:col>64</xdr:col>
      <xdr:colOff>197069</xdr:colOff>
      <xdr:row>78</xdr:row>
      <xdr:rowOff>138471</xdr:rowOff>
    </xdr:to>
    <xdr:sp macro="" textlink="">
      <xdr:nvSpPr>
        <xdr:cNvPr id="45" name="Oval 44">
          <a:extLst>
            <a:ext uri="{FF2B5EF4-FFF2-40B4-BE49-F238E27FC236}">
              <a16:creationId xmlns:a16="http://schemas.microsoft.com/office/drawing/2014/main" id="{FFBC73AA-4B71-4111-AC17-7CF85D1A162A}"/>
            </a:ext>
          </a:extLst>
        </xdr:cNvPr>
        <xdr:cNvSpPr/>
      </xdr:nvSpPr>
      <xdr:spPr>
        <a:xfrm>
          <a:off x="33457930" y="14203564"/>
          <a:ext cx="2313737"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61</xdr:col>
      <xdr:colOff>248160</xdr:colOff>
      <xdr:row>75</xdr:row>
      <xdr:rowOff>94885</xdr:rowOff>
    </xdr:from>
    <xdr:to>
      <xdr:col>63</xdr:col>
      <xdr:colOff>284655</xdr:colOff>
      <xdr:row>78</xdr:row>
      <xdr:rowOff>80287</xdr:rowOff>
    </xdr:to>
    <xdr:sp macro="" textlink="">
      <xdr:nvSpPr>
        <xdr:cNvPr id="46" name="TextBox 2">
          <a:extLst>
            <a:ext uri="{FF2B5EF4-FFF2-40B4-BE49-F238E27FC236}">
              <a16:creationId xmlns:a16="http://schemas.microsoft.com/office/drawing/2014/main" id="{A87B338C-D8BB-4102-BBA0-3027C706E315}"/>
            </a:ext>
          </a:extLst>
        </xdr:cNvPr>
        <xdr:cNvSpPr txBox="1"/>
      </xdr:nvSpPr>
      <xdr:spPr>
        <a:xfrm>
          <a:off x="33983447" y="14269253"/>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1,134</a:t>
          </a:r>
        </a:p>
      </xdr:txBody>
    </xdr:sp>
    <xdr:clientData/>
  </xdr:twoCellAnchor>
  <xdr:twoCellAnchor>
    <xdr:from>
      <xdr:col>72</xdr:col>
      <xdr:colOff>357644</xdr:colOff>
      <xdr:row>75</xdr:row>
      <xdr:rowOff>51092</xdr:rowOff>
    </xdr:from>
    <xdr:to>
      <xdr:col>76</xdr:col>
      <xdr:colOff>321149</xdr:colOff>
      <xdr:row>78</xdr:row>
      <xdr:rowOff>160367</xdr:rowOff>
    </xdr:to>
    <xdr:sp macro="" textlink="">
      <xdr:nvSpPr>
        <xdr:cNvPr id="47" name="Oval 46">
          <a:extLst>
            <a:ext uri="{FF2B5EF4-FFF2-40B4-BE49-F238E27FC236}">
              <a16:creationId xmlns:a16="http://schemas.microsoft.com/office/drawing/2014/main" id="{ECD2C968-8474-46D3-89BC-AE3F46501DEF}"/>
            </a:ext>
          </a:extLst>
        </xdr:cNvPr>
        <xdr:cNvSpPr/>
      </xdr:nvSpPr>
      <xdr:spPr>
        <a:xfrm>
          <a:off x="41296897" y="14225460"/>
          <a:ext cx="2415919"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73</xdr:col>
      <xdr:colOff>401436</xdr:colOff>
      <xdr:row>75</xdr:row>
      <xdr:rowOff>116782</xdr:rowOff>
    </xdr:from>
    <xdr:to>
      <xdr:col>75</xdr:col>
      <xdr:colOff>437931</xdr:colOff>
      <xdr:row>78</xdr:row>
      <xdr:rowOff>102184</xdr:rowOff>
    </xdr:to>
    <xdr:sp macro="" textlink="">
      <xdr:nvSpPr>
        <xdr:cNvPr id="48" name="TextBox 2">
          <a:extLst>
            <a:ext uri="{FF2B5EF4-FFF2-40B4-BE49-F238E27FC236}">
              <a16:creationId xmlns:a16="http://schemas.microsoft.com/office/drawing/2014/main" id="{99CB402A-4632-4F0E-BB8B-FD040C7327BF}"/>
            </a:ext>
          </a:extLst>
        </xdr:cNvPr>
        <xdr:cNvSpPr txBox="1"/>
      </xdr:nvSpPr>
      <xdr:spPr>
        <a:xfrm>
          <a:off x="41953792" y="14291150"/>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1,134</a:t>
          </a:r>
        </a:p>
      </xdr:txBody>
    </xdr:sp>
    <xdr:clientData/>
  </xdr:twoCellAnchor>
  <xdr:twoCellAnchor>
    <xdr:from>
      <xdr:col>60</xdr:col>
      <xdr:colOff>167873</xdr:colOff>
      <xdr:row>38</xdr:row>
      <xdr:rowOff>124080</xdr:rowOff>
    </xdr:from>
    <xdr:to>
      <xdr:col>64</xdr:col>
      <xdr:colOff>29196</xdr:colOff>
      <xdr:row>42</xdr:row>
      <xdr:rowOff>50884</xdr:rowOff>
    </xdr:to>
    <xdr:sp macro="" textlink="">
      <xdr:nvSpPr>
        <xdr:cNvPr id="49" name="Oval 48">
          <a:extLst>
            <a:ext uri="{FF2B5EF4-FFF2-40B4-BE49-F238E27FC236}">
              <a16:creationId xmlns:a16="http://schemas.microsoft.com/office/drawing/2014/main" id="{36BBF2EA-6259-482A-86D3-E44B2F8B27F3}"/>
            </a:ext>
          </a:extLst>
        </xdr:cNvPr>
        <xdr:cNvSpPr/>
      </xdr:nvSpPr>
      <xdr:spPr>
        <a:xfrm>
          <a:off x="33290057" y="8057931"/>
          <a:ext cx="2313737"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61</xdr:col>
      <xdr:colOff>80287</xdr:colOff>
      <xdr:row>39</xdr:row>
      <xdr:rowOff>7298</xdr:rowOff>
    </xdr:from>
    <xdr:to>
      <xdr:col>63</xdr:col>
      <xdr:colOff>116782</xdr:colOff>
      <xdr:row>41</xdr:row>
      <xdr:rowOff>175172</xdr:rowOff>
    </xdr:to>
    <xdr:sp macro="" textlink="">
      <xdr:nvSpPr>
        <xdr:cNvPr id="50" name="TextBox 2">
          <a:extLst>
            <a:ext uri="{FF2B5EF4-FFF2-40B4-BE49-F238E27FC236}">
              <a16:creationId xmlns:a16="http://schemas.microsoft.com/office/drawing/2014/main" id="{7F7C903D-F2D7-4811-A861-B12AE822861D}"/>
            </a:ext>
          </a:extLst>
        </xdr:cNvPr>
        <xdr:cNvSpPr txBox="1"/>
      </xdr:nvSpPr>
      <xdr:spPr>
        <a:xfrm>
          <a:off x="33815574" y="8123620"/>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1,193</a:t>
          </a:r>
        </a:p>
      </xdr:txBody>
    </xdr:sp>
    <xdr:clientData/>
  </xdr:twoCellAnchor>
  <xdr:twoCellAnchor>
    <xdr:from>
      <xdr:col>72</xdr:col>
      <xdr:colOff>160575</xdr:colOff>
      <xdr:row>38</xdr:row>
      <xdr:rowOff>153276</xdr:rowOff>
    </xdr:from>
    <xdr:to>
      <xdr:col>76</xdr:col>
      <xdr:colOff>21898</xdr:colOff>
      <xdr:row>42</xdr:row>
      <xdr:rowOff>80080</xdr:rowOff>
    </xdr:to>
    <xdr:sp macro="" textlink="">
      <xdr:nvSpPr>
        <xdr:cNvPr id="51" name="Oval 50">
          <a:extLst>
            <a:ext uri="{FF2B5EF4-FFF2-40B4-BE49-F238E27FC236}">
              <a16:creationId xmlns:a16="http://schemas.microsoft.com/office/drawing/2014/main" id="{EEC6F601-930C-41DF-9C84-FD159CCA9CF2}"/>
            </a:ext>
          </a:extLst>
        </xdr:cNvPr>
        <xdr:cNvSpPr/>
      </xdr:nvSpPr>
      <xdr:spPr>
        <a:xfrm>
          <a:off x="41099828" y="8087127"/>
          <a:ext cx="2313737"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73</xdr:col>
      <xdr:colOff>72989</xdr:colOff>
      <xdr:row>39</xdr:row>
      <xdr:rowOff>36494</xdr:rowOff>
    </xdr:from>
    <xdr:to>
      <xdr:col>75</xdr:col>
      <xdr:colOff>109484</xdr:colOff>
      <xdr:row>42</xdr:row>
      <xdr:rowOff>21896</xdr:rowOff>
    </xdr:to>
    <xdr:sp macro="" textlink="">
      <xdr:nvSpPr>
        <xdr:cNvPr id="52" name="TextBox 2">
          <a:extLst>
            <a:ext uri="{FF2B5EF4-FFF2-40B4-BE49-F238E27FC236}">
              <a16:creationId xmlns:a16="http://schemas.microsoft.com/office/drawing/2014/main" id="{9D86618E-476D-4ACA-BCB9-8CFD8BE93D41}"/>
            </a:ext>
          </a:extLst>
        </xdr:cNvPr>
        <xdr:cNvSpPr txBox="1"/>
      </xdr:nvSpPr>
      <xdr:spPr>
        <a:xfrm>
          <a:off x="41625345" y="8152816"/>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1,193</a:t>
          </a:r>
        </a:p>
      </xdr:txBody>
    </xdr:sp>
    <xdr:clientData/>
  </xdr:twoCellAnchor>
  <xdr:twoCellAnchor>
    <xdr:from>
      <xdr:col>60</xdr:col>
      <xdr:colOff>489022</xdr:colOff>
      <xdr:row>0</xdr:row>
      <xdr:rowOff>21897</xdr:rowOff>
    </xdr:from>
    <xdr:to>
      <xdr:col>64</xdr:col>
      <xdr:colOff>350345</xdr:colOff>
      <xdr:row>2</xdr:row>
      <xdr:rowOff>167666</xdr:rowOff>
    </xdr:to>
    <xdr:sp macro="" textlink="">
      <xdr:nvSpPr>
        <xdr:cNvPr id="53" name="Oval 52">
          <a:extLst>
            <a:ext uri="{FF2B5EF4-FFF2-40B4-BE49-F238E27FC236}">
              <a16:creationId xmlns:a16="http://schemas.microsoft.com/office/drawing/2014/main" id="{CF99C639-ACC3-4433-9C07-433AE6250A9B}"/>
            </a:ext>
          </a:extLst>
        </xdr:cNvPr>
        <xdr:cNvSpPr/>
      </xdr:nvSpPr>
      <xdr:spPr>
        <a:xfrm>
          <a:off x="33611206" y="21897"/>
          <a:ext cx="2313737"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61</xdr:col>
      <xdr:colOff>372240</xdr:colOff>
      <xdr:row>0</xdr:row>
      <xdr:rowOff>87586</xdr:rowOff>
    </xdr:from>
    <xdr:to>
      <xdr:col>63</xdr:col>
      <xdr:colOff>408735</xdr:colOff>
      <xdr:row>2</xdr:row>
      <xdr:rowOff>109482</xdr:rowOff>
    </xdr:to>
    <xdr:sp macro="" textlink="">
      <xdr:nvSpPr>
        <xdr:cNvPr id="54" name="TextBox 2">
          <a:extLst>
            <a:ext uri="{FF2B5EF4-FFF2-40B4-BE49-F238E27FC236}">
              <a16:creationId xmlns:a16="http://schemas.microsoft.com/office/drawing/2014/main" id="{EBFACF2B-3397-4CB8-B5A6-989ACD990BA8}"/>
            </a:ext>
          </a:extLst>
        </xdr:cNvPr>
        <xdr:cNvSpPr txBox="1"/>
      </xdr:nvSpPr>
      <xdr:spPr>
        <a:xfrm>
          <a:off x="34107527" y="87586"/>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1,213</a:t>
          </a:r>
        </a:p>
      </xdr:txBody>
    </xdr:sp>
    <xdr:clientData/>
  </xdr:twoCellAnchor>
  <xdr:twoCellAnchor>
    <xdr:from>
      <xdr:col>72</xdr:col>
      <xdr:colOff>321150</xdr:colOff>
      <xdr:row>0</xdr:row>
      <xdr:rowOff>58392</xdr:rowOff>
    </xdr:from>
    <xdr:to>
      <xdr:col>76</xdr:col>
      <xdr:colOff>182471</xdr:colOff>
      <xdr:row>3</xdr:row>
      <xdr:rowOff>21690</xdr:rowOff>
    </xdr:to>
    <xdr:sp macro="" textlink="">
      <xdr:nvSpPr>
        <xdr:cNvPr id="55" name="Oval 54">
          <a:extLst>
            <a:ext uri="{FF2B5EF4-FFF2-40B4-BE49-F238E27FC236}">
              <a16:creationId xmlns:a16="http://schemas.microsoft.com/office/drawing/2014/main" id="{2D2EE590-77F2-43FA-8F03-EB39433092C9}"/>
            </a:ext>
          </a:extLst>
        </xdr:cNvPr>
        <xdr:cNvSpPr/>
      </xdr:nvSpPr>
      <xdr:spPr>
        <a:xfrm>
          <a:off x="41260403" y="58392"/>
          <a:ext cx="2313735"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73</xdr:col>
      <xdr:colOff>270057</xdr:colOff>
      <xdr:row>0</xdr:row>
      <xdr:rowOff>131379</xdr:rowOff>
    </xdr:from>
    <xdr:to>
      <xdr:col>75</xdr:col>
      <xdr:colOff>248161</xdr:colOff>
      <xdr:row>2</xdr:row>
      <xdr:rowOff>124079</xdr:rowOff>
    </xdr:to>
    <xdr:sp macro="" textlink="">
      <xdr:nvSpPr>
        <xdr:cNvPr id="56" name="TextBox 2">
          <a:extLst>
            <a:ext uri="{FF2B5EF4-FFF2-40B4-BE49-F238E27FC236}">
              <a16:creationId xmlns:a16="http://schemas.microsoft.com/office/drawing/2014/main" id="{B15887CE-E00C-4320-8332-1E968AEE188A}"/>
            </a:ext>
          </a:extLst>
        </xdr:cNvPr>
        <xdr:cNvSpPr txBox="1"/>
      </xdr:nvSpPr>
      <xdr:spPr>
        <a:xfrm>
          <a:off x="41822413" y="131379"/>
          <a:ext cx="1204311" cy="503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1,213</a:t>
          </a:r>
        </a:p>
      </xdr:txBody>
    </xdr:sp>
    <xdr:clientData/>
  </xdr:twoCellAnchor>
  <xdr:twoCellAnchor>
    <xdr:from>
      <xdr:col>30</xdr:col>
      <xdr:colOff>108857</xdr:colOff>
      <xdr:row>260</xdr:row>
      <xdr:rowOff>9071</xdr:rowOff>
    </xdr:from>
    <xdr:to>
      <xdr:col>38</xdr:col>
      <xdr:colOff>30574</xdr:colOff>
      <xdr:row>299</xdr:row>
      <xdr:rowOff>156688</xdr:rowOff>
    </xdr:to>
    <xdr:graphicFrame macro="">
      <xdr:nvGraphicFramePr>
        <xdr:cNvPr id="57" name="Chart 56">
          <a:extLst>
            <a:ext uri="{FF2B5EF4-FFF2-40B4-BE49-F238E27FC236}">
              <a16:creationId xmlns:a16="http://schemas.microsoft.com/office/drawing/2014/main" id="{CE41E6A5-D49E-4674-AFAC-400A47AA3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44</xdr:col>
      <xdr:colOff>108857</xdr:colOff>
      <xdr:row>260</xdr:row>
      <xdr:rowOff>9071</xdr:rowOff>
    </xdr:from>
    <xdr:to>
      <xdr:col>52</xdr:col>
      <xdr:colOff>30574</xdr:colOff>
      <xdr:row>299</xdr:row>
      <xdr:rowOff>156688</xdr:rowOff>
    </xdr:to>
    <xdr:graphicFrame macro="">
      <xdr:nvGraphicFramePr>
        <xdr:cNvPr id="58" name="Chart 57">
          <a:extLst>
            <a:ext uri="{FF2B5EF4-FFF2-40B4-BE49-F238E27FC236}">
              <a16:creationId xmlns:a16="http://schemas.microsoft.com/office/drawing/2014/main" id="{23474D2A-2E22-4595-88E2-C0E15FDF3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59</xdr:col>
      <xdr:colOff>317500</xdr:colOff>
      <xdr:row>258</xdr:row>
      <xdr:rowOff>63500</xdr:rowOff>
    </xdr:from>
    <xdr:to>
      <xdr:col>64</xdr:col>
      <xdr:colOff>549275</xdr:colOff>
      <xdr:row>292</xdr:row>
      <xdr:rowOff>6350</xdr:rowOff>
    </xdr:to>
    <xdr:graphicFrame macro="">
      <xdr:nvGraphicFramePr>
        <xdr:cNvPr id="59" name="Chart 58">
          <a:extLst>
            <a:ext uri="{FF2B5EF4-FFF2-40B4-BE49-F238E27FC236}">
              <a16:creationId xmlns:a16="http://schemas.microsoft.com/office/drawing/2014/main" id="{1486394D-CC92-4B25-B67D-6E8C10C9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71</xdr:col>
      <xdr:colOff>317500</xdr:colOff>
      <xdr:row>258</xdr:row>
      <xdr:rowOff>63500</xdr:rowOff>
    </xdr:from>
    <xdr:to>
      <xdr:col>76</xdr:col>
      <xdr:colOff>549275</xdr:colOff>
      <xdr:row>292</xdr:row>
      <xdr:rowOff>6350</xdr:rowOff>
    </xdr:to>
    <xdr:graphicFrame macro="">
      <xdr:nvGraphicFramePr>
        <xdr:cNvPr id="60" name="Chart 59">
          <a:extLst>
            <a:ext uri="{FF2B5EF4-FFF2-40B4-BE49-F238E27FC236}">
              <a16:creationId xmlns:a16="http://schemas.microsoft.com/office/drawing/2014/main" id="{A29FCCAC-4CCA-4BE8-BD45-307D6CBDE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72</xdr:col>
      <xdr:colOff>218965</xdr:colOff>
      <xdr:row>254</xdr:row>
      <xdr:rowOff>72988</xdr:rowOff>
    </xdr:from>
    <xdr:to>
      <xdr:col>76</xdr:col>
      <xdr:colOff>238332</xdr:colOff>
      <xdr:row>257</xdr:row>
      <xdr:rowOff>182263</xdr:rowOff>
    </xdr:to>
    <xdr:sp macro="" textlink="">
      <xdr:nvSpPr>
        <xdr:cNvPr id="61" name="Oval 60">
          <a:extLst>
            <a:ext uri="{FF2B5EF4-FFF2-40B4-BE49-F238E27FC236}">
              <a16:creationId xmlns:a16="http://schemas.microsoft.com/office/drawing/2014/main" id="{0FEEADBE-25C0-481E-BE50-29E2449A7D5B}"/>
            </a:ext>
          </a:extLst>
        </xdr:cNvPr>
        <xdr:cNvSpPr/>
      </xdr:nvSpPr>
      <xdr:spPr>
        <a:xfrm>
          <a:off x="41158218" y="22787011"/>
          <a:ext cx="2471781" cy="656689"/>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73</xdr:col>
      <xdr:colOff>262759</xdr:colOff>
      <xdr:row>254</xdr:row>
      <xdr:rowOff>109483</xdr:rowOff>
    </xdr:from>
    <xdr:to>
      <xdr:col>75</xdr:col>
      <xdr:colOff>299254</xdr:colOff>
      <xdr:row>257</xdr:row>
      <xdr:rowOff>94885</xdr:rowOff>
    </xdr:to>
    <xdr:sp macro="" textlink="">
      <xdr:nvSpPr>
        <xdr:cNvPr id="62" name="TextBox 2">
          <a:extLst>
            <a:ext uri="{FF2B5EF4-FFF2-40B4-BE49-F238E27FC236}">
              <a16:creationId xmlns:a16="http://schemas.microsoft.com/office/drawing/2014/main" id="{54E4B08F-8CA7-46A7-B8A4-930BD73EFD95}"/>
            </a:ext>
          </a:extLst>
        </xdr:cNvPr>
        <xdr:cNvSpPr txBox="1"/>
      </xdr:nvSpPr>
      <xdr:spPr>
        <a:xfrm>
          <a:off x="41815115" y="22823506"/>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1,088</a:t>
          </a:r>
        </a:p>
      </xdr:txBody>
    </xdr:sp>
    <xdr:clientData/>
  </xdr:twoCellAnchor>
  <xdr:twoCellAnchor>
    <xdr:from>
      <xdr:col>60</xdr:col>
      <xdr:colOff>350345</xdr:colOff>
      <xdr:row>254</xdr:row>
      <xdr:rowOff>153276</xdr:rowOff>
    </xdr:from>
    <xdr:to>
      <xdr:col>64</xdr:col>
      <xdr:colOff>231034</xdr:colOff>
      <xdr:row>258</xdr:row>
      <xdr:rowOff>80079</xdr:rowOff>
    </xdr:to>
    <xdr:sp macro="" textlink="">
      <xdr:nvSpPr>
        <xdr:cNvPr id="63" name="Oval 62">
          <a:extLst>
            <a:ext uri="{FF2B5EF4-FFF2-40B4-BE49-F238E27FC236}">
              <a16:creationId xmlns:a16="http://schemas.microsoft.com/office/drawing/2014/main" id="{D056A211-1788-4777-B4F8-B78796460AAB}"/>
            </a:ext>
          </a:extLst>
        </xdr:cNvPr>
        <xdr:cNvSpPr/>
      </xdr:nvSpPr>
      <xdr:spPr>
        <a:xfrm>
          <a:off x="33472529" y="22867299"/>
          <a:ext cx="2333103" cy="656688"/>
        </a:xfrm>
        <a:prstGeom prst="ellipse">
          <a:avLst/>
        </a:prstGeom>
        <a:noFill/>
        <a:ln w="127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61</xdr:col>
      <xdr:colOff>328449</xdr:colOff>
      <xdr:row>255</xdr:row>
      <xdr:rowOff>36493</xdr:rowOff>
    </xdr:from>
    <xdr:to>
      <xdr:col>63</xdr:col>
      <xdr:colOff>364944</xdr:colOff>
      <xdr:row>258</xdr:row>
      <xdr:rowOff>21895</xdr:rowOff>
    </xdr:to>
    <xdr:sp macro="" textlink="">
      <xdr:nvSpPr>
        <xdr:cNvPr id="64" name="TextBox 2">
          <a:extLst>
            <a:ext uri="{FF2B5EF4-FFF2-40B4-BE49-F238E27FC236}">
              <a16:creationId xmlns:a16="http://schemas.microsoft.com/office/drawing/2014/main" id="{797E08A7-9328-4F24-A930-8D510A7363DC}"/>
            </a:ext>
          </a:extLst>
        </xdr:cNvPr>
        <xdr:cNvSpPr txBox="1"/>
      </xdr:nvSpPr>
      <xdr:spPr>
        <a:xfrm>
          <a:off x="34063736" y="22932987"/>
          <a:ext cx="1262702" cy="532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1">
              <a:solidFill>
                <a:srgbClr val="0000FF"/>
              </a:solidFill>
            </a:rPr>
            <a:t>ĐIỂM</a:t>
          </a:r>
          <a:r>
            <a:rPr lang="en-US" sz="1200" b="1" baseline="0">
              <a:solidFill>
                <a:srgbClr val="0000FF"/>
              </a:solidFill>
            </a:rPr>
            <a:t> HÒA VỐN</a:t>
          </a:r>
          <a:endParaRPr lang="en-US" sz="1200" b="1">
            <a:solidFill>
              <a:srgbClr val="0000FF"/>
            </a:solidFill>
          </a:endParaRPr>
        </a:p>
        <a:p>
          <a:pPr algn="ctr"/>
          <a:r>
            <a:rPr lang="en-US" sz="1200" b="1">
              <a:solidFill>
                <a:srgbClr val="FF0000"/>
              </a:solidFill>
            </a:rPr>
            <a:t>1,088</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0.13262</cdr:x>
      <cdr:y>0.057</cdr:y>
    </cdr:from>
    <cdr:to>
      <cdr:x>0.91191</cdr:x>
      <cdr:y>0.15459</cdr:y>
    </cdr:to>
    <cdr:sp macro="" textlink="">
      <cdr:nvSpPr>
        <cdr:cNvPr id="2" name="Oval 1">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434974" y="374650"/>
          <a:ext cx="2555875"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0.38916</cdr:x>
      <cdr:y>0.0657</cdr:y>
    </cdr:from>
    <cdr:to>
      <cdr:x>0.66312</cdr:x>
      <cdr:y>0.14783</cdr:y>
    </cdr:to>
    <cdr:sp macro="" textlink="">
      <cdr:nvSpPr>
        <cdr:cNvPr id="3"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276350" y="431800"/>
          <a:ext cx="898525"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BÁN</a:t>
          </a:r>
          <a:endParaRPr lang="en-US" sz="1400" b="1">
            <a:solidFill>
              <a:srgbClr val="0000FF"/>
            </a:solidFill>
          </a:endParaRPr>
        </a:p>
        <a:p xmlns:a="http://schemas.openxmlformats.org/drawingml/2006/main">
          <a:pPr algn="ctr"/>
          <a:r>
            <a:rPr lang="en-US" sz="1400" b="1">
              <a:solidFill>
                <a:srgbClr val="FF0000"/>
              </a:solidFill>
            </a:rPr>
            <a:t>1,263</a:t>
          </a:r>
        </a:p>
      </cdr:txBody>
    </cdr:sp>
  </cdr:relSizeAnchor>
</c:userShapes>
</file>

<file path=xl/drawings/drawing12.xml><?xml version="1.0" encoding="utf-8"?>
<c:userShapes xmlns:c="http://schemas.openxmlformats.org/drawingml/2006/chart">
  <cdr:relSizeAnchor xmlns:cdr="http://schemas.openxmlformats.org/drawingml/2006/chartDrawing">
    <cdr:from>
      <cdr:x>0.41623</cdr:x>
      <cdr:y>0.06784</cdr:y>
    </cdr:from>
    <cdr:to>
      <cdr:x>0.66578</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498600" y="463550"/>
          <a:ext cx="898525"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BÁN</a:t>
          </a:r>
          <a:endParaRPr lang="en-US" sz="1400" b="1">
            <a:solidFill>
              <a:srgbClr val="0000FF"/>
            </a:solidFill>
          </a:endParaRPr>
        </a:p>
        <a:p xmlns:a="http://schemas.openxmlformats.org/drawingml/2006/main">
          <a:pPr algn="ctr"/>
          <a:r>
            <a:rPr lang="en-US" sz="1400" b="1">
              <a:solidFill>
                <a:srgbClr val="FF0000"/>
              </a:solidFill>
            </a:rPr>
            <a:t>1,313</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13.xml><?xml version="1.0" encoding="utf-8"?>
<c:userShapes xmlns:c="http://schemas.openxmlformats.org/drawingml/2006/chart">
  <cdr:relSizeAnchor xmlns:cdr="http://schemas.openxmlformats.org/drawingml/2006/chartDrawing">
    <cdr:from>
      <cdr:x>0.43756</cdr:x>
      <cdr:y>0.06346</cdr:y>
    </cdr:from>
    <cdr:to>
      <cdr:x>0.69777</cdr:x>
      <cdr:y>0.15046</cdr:y>
    </cdr:to>
    <cdr:sp macro="" textlink="">
      <cdr:nvSpPr>
        <cdr:cNvPr id="2"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435100" y="393700"/>
          <a:ext cx="853420"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xmlns:a="http://schemas.openxmlformats.org/drawingml/2006/main">
          <a:pPr algn="ctr"/>
          <a:r>
            <a:rPr lang="en-US" sz="1200" b="1">
              <a:solidFill>
                <a:srgbClr val="FF0000"/>
              </a:solidFill>
            </a:rPr>
            <a:t>1,161</a:t>
          </a:r>
        </a:p>
      </cdr:txBody>
    </cdr:sp>
  </cdr:relSizeAnchor>
  <cdr:relSizeAnchor xmlns:cdr="http://schemas.openxmlformats.org/drawingml/2006/chartDrawing">
    <cdr:from>
      <cdr:x>0.15489</cdr:x>
      <cdr:y>0.05834</cdr:y>
    </cdr:from>
    <cdr:to>
      <cdr:x>0.90997</cdr:x>
      <cdr:y>0.16172</cdr:y>
    </cdr:to>
    <cdr:sp macro="" textlink="">
      <cdr:nvSpPr>
        <cdr:cNvPr id="3" name="Oval 2">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508000" y="361950"/>
          <a:ext cx="24765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14.xml><?xml version="1.0" encoding="utf-8"?>
<c:userShapes xmlns:c="http://schemas.openxmlformats.org/drawingml/2006/chart">
  <cdr:relSizeAnchor xmlns:cdr="http://schemas.openxmlformats.org/drawingml/2006/chartDrawing">
    <cdr:from>
      <cdr:x>0.35965</cdr:x>
      <cdr:y>0.43188</cdr:y>
    </cdr:from>
    <cdr:to>
      <cdr:x>0.64035</cdr:x>
      <cdr:y>0.56812</cdr:y>
    </cdr:to>
    <cdr:sp macro="" textlink="">
      <cdr:nvSpPr>
        <cdr:cNvPr id="2" name="TextBox 1">
          <a:extLst xmlns:a="http://schemas.openxmlformats.org/drawingml/2006/main">
            <a:ext uri="{FF2B5EF4-FFF2-40B4-BE49-F238E27FC236}">
              <a16:creationId xmlns:a16="http://schemas.microsoft.com/office/drawing/2014/main" id="{479EC068-91D2-155B-C21C-2DCCE6E8276C}"/>
            </a:ext>
          </a:extLst>
        </cdr:cNvPr>
        <cdr:cNvSpPr txBox="1"/>
      </cdr:nvSpPr>
      <cdr:spPr>
        <a:xfrm xmlns:a="http://schemas.openxmlformats.org/drawingml/2006/main">
          <a:off x="1171575" y="28987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15.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endParaRPr lang="en-US" sz="1400" b="1">
            <a:solidFill>
              <a:srgbClr val="0000FF"/>
            </a:solidFill>
          </a:endParaRPr>
        </a:p>
        <a:p xmlns:a="http://schemas.openxmlformats.org/drawingml/2006/main">
          <a:pPr algn="ctr"/>
          <a:r>
            <a:rPr lang="en-US" sz="1400" b="1">
              <a:solidFill>
                <a:srgbClr val="FF0000"/>
              </a:solidFill>
            </a:rPr>
            <a:t>23,510</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16.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endParaRPr lang="en-US" sz="1400" b="1">
            <a:solidFill>
              <a:srgbClr val="0000FF"/>
            </a:solidFill>
          </a:endParaRPr>
        </a:p>
        <a:p xmlns:a="http://schemas.openxmlformats.org/drawingml/2006/main">
          <a:pPr algn="ctr"/>
          <a:r>
            <a:rPr lang="en-US" sz="1400" b="1">
              <a:solidFill>
                <a:srgbClr val="FF0000"/>
              </a:solidFill>
            </a:rPr>
            <a:t>20,731</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17.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endParaRPr lang="en-US" sz="1400" b="1">
            <a:solidFill>
              <a:srgbClr val="0000FF"/>
            </a:solidFill>
          </a:endParaRPr>
        </a:p>
        <a:p xmlns:a="http://schemas.openxmlformats.org/drawingml/2006/main">
          <a:pPr algn="ctr"/>
          <a:r>
            <a:rPr lang="en-US" sz="1400" b="1">
              <a:solidFill>
                <a:srgbClr val="FF0000"/>
              </a:solidFill>
            </a:rPr>
            <a:t>20,359</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18.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endParaRPr lang="en-US" sz="1400" b="1">
            <a:solidFill>
              <a:srgbClr val="0000FF"/>
            </a:solidFill>
          </a:endParaRPr>
        </a:p>
        <a:p xmlns:a="http://schemas.openxmlformats.org/drawingml/2006/main">
          <a:pPr algn="ctr"/>
          <a:r>
            <a:rPr lang="en-US" sz="1400" b="1">
              <a:solidFill>
                <a:srgbClr val="FF0000"/>
              </a:solidFill>
            </a:rPr>
            <a:t>19,369</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19.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endParaRPr lang="en-US" sz="1400" b="1">
            <a:solidFill>
              <a:srgbClr val="0000FF"/>
            </a:solidFill>
          </a:endParaRPr>
        </a:p>
        <a:p xmlns:a="http://schemas.openxmlformats.org/drawingml/2006/main">
          <a:pPr algn="ctr"/>
          <a:r>
            <a:rPr lang="en-US" sz="1400" b="1">
              <a:solidFill>
                <a:srgbClr val="FF0000"/>
              </a:solidFill>
            </a:rPr>
            <a:t>22,148</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0.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836</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1.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731</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2.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p>
        <a:p xmlns:a="http://schemas.openxmlformats.org/drawingml/2006/main">
          <a:pPr algn="ctr"/>
          <a:r>
            <a:rPr lang="en-US" sz="1400" b="1">
              <a:solidFill>
                <a:srgbClr val="FF0000"/>
              </a:solidFill>
            </a:rPr>
            <a:t>768</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3.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782</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4.xml><?xml version="1.0" encoding="utf-8"?>
<c:userShapes xmlns:c="http://schemas.openxmlformats.org/drawingml/2006/chart">
  <cdr:relSizeAnchor xmlns:cdr="http://schemas.openxmlformats.org/drawingml/2006/chartDrawing">
    <cdr:from>
      <cdr:x>0.34912</cdr:x>
      <cdr:y>0.06784</cdr:y>
    </cdr:from>
    <cdr:to>
      <cdr:x>0.74135</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0016" y="496149"/>
          <a:ext cx="1426854" cy="5777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887</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5.xml><?xml version="1.0" encoding="utf-8"?>
<c:userShapes xmlns:c="http://schemas.openxmlformats.org/drawingml/2006/chart">
  <cdr:relSizeAnchor xmlns:cdr="http://schemas.openxmlformats.org/drawingml/2006/chartDrawing">
    <cdr:from>
      <cdr:x>0.34912</cdr:x>
      <cdr:y>0.06784</cdr:y>
    </cdr:from>
    <cdr:to>
      <cdr:x>0.74135</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0016" y="496149"/>
          <a:ext cx="1426854" cy="5777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_VND</a:t>
          </a:r>
          <a:endParaRPr lang="en-US" sz="1400" b="1">
            <a:solidFill>
              <a:srgbClr val="FF0000"/>
            </a:solidFill>
          </a:endParaRPr>
        </a:p>
        <a:p xmlns:a="http://schemas.openxmlformats.org/drawingml/2006/main">
          <a:pPr algn="ctr"/>
          <a:r>
            <a:rPr lang="en-US" sz="1400" b="1">
              <a:solidFill>
                <a:srgbClr val="FF0000"/>
              </a:solidFill>
            </a:rPr>
            <a:t>28.424</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6.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_VND</a:t>
          </a:r>
          <a:endParaRPr lang="en-US" sz="1400" b="1">
            <a:solidFill>
              <a:srgbClr val="FF0000"/>
            </a:solidFill>
          </a:endParaRPr>
        </a:p>
        <a:p xmlns:a="http://schemas.openxmlformats.org/drawingml/2006/main">
          <a:pPr algn="ctr"/>
          <a:r>
            <a:rPr lang="en-US" sz="1400" b="1">
              <a:solidFill>
                <a:srgbClr val="FF0000"/>
              </a:solidFill>
            </a:rPr>
            <a:t>27.896</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7.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_VND</a:t>
          </a:r>
        </a:p>
        <a:p xmlns:a="http://schemas.openxmlformats.org/drawingml/2006/main">
          <a:pPr algn="ctr"/>
          <a:r>
            <a:rPr lang="en-US" sz="1400" b="1">
              <a:solidFill>
                <a:srgbClr val="FF0000"/>
              </a:solidFill>
            </a:rPr>
            <a:t>26.337</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8.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_VND</a:t>
          </a:r>
          <a:endParaRPr lang="en-US" sz="1400" b="1">
            <a:solidFill>
              <a:srgbClr val="FF0000"/>
            </a:solidFill>
          </a:endParaRPr>
        </a:p>
        <a:p xmlns:a="http://schemas.openxmlformats.org/drawingml/2006/main">
          <a:pPr algn="ctr"/>
          <a:r>
            <a:rPr lang="en-US" sz="1400" b="1">
              <a:solidFill>
                <a:srgbClr val="FF0000"/>
              </a:solidFill>
            </a:rPr>
            <a:t>25.735</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29.xml><?xml version="1.0" encoding="utf-8"?>
<c:userShapes xmlns:c="http://schemas.openxmlformats.org/drawingml/2006/chart">
  <cdr:relSizeAnchor xmlns:cdr="http://schemas.openxmlformats.org/drawingml/2006/chartDrawing">
    <cdr:from>
      <cdr:x>0.34912</cdr:x>
      <cdr:y>0.06784</cdr:y>
    </cdr:from>
    <cdr:to>
      <cdr:x>0.74135</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0016" y="496149"/>
          <a:ext cx="1426854" cy="5777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1.073</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0.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1.053</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1.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p>
        <a:p xmlns:a="http://schemas.openxmlformats.org/drawingml/2006/main">
          <a:pPr algn="ctr"/>
          <a:r>
            <a:rPr lang="en-US" sz="1400" b="1">
              <a:solidFill>
                <a:srgbClr val="FF0000"/>
              </a:solidFill>
            </a:rPr>
            <a:t>994</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2.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971</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3.xml><?xml version="1.0" encoding="utf-8"?>
<c:userShapes xmlns:c="http://schemas.openxmlformats.org/drawingml/2006/chart">
  <cdr:relSizeAnchor xmlns:cdr="http://schemas.openxmlformats.org/drawingml/2006/chartDrawing">
    <cdr:from>
      <cdr:x>0.13262</cdr:x>
      <cdr:y>0.057</cdr:y>
    </cdr:from>
    <cdr:to>
      <cdr:x>0.91191</cdr:x>
      <cdr:y>0.15459</cdr:y>
    </cdr:to>
    <cdr:sp macro="" textlink="">
      <cdr:nvSpPr>
        <cdr:cNvPr id="2" name="Oval 1">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434974" y="374650"/>
          <a:ext cx="2555875"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0.38916</cdr:x>
      <cdr:y>0.0657</cdr:y>
    </cdr:from>
    <cdr:to>
      <cdr:x>0.66312</cdr:x>
      <cdr:y>0.14783</cdr:y>
    </cdr:to>
    <cdr:sp macro="" textlink="">
      <cdr:nvSpPr>
        <cdr:cNvPr id="3"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276350" y="431800"/>
          <a:ext cx="898525"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BÁN</a:t>
          </a:r>
          <a:endParaRPr lang="en-US" sz="1400" b="1">
            <a:solidFill>
              <a:srgbClr val="0000FF"/>
            </a:solidFill>
          </a:endParaRPr>
        </a:p>
        <a:p xmlns:a="http://schemas.openxmlformats.org/drawingml/2006/main">
          <a:pPr algn="ctr"/>
          <a:r>
            <a:rPr lang="en-US" sz="1400" b="1">
              <a:solidFill>
                <a:srgbClr val="FF0000"/>
              </a:solidFill>
            </a:rPr>
            <a:t>1,410</a:t>
          </a:r>
        </a:p>
      </cdr:txBody>
    </cdr:sp>
  </cdr:relSizeAnchor>
</c:userShapes>
</file>

<file path=xl/drawings/drawing34.xml><?xml version="1.0" encoding="utf-8"?>
<c:userShapes xmlns:c="http://schemas.openxmlformats.org/drawingml/2006/chart">
  <cdr:relSizeAnchor xmlns:cdr="http://schemas.openxmlformats.org/drawingml/2006/chartDrawing">
    <cdr:from>
      <cdr:x>0.41623</cdr:x>
      <cdr:y>0.06784</cdr:y>
    </cdr:from>
    <cdr:to>
      <cdr:x>0.66578</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498600" y="463550"/>
          <a:ext cx="898525"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BÁN</a:t>
          </a:r>
          <a:endParaRPr lang="en-US" sz="1400" b="1">
            <a:solidFill>
              <a:srgbClr val="0000FF"/>
            </a:solidFill>
          </a:endParaRPr>
        </a:p>
        <a:p xmlns:a="http://schemas.openxmlformats.org/drawingml/2006/main">
          <a:pPr algn="ctr"/>
          <a:r>
            <a:rPr lang="en-US" sz="1400" b="1">
              <a:solidFill>
                <a:srgbClr val="FF0000"/>
              </a:solidFill>
            </a:rPr>
            <a:t>1,470</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5.xml><?xml version="1.0" encoding="utf-8"?>
<c:userShapes xmlns:c="http://schemas.openxmlformats.org/drawingml/2006/chart">
  <cdr:relSizeAnchor xmlns:cdr="http://schemas.openxmlformats.org/drawingml/2006/chartDrawing">
    <cdr:from>
      <cdr:x>0.43756</cdr:x>
      <cdr:y>0.06346</cdr:y>
    </cdr:from>
    <cdr:to>
      <cdr:x>0.69777</cdr:x>
      <cdr:y>0.15046</cdr:y>
    </cdr:to>
    <cdr:sp macro="" textlink="">
      <cdr:nvSpPr>
        <cdr:cNvPr id="2"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435100" y="393700"/>
          <a:ext cx="853420"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xmlns:a="http://schemas.openxmlformats.org/drawingml/2006/main">
          <a:pPr algn="ctr"/>
          <a:r>
            <a:rPr lang="en-US" sz="1200" b="1">
              <a:solidFill>
                <a:srgbClr val="FF0000"/>
              </a:solidFill>
            </a:rPr>
            <a:t>1,310</a:t>
          </a:r>
        </a:p>
      </cdr:txBody>
    </cdr:sp>
  </cdr:relSizeAnchor>
  <cdr:relSizeAnchor xmlns:cdr="http://schemas.openxmlformats.org/drawingml/2006/chartDrawing">
    <cdr:from>
      <cdr:x>0.15489</cdr:x>
      <cdr:y>0.05834</cdr:y>
    </cdr:from>
    <cdr:to>
      <cdr:x>0.90997</cdr:x>
      <cdr:y>0.16172</cdr:y>
    </cdr:to>
    <cdr:sp macro="" textlink="">
      <cdr:nvSpPr>
        <cdr:cNvPr id="3" name="Oval 2">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508000" y="361950"/>
          <a:ext cx="24765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6.xml><?xml version="1.0" encoding="utf-8"?>
<c:userShapes xmlns:c="http://schemas.openxmlformats.org/drawingml/2006/chart">
  <cdr:relSizeAnchor xmlns:cdr="http://schemas.openxmlformats.org/drawingml/2006/chartDrawing">
    <cdr:from>
      <cdr:x>0.35965</cdr:x>
      <cdr:y>0.43188</cdr:y>
    </cdr:from>
    <cdr:to>
      <cdr:x>0.64035</cdr:x>
      <cdr:y>0.56812</cdr:y>
    </cdr:to>
    <cdr:sp macro="" textlink="">
      <cdr:nvSpPr>
        <cdr:cNvPr id="2" name="TextBox 1">
          <a:extLst xmlns:a="http://schemas.openxmlformats.org/drawingml/2006/main">
            <a:ext uri="{FF2B5EF4-FFF2-40B4-BE49-F238E27FC236}">
              <a16:creationId xmlns:a16="http://schemas.microsoft.com/office/drawing/2014/main" id="{479EC068-91D2-155B-C21C-2DCCE6E8276C}"/>
            </a:ext>
          </a:extLst>
        </cdr:cNvPr>
        <cdr:cNvSpPr txBox="1"/>
      </cdr:nvSpPr>
      <cdr:spPr>
        <a:xfrm xmlns:a="http://schemas.openxmlformats.org/drawingml/2006/main">
          <a:off x="1171575" y="28987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37.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endParaRPr lang="en-US" sz="1400" b="1">
            <a:solidFill>
              <a:srgbClr val="0000FF"/>
            </a:solidFill>
          </a:endParaRPr>
        </a:p>
        <a:p xmlns:a="http://schemas.openxmlformats.org/drawingml/2006/main">
          <a:pPr algn="ctr"/>
          <a:r>
            <a:rPr lang="en-US" sz="1400" b="1">
              <a:solidFill>
                <a:srgbClr val="FF0000"/>
              </a:solidFill>
            </a:rPr>
            <a:t>22,634</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8.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830</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9.xml><?xml version="1.0" encoding="utf-8"?>
<c:userShapes xmlns:c="http://schemas.openxmlformats.org/drawingml/2006/chart">
  <cdr:relSizeAnchor xmlns:cdr="http://schemas.openxmlformats.org/drawingml/2006/chartDrawing">
    <cdr:from>
      <cdr:x>0.43756</cdr:x>
      <cdr:y>0.06346</cdr:y>
    </cdr:from>
    <cdr:to>
      <cdr:x>0.69777</cdr:x>
      <cdr:y>0.15046</cdr:y>
    </cdr:to>
    <cdr:sp macro="" textlink="">
      <cdr:nvSpPr>
        <cdr:cNvPr id="2"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435100" y="393700"/>
          <a:ext cx="853420"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xmlns:a="http://schemas.openxmlformats.org/drawingml/2006/main">
          <a:pPr algn="ctr"/>
          <a:r>
            <a:rPr lang="en-US" sz="1200" b="1">
              <a:solidFill>
                <a:srgbClr val="FF0000"/>
              </a:solidFill>
            </a:rPr>
            <a:t>1,018</a:t>
          </a:r>
        </a:p>
      </cdr:txBody>
    </cdr:sp>
  </cdr:relSizeAnchor>
  <cdr:relSizeAnchor xmlns:cdr="http://schemas.openxmlformats.org/drawingml/2006/chartDrawing">
    <cdr:from>
      <cdr:x>0.15489</cdr:x>
      <cdr:y>0.05834</cdr:y>
    </cdr:from>
    <cdr:to>
      <cdr:x>0.90997</cdr:x>
      <cdr:y>0.16172</cdr:y>
    </cdr:to>
    <cdr:sp macro="" textlink="">
      <cdr:nvSpPr>
        <cdr:cNvPr id="3" name="Oval 2">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508000" y="361950"/>
          <a:ext cx="24765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40.xml><?xml version="1.0" encoding="utf-8"?>
<c:userShapes xmlns:c="http://schemas.openxmlformats.org/drawingml/2006/chart">
  <cdr:relSizeAnchor xmlns:cdr="http://schemas.openxmlformats.org/drawingml/2006/chartDrawing">
    <cdr:from>
      <cdr:x>0.43756</cdr:x>
      <cdr:y>0.06346</cdr:y>
    </cdr:from>
    <cdr:to>
      <cdr:x>0.69777</cdr:x>
      <cdr:y>0.15046</cdr:y>
    </cdr:to>
    <cdr:sp macro="" textlink="">
      <cdr:nvSpPr>
        <cdr:cNvPr id="2"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435100" y="393700"/>
          <a:ext cx="853420"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xmlns:a="http://schemas.openxmlformats.org/drawingml/2006/main">
          <a:pPr algn="ctr"/>
          <a:r>
            <a:rPr lang="en-US" sz="1200" b="1">
              <a:solidFill>
                <a:srgbClr val="FF0000"/>
              </a:solidFill>
            </a:rPr>
            <a:t>1,060</a:t>
          </a:r>
        </a:p>
      </cdr:txBody>
    </cdr:sp>
  </cdr:relSizeAnchor>
  <cdr:relSizeAnchor xmlns:cdr="http://schemas.openxmlformats.org/drawingml/2006/chartDrawing">
    <cdr:from>
      <cdr:x>0.15489</cdr:x>
      <cdr:y>0.05834</cdr:y>
    </cdr:from>
    <cdr:to>
      <cdr:x>0.90997</cdr:x>
      <cdr:y>0.16172</cdr:y>
    </cdr:to>
    <cdr:sp macro="" textlink="">
      <cdr:nvSpPr>
        <cdr:cNvPr id="3" name="Oval 2">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508000" y="361950"/>
          <a:ext cx="24765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41.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_VND</a:t>
          </a:r>
          <a:endParaRPr lang="en-US" sz="1400" b="1">
            <a:solidFill>
              <a:srgbClr val="FF0000"/>
            </a:solidFill>
          </a:endParaRPr>
        </a:p>
        <a:p xmlns:a="http://schemas.openxmlformats.org/drawingml/2006/main">
          <a:pPr algn="ctr"/>
          <a:r>
            <a:rPr lang="en-US" sz="1400" b="1">
              <a:solidFill>
                <a:srgbClr val="FF0000"/>
              </a:solidFill>
            </a:rPr>
            <a:t>25.032</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42.xml><?xml version="1.0" encoding="utf-8"?>
<c:userShapes xmlns:c="http://schemas.openxmlformats.org/drawingml/2006/chart">
  <cdr:relSizeAnchor xmlns:cdr="http://schemas.openxmlformats.org/drawingml/2006/chartDrawing">
    <cdr:from>
      <cdr:x>0.35117</cdr:x>
      <cdr:y>0.06784</cdr:y>
    </cdr:from>
    <cdr:to>
      <cdr:x>0.7434</cdr:x>
      <cdr:y>0.14684</cdr:y>
    </cdr:to>
    <cdr:sp macro="" textlink="">
      <cdr:nvSpPr>
        <cdr:cNvPr id="2" name="TextBox 1">
          <a:extLst xmlns:a="http://schemas.openxmlformats.org/drawingml/2006/main">
            <a:ext uri="{FF2B5EF4-FFF2-40B4-BE49-F238E27FC236}">
              <a16:creationId xmlns:a16="http://schemas.microsoft.com/office/drawing/2014/main" id="{6CAD83D7-29F9-06C6-348D-587E9F1967E8}"/>
            </a:ext>
          </a:extLst>
        </cdr:cNvPr>
        <cdr:cNvSpPr txBox="1"/>
      </cdr:nvSpPr>
      <cdr:spPr>
        <a:xfrm xmlns:a="http://schemas.openxmlformats.org/drawingml/2006/main">
          <a:off x="1277472" y="533691"/>
          <a:ext cx="1426882" cy="6214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0000FF"/>
              </a:solidFill>
            </a:rPr>
            <a:t>GIÁ</a:t>
          </a:r>
          <a:r>
            <a:rPr lang="en-US" sz="1400" b="1" baseline="0">
              <a:solidFill>
                <a:srgbClr val="0000FF"/>
              </a:solidFill>
            </a:rPr>
            <a:t> THÀNH</a:t>
          </a:r>
          <a:r>
            <a:rPr lang="en-US" sz="1400" b="1" baseline="0">
              <a:solidFill>
                <a:srgbClr val="FF0000"/>
              </a:solidFill>
            </a:rPr>
            <a:t>_USD</a:t>
          </a:r>
          <a:endParaRPr lang="en-US" sz="1400" b="1">
            <a:solidFill>
              <a:srgbClr val="FF0000"/>
            </a:solidFill>
          </a:endParaRPr>
        </a:p>
        <a:p xmlns:a="http://schemas.openxmlformats.org/drawingml/2006/main">
          <a:pPr algn="ctr"/>
          <a:r>
            <a:rPr lang="en-US" sz="1400" b="1">
              <a:solidFill>
                <a:srgbClr val="FF0000"/>
              </a:solidFill>
            </a:rPr>
            <a:t>948</a:t>
          </a:r>
        </a:p>
      </cdr:txBody>
    </cdr:sp>
  </cdr:relSizeAnchor>
  <cdr:relSizeAnchor xmlns:cdr="http://schemas.openxmlformats.org/drawingml/2006/chartDrawing">
    <cdr:from>
      <cdr:x>0.14462</cdr:x>
      <cdr:y>0.06041</cdr:y>
    </cdr:from>
    <cdr:to>
      <cdr:x>0.91358</cdr:x>
      <cdr:y>0.15428</cdr:y>
    </cdr:to>
    <cdr:sp macro="" textlink="">
      <cdr:nvSpPr>
        <cdr:cNvPr id="3" name="Oval 2">
          <a:extLst xmlns:a="http://schemas.openxmlformats.org/drawingml/2006/main">
            <a:ext uri="{FF2B5EF4-FFF2-40B4-BE49-F238E27FC236}">
              <a16:creationId xmlns:a16="http://schemas.microsoft.com/office/drawing/2014/main" id="{C8CFD50F-A9E6-C1B2-7FBB-049969CB355F}"/>
            </a:ext>
          </a:extLst>
        </cdr:cNvPr>
        <cdr:cNvSpPr/>
      </cdr:nvSpPr>
      <cdr:spPr>
        <a:xfrm xmlns:a="http://schemas.openxmlformats.org/drawingml/2006/main">
          <a:off x="520700" y="412750"/>
          <a:ext cx="27686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43.xml><?xml version="1.0" encoding="utf-8"?>
<c:userShapes xmlns:c="http://schemas.openxmlformats.org/drawingml/2006/chart">
  <cdr:relSizeAnchor xmlns:cdr="http://schemas.openxmlformats.org/drawingml/2006/chartDrawing">
    <cdr:from>
      <cdr:x>0.43756</cdr:x>
      <cdr:y>0.06346</cdr:y>
    </cdr:from>
    <cdr:to>
      <cdr:x>0.69777</cdr:x>
      <cdr:y>0.15046</cdr:y>
    </cdr:to>
    <cdr:sp macro="" textlink="">
      <cdr:nvSpPr>
        <cdr:cNvPr id="2"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435100" y="393700"/>
          <a:ext cx="853420"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xmlns:a="http://schemas.openxmlformats.org/drawingml/2006/main">
          <a:pPr algn="ctr"/>
          <a:r>
            <a:rPr lang="en-US" sz="1200" b="1">
              <a:solidFill>
                <a:srgbClr val="FF0000"/>
              </a:solidFill>
            </a:rPr>
            <a:t>1,138</a:t>
          </a:r>
        </a:p>
      </cdr:txBody>
    </cdr:sp>
  </cdr:relSizeAnchor>
  <cdr:relSizeAnchor xmlns:cdr="http://schemas.openxmlformats.org/drawingml/2006/chartDrawing">
    <cdr:from>
      <cdr:x>0.15489</cdr:x>
      <cdr:y>0.05834</cdr:y>
    </cdr:from>
    <cdr:to>
      <cdr:x>0.90997</cdr:x>
      <cdr:y>0.16172</cdr:y>
    </cdr:to>
    <cdr:sp macro="" textlink="">
      <cdr:nvSpPr>
        <cdr:cNvPr id="3" name="Oval 2">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508000" y="361950"/>
          <a:ext cx="24765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44.xml><?xml version="1.0" encoding="utf-8"?>
<c:userShapes xmlns:c="http://schemas.openxmlformats.org/drawingml/2006/chart">
  <cdr:relSizeAnchor xmlns:cdr="http://schemas.openxmlformats.org/drawingml/2006/chartDrawing">
    <cdr:from>
      <cdr:x>0.43756</cdr:x>
      <cdr:y>0.06346</cdr:y>
    </cdr:from>
    <cdr:to>
      <cdr:x>0.69777</cdr:x>
      <cdr:y>0.15046</cdr:y>
    </cdr:to>
    <cdr:sp macro="" textlink="">
      <cdr:nvSpPr>
        <cdr:cNvPr id="2" name="TextBox 2">
          <a:extLst xmlns:a="http://schemas.openxmlformats.org/drawingml/2006/main">
            <a:ext uri="{FF2B5EF4-FFF2-40B4-BE49-F238E27FC236}">
              <a16:creationId xmlns:a16="http://schemas.microsoft.com/office/drawing/2014/main" id="{B37FDB62-FA9F-F6A0-9B04-EC7A1EB6F200}"/>
            </a:ext>
          </a:extLst>
        </cdr:cNvPr>
        <cdr:cNvSpPr txBox="1"/>
      </cdr:nvSpPr>
      <cdr:spPr>
        <a:xfrm xmlns:a="http://schemas.openxmlformats.org/drawingml/2006/main">
          <a:off x="1435100" y="393700"/>
          <a:ext cx="853420" cy="5397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1">
              <a:solidFill>
                <a:srgbClr val="0000FF"/>
              </a:solidFill>
            </a:rPr>
            <a:t>GIÁ</a:t>
          </a:r>
          <a:r>
            <a:rPr lang="en-US" sz="1200" b="1" baseline="0">
              <a:solidFill>
                <a:srgbClr val="0000FF"/>
              </a:solidFill>
            </a:rPr>
            <a:t> BÁN</a:t>
          </a:r>
          <a:endParaRPr lang="en-US" sz="1200" b="1">
            <a:solidFill>
              <a:srgbClr val="0000FF"/>
            </a:solidFill>
          </a:endParaRPr>
        </a:p>
        <a:p xmlns:a="http://schemas.openxmlformats.org/drawingml/2006/main">
          <a:pPr algn="ctr"/>
          <a:r>
            <a:rPr lang="en-US" sz="1200" b="1">
              <a:solidFill>
                <a:srgbClr val="FF0000"/>
              </a:solidFill>
            </a:rPr>
            <a:t>1,250</a:t>
          </a:r>
        </a:p>
      </cdr:txBody>
    </cdr:sp>
  </cdr:relSizeAnchor>
  <cdr:relSizeAnchor xmlns:cdr="http://schemas.openxmlformats.org/drawingml/2006/chartDrawing">
    <cdr:from>
      <cdr:x>0.15489</cdr:x>
      <cdr:y>0.05834</cdr:y>
    </cdr:from>
    <cdr:to>
      <cdr:x>0.90997</cdr:x>
      <cdr:y>0.16172</cdr:y>
    </cdr:to>
    <cdr:sp macro="" textlink="">
      <cdr:nvSpPr>
        <cdr:cNvPr id="3" name="Oval 2">
          <a:extLst xmlns:a="http://schemas.openxmlformats.org/drawingml/2006/main">
            <a:ext uri="{FF2B5EF4-FFF2-40B4-BE49-F238E27FC236}">
              <a16:creationId xmlns:a16="http://schemas.microsoft.com/office/drawing/2014/main" id="{61A97B66-04F9-4567-8609-5C9CD0A0D1D1}"/>
            </a:ext>
          </a:extLst>
        </cdr:cNvPr>
        <cdr:cNvSpPr/>
      </cdr:nvSpPr>
      <cdr:spPr>
        <a:xfrm xmlns:a="http://schemas.openxmlformats.org/drawingml/2006/main">
          <a:off x="508000" y="361950"/>
          <a:ext cx="2476500" cy="641351"/>
        </a:xfrm>
        <a:prstGeom xmlns:a="http://schemas.openxmlformats.org/drawingml/2006/main" prst="ellipse">
          <a:avLst/>
        </a:prstGeom>
        <a:noFill xmlns:a="http://schemas.openxmlformats.org/drawingml/2006/main"/>
        <a:ln xmlns:a="http://schemas.openxmlformats.org/drawingml/2006/main" w="12700">
          <a:solidFill>
            <a:schemeClr val="accent4">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45.xml><?xml version="1.0" encoding="utf-8"?>
<xdr:wsDr xmlns:xdr="http://schemas.openxmlformats.org/drawingml/2006/spreadsheetDrawing" xmlns:a="http://schemas.openxmlformats.org/drawingml/2006/main">
  <xdr:twoCellAnchor>
    <xdr:from>
      <xdr:col>2</xdr:col>
      <xdr:colOff>170089</xdr:colOff>
      <xdr:row>47</xdr:row>
      <xdr:rowOff>131352</xdr:rowOff>
    </xdr:from>
    <xdr:to>
      <xdr:col>35</xdr:col>
      <xdr:colOff>613929</xdr:colOff>
      <xdr:row>78</xdr:row>
      <xdr:rowOff>91168</xdr:rowOff>
    </xdr:to>
    <xdr:pic>
      <xdr:nvPicPr>
        <xdr:cNvPr id="2" name="Picture 345">
          <a:extLst>
            <a:ext uri="{FF2B5EF4-FFF2-40B4-BE49-F238E27FC236}">
              <a16:creationId xmlns:a16="http://schemas.microsoft.com/office/drawing/2014/main" id="{95A3368E-4A42-4564-92F3-AD29D7E0CF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3732" y="8975995"/>
          <a:ext cx="15475197" cy="55841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132777</xdr:colOff>
      <xdr:row>2</xdr:row>
      <xdr:rowOff>217711</xdr:rowOff>
    </xdr:from>
    <xdr:to>
      <xdr:col>23</xdr:col>
      <xdr:colOff>961571</xdr:colOff>
      <xdr:row>40</xdr:row>
      <xdr:rowOff>132564</xdr:rowOff>
    </xdr:to>
    <xdr:grpSp>
      <xdr:nvGrpSpPr>
        <xdr:cNvPr id="499" name="Group 498">
          <a:extLst>
            <a:ext uri="{FF2B5EF4-FFF2-40B4-BE49-F238E27FC236}">
              <a16:creationId xmlns:a16="http://schemas.microsoft.com/office/drawing/2014/main" id="{CC68F57B-71D8-4999-91B5-766A14E4C7AB}"/>
            </a:ext>
          </a:extLst>
        </xdr:cNvPr>
        <xdr:cNvGrpSpPr/>
      </xdr:nvGrpSpPr>
      <xdr:grpSpPr>
        <a:xfrm>
          <a:off x="132777" y="611411"/>
          <a:ext cx="14824194" cy="7179253"/>
          <a:chOff x="301662" y="4281096"/>
          <a:chExt cx="16543020" cy="8351083"/>
        </a:xfrm>
      </xdr:grpSpPr>
      <xdr:sp macro="" textlink="">
        <xdr:nvSpPr>
          <xdr:cNvPr id="500" name="Rectangle: Rounded Corners 499">
            <a:extLst>
              <a:ext uri="{FF2B5EF4-FFF2-40B4-BE49-F238E27FC236}">
                <a16:creationId xmlns:a16="http://schemas.microsoft.com/office/drawing/2014/main" id="{60C08FFF-A8EC-FC83-8115-BD1FA9BFA14D}"/>
              </a:ext>
            </a:extLst>
          </xdr:cNvPr>
          <xdr:cNvSpPr/>
        </xdr:nvSpPr>
        <xdr:spPr>
          <a:xfrm>
            <a:off x="301662" y="4398799"/>
            <a:ext cx="829236" cy="366209"/>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B0</a:t>
            </a:r>
          </a:p>
        </xdr:txBody>
      </xdr:sp>
      <xdr:sp macro="" textlink="">
        <xdr:nvSpPr>
          <xdr:cNvPr id="501" name="Rectangle: Rounded Corners 500">
            <a:extLst>
              <a:ext uri="{FF2B5EF4-FFF2-40B4-BE49-F238E27FC236}">
                <a16:creationId xmlns:a16="http://schemas.microsoft.com/office/drawing/2014/main" id="{98B88903-62D0-D04A-1914-4DFFFE462D17}"/>
              </a:ext>
            </a:extLst>
          </xdr:cNvPr>
          <xdr:cNvSpPr/>
        </xdr:nvSpPr>
        <xdr:spPr>
          <a:xfrm>
            <a:off x="3173511" y="4325917"/>
            <a:ext cx="101166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B6.2</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2" name="Rectangle: Rounded Corners 501">
            <a:extLst>
              <a:ext uri="{FF2B5EF4-FFF2-40B4-BE49-F238E27FC236}">
                <a16:creationId xmlns:a16="http://schemas.microsoft.com/office/drawing/2014/main" id="{C2FD26DB-F36E-942E-2428-F93CF7C1679D}"/>
              </a:ext>
            </a:extLst>
          </xdr:cNvPr>
          <xdr:cNvSpPr/>
        </xdr:nvSpPr>
        <xdr:spPr>
          <a:xfrm>
            <a:off x="3173511" y="662239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B1.1 </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3" name="Rectangle: Rounded Corners 502">
            <a:extLst>
              <a:ext uri="{FF2B5EF4-FFF2-40B4-BE49-F238E27FC236}">
                <a16:creationId xmlns:a16="http://schemas.microsoft.com/office/drawing/2014/main" id="{80AB1BAF-64B7-1322-C170-55C4CCE40A4C}"/>
              </a:ext>
            </a:extLst>
          </xdr:cNvPr>
          <xdr:cNvSpPr/>
        </xdr:nvSpPr>
        <xdr:spPr>
          <a:xfrm>
            <a:off x="1588098" y="4398798"/>
            <a:ext cx="835062"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Phân</a:t>
            </a:r>
            <a:r>
              <a:rPr lang="en-US" sz="1100" b="1" baseline="0">
                <a:solidFill>
                  <a:schemeClr val="bg1"/>
                </a:solidFill>
              </a:rPr>
              <a:t> loại</a:t>
            </a:r>
            <a:endParaRPr lang="en-US" sz="1100" b="1">
              <a:solidFill>
                <a:schemeClr val="bg1"/>
              </a:solidFill>
            </a:endParaRPr>
          </a:p>
        </xdr:txBody>
      </xdr:sp>
      <xdr:sp macro="" textlink="">
        <xdr:nvSpPr>
          <xdr:cNvPr id="504" name="Rectangle: Rounded Corners 503">
            <a:extLst>
              <a:ext uri="{FF2B5EF4-FFF2-40B4-BE49-F238E27FC236}">
                <a16:creationId xmlns:a16="http://schemas.microsoft.com/office/drawing/2014/main" id="{B2B629A7-0210-77C3-DC22-C42216E22B38}"/>
              </a:ext>
            </a:extLst>
          </xdr:cNvPr>
          <xdr:cNvSpPr/>
        </xdr:nvSpPr>
        <xdr:spPr>
          <a:xfrm>
            <a:off x="3173511" y="7446632"/>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Phó</a:t>
            </a:r>
            <a:r>
              <a:rPr lang="en-US" sz="1100" baseline="0">
                <a:solidFill>
                  <a:sysClr val="windowText" lastClr="000000"/>
                </a:solidFill>
              </a:rPr>
              <a:t> sản + Hao hụt </a:t>
            </a:r>
            <a:endParaRPr lang="en-US" sz="1100">
              <a:solidFill>
                <a:sysClr val="windowText" lastClr="000000"/>
              </a:solidFill>
            </a:endParaRPr>
          </a:p>
        </xdr:txBody>
      </xdr:sp>
      <xdr:sp macro="" textlink="">
        <xdr:nvSpPr>
          <xdr:cNvPr id="505" name="Rectangle: Rounded Corners 504">
            <a:extLst>
              <a:ext uri="{FF2B5EF4-FFF2-40B4-BE49-F238E27FC236}">
                <a16:creationId xmlns:a16="http://schemas.microsoft.com/office/drawing/2014/main" id="{7A209C2E-D08A-03B5-285B-83C5D2011D86}"/>
              </a:ext>
            </a:extLst>
          </xdr:cNvPr>
          <xdr:cNvSpPr/>
        </xdr:nvSpPr>
        <xdr:spPr>
          <a:xfrm>
            <a:off x="5505674" y="4294095"/>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B6.2.A0</a:t>
            </a:r>
          </a:p>
          <a:p>
            <a:pPr algn="ctr"/>
            <a:r>
              <a:rPr lang="en-US" sz="1100">
                <a:solidFill>
                  <a:sysClr val="windowText" lastClr="000000"/>
                </a:solidFill>
              </a:rPr>
              <a:t>chưa rửa</a:t>
            </a:r>
          </a:p>
        </xdr:txBody>
      </xdr:sp>
      <xdr:sp macro="" textlink="">
        <xdr:nvSpPr>
          <xdr:cNvPr id="506" name="Rectangle: Rounded Corners 505">
            <a:extLst>
              <a:ext uri="{FF2B5EF4-FFF2-40B4-BE49-F238E27FC236}">
                <a16:creationId xmlns:a16="http://schemas.microsoft.com/office/drawing/2014/main" id="{0793C6EB-5C39-A992-CC23-4572D31F17BE}"/>
              </a:ext>
            </a:extLst>
          </xdr:cNvPr>
          <xdr:cNvSpPr/>
        </xdr:nvSpPr>
        <xdr:spPr>
          <a:xfrm>
            <a:off x="4432151" y="439879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07" name="Rectangle: Rounded Corners 506">
            <a:extLst>
              <a:ext uri="{FF2B5EF4-FFF2-40B4-BE49-F238E27FC236}">
                <a16:creationId xmlns:a16="http://schemas.microsoft.com/office/drawing/2014/main" id="{174A2B02-B6B4-E7AE-B3D5-A1E31AEF5C42}"/>
              </a:ext>
            </a:extLst>
          </xdr:cNvPr>
          <xdr:cNvSpPr/>
        </xdr:nvSpPr>
        <xdr:spPr>
          <a:xfrm>
            <a:off x="6784938" y="4398798"/>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sp macro="" textlink="">
        <xdr:nvSpPr>
          <xdr:cNvPr id="508" name="Rectangle: Rounded Corners 507">
            <a:extLst>
              <a:ext uri="{FF2B5EF4-FFF2-40B4-BE49-F238E27FC236}">
                <a16:creationId xmlns:a16="http://schemas.microsoft.com/office/drawing/2014/main" id="{ADB46D72-85B9-3A37-F589-6D710B69A008}"/>
              </a:ext>
            </a:extLst>
          </xdr:cNvPr>
          <xdr:cNvSpPr/>
        </xdr:nvSpPr>
        <xdr:spPr>
          <a:xfrm>
            <a:off x="7988001" y="428109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t>
            </a:r>
          </a:p>
          <a:p>
            <a:pPr algn="ctr"/>
            <a:r>
              <a:rPr lang="en-US" sz="1100">
                <a:solidFill>
                  <a:sysClr val="windowText" lastClr="000000"/>
                </a:solidFill>
              </a:rPr>
              <a:t>sau rửa</a:t>
            </a:r>
          </a:p>
        </xdr:txBody>
      </xdr:sp>
      <xdr:sp macro="" textlink="">
        <xdr:nvSpPr>
          <xdr:cNvPr id="509" name="Rectangle: Rounded Corners 508">
            <a:extLst>
              <a:ext uri="{FF2B5EF4-FFF2-40B4-BE49-F238E27FC236}">
                <a16:creationId xmlns:a16="http://schemas.microsoft.com/office/drawing/2014/main" id="{F7D51502-956C-48C2-96F9-49D6BE9C9DE7}"/>
              </a:ext>
            </a:extLst>
          </xdr:cNvPr>
          <xdr:cNvSpPr/>
        </xdr:nvSpPr>
        <xdr:spPr>
          <a:xfrm>
            <a:off x="9244405" y="439879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10" name="Rectangle: Rounded Corners 509">
            <a:extLst>
              <a:ext uri="{FF2B5EF4-FFF2-40B4-BE49-F238E27FC236}">
                <a16:creationId xmlns:a16="http://schemas.microsoft.com/office/drawing/2014/main" id="{EDB469C2-C343-CE88-AFFB-B1512366769A}"/>
              </a:ext>
            </a:extLst>
          </xdr:cNvPr>
          <xdr:cNvSpPr/>
        </xdr:nvSpPr>
        <xdr:spPr>
          <a:xfrm>
            <a:off x="10347226" y="434384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11" name="Straight Connector 510">
            <a:extLst>
              <a:ext uri="{FF2B5EF4-FFF2-40B4-BE49-F238E27FC236}">
                <a16:creationId xmlns:a16="http://schemas.microsoft.com/office/drawing/2014/main" id="{50A56190-11CA-F5B3-948C-9B08F4FDB8B1}"/>
              </a:ext>
            </a:extLst>
          </xdr:cNvPr>
          <xdr:cNvCxnSpPr>
            <a:stCxn id="500" idx="3"/>
            <a:endCxn id="503" idx="1"/>
          </xdr:cNvCxnSpPr>
        </xdr:nvCxnSpPr>
        <xdr:spPr>
          <a:xfrm>
            <a:off x="1130898" y="4581903"/>
            <a:ext cx="457200" cy="0"/>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2" name="Straight Connector 511">
            <a:extLst>
              <a:ext uri="{FF2B5EF4-FFF2-40B4-BE49-F238E27FC236}">
                <a16:creationId xmlns:a16="http://schemas.microsoft.com/office/drawing/2014/main" id="{8CF047A5-BE96-E30D-B271-C6BFF5B09B9E}"/>
              </a:ext>
            </a:extLst>
          </xdr:cNvPr>
          <xdr:cNvCxnSpPr>
            <a:stCxn id="503" idx="3"/>
            <a:endCxn id="501" idx="1"/>
          </xdr:cNvCxnSpPr>
        </xdr:nvCxnSpPr>
        <xdr:spPr>
          <a:xfrm>
            <a:off x="2423160" y="4581902"/>
            <a:ext cx="750351" cy="9506"/>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3" name="Straight Connector 512">
            <a:extLst>
              <a:ext uri="{FF2B5EF4-FFF2-40B4-BE49-F238E27FC236}">
                <a16:creationId xmlns:a16="http://schemas.microsoft.com/office/drawing/2014/main" id="{74EE135F-2C27-BB70-9D9D-F6D22E6E8718}"/>
              </a:ext>
            </a:extLst>
          </xdr:cNvPr>
          <xdr:cNvCxnSpPr>
            <a:stCxn id="501" idx="3"/>
            <a:endCxn id="506" idx="1"/>
          </xdr:cNvCxnSpPr>
        </xdr:nvCxnSpPr>
        <xdr:spPr>
          <a:xfrm flipV="1">
            <a:off x="4185178" y="4581902"/>
            <a:ext cx="246973" cy="950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4" name="Straight Connector 513">
            <a:extLst>
              <a:ext uri="{FF2B5EF4-FFF2-40B4-BE49-F238E27FC236}">
                <a16:creationId xmlns:a16="http://schemas.microsoft.com/office/drawing/2014/main" id="{841502F8-DF8C-8D51-B460-CCBAE927A5C9}"/>
              </a:ext>
            </a:extLst>
          </xdr:cNvPr>
          <xdr:cNvCxnSpPr>
            <a:stCxn id="506" idx="3"/>
            <a:endCxn id="505" idx="1"/>
          </xdr:cNvCxnSpPr>
        </xdr:nvCxnSpPr>
        <xdr:spPr>
          <a:xfrm>
            <a:off x="5260938" y="4581903"/>
            <a:ext cx="244736" cy="6907"/>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5" name="Straight Connector 514">
            <a:extLst>
              <a:ext uri="{FF2B5EF4-FFF2-40B4-BE49-F238E27FC236}">
                <a16:creationId xmlns:a16="http://schemas.microsoft.com/office/drawing/2014/main" id="{C9B62228-A173-1B05-20CE-B6AE9E52D4B8}"/>
              </a:ext>
            </a:extLst>
          </xdr:cNvPr>
          <xdr:cNvCxnSpPr>
            <a:stCxn id="505" idx="3"/>
            <a:endCxn id="507" idx="1"/>
          </xdr:cNvCxnSpPr>
        </xdr:nvCxnSpPr>
        <xdr:spPr>
          <a:xfrm flipV="1">
            <a:off x="6518238" y="4581903"/>
            <a:ext cx="266700"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6" name="Straight Connector 515">
            <a:extLst>
              <a:ext uri="{FF2B5EF4-FFF2-40B4-BE49-F238E27FC236}">
                <a16:creationId xmlns:a16="http://schemas.microsoft.com/office/drawing/2014/main" id="{DB54FCCF-D953-F377-64A9-76FAC28DB0D1}"/>
              </a:ext>
            </a:extLst>
          </xdr:cNvPr>
          <xdr:cNvCxnSpPr>
            <a:stCxn id="507" idx="3"/>
            <a:endCxn id="508" idx="1"/>
          </xdr:cNvCxnSpPr>
        </xdr:nvCxnSpPr>
        <xdr:spPr>
          <a:xfrm flipV="1">
            <a:off x="7614621" y="4578949"/>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7" name="Straight Connector 516">
            <a:extLst>
              <a:ext uri="{FF2B5EF4-FFF2-40B4-BE49-F238E27FC236}">
                <a16:creationId xmlns:a16="http://schemas.microsoft.com/office/drawing/2014/main" id="{EF7775F3-C895-CB40-3E8A-6258F6F0209A}"/>
              </a:ext>
            </a:extLst>
          </xdr:cNvPr>
          <xdr:cNvCxnSpPr>
            <a:stCxn id="508" idx="3"/>
            <a:endCxn id="509" idx="1"/>
          </xdr:cNvCxnSpPr>
        </xdr:nvCxnSpPr>
        <xdr:spPr>
          <a:xfrm>
            <a:off x="9000565" y="4578949"/>
            <a:ext cx="243840"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8" name="Straight Connector 517">
            <a:extLst>
              <a:ext uri="{FF2B5EF4-FFF2-40B4-BE49-F238E27FC236}">
                <a16:creationId xmlns:a16="http://schemas.microsoft.com/office/drawing/2014/main" id="{EAC3253C-ACD4-8BF7-9502-9768F409BAE8}"/>
              </a:ext>
            </a:extLst>
          </xdr:cNvPr>
          <xdr:cNvCxnSpPr>
            <a:stCxn id="509" idx="3"/>
            <a:endCxn id="510" idx="1"/>
          </xdr:cNvCxnSpPr>
        </xdr:nvCxnSpPr>
        <xdr:spPr>
          <a:xfrm flipV="1">
            <a:off x="10074985" y="4581902"/>
            <a:ext cx="272241" cy="1"/>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9" name="Connector: Elbow 518">
            <a:extLst>
              <a:ext uri="{FF2B5EF4-FFF2-40B4-BE49-F238E27FC236}">
                <a16:creationId xmlns:a16="http://schemas.microsoft.com/office/drawing/2014/main" id="{81866944-4304-E17B-9023-A1D0EC252B1E}"/>
              </a:ext>
            </a:extLst>
          </xdr:cNvPr>
          <xdr:cNvCxnSpPr>
            <a:stCxn id="503" idx="3"/>
            <a:endCxn id="502" idx="1"/>
          </xdr:cNvCxnSpPr>
        </xdr:nvCxnSpPr>
        <xdr:spPr>
          <a:xfrm>
            <a:off x="2423160" y="4581902"/>
            <a:ext cx="750351" cy="230598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cxnSp macro="">
        <xdr:nvCxnSpPr>
          <xdr:cNvPr id="520" name="Connector: Elbow 519">
            <a:extLst>
              <a:ext uri="{FF2B5EF4-FFF2-40B4-BE49-F238E27FC236}">
                <a16:creationId xmlns:a16="http://schemas.microsoft.com/office/drawing/2014/main" id="{611C69CD-09C4-18D0-E83A-F59A1AAD6303}"/>
              </a:ext>
            </a:extLst>
          </xdr:cNvPr>
          <xdr:cNvCxnSpPr>
            <a:stCxn id="503" idx="3"/>
            <a:endCxn id="504" idx="1"/>
          </xdr:cNvCxnSpPr>
        </xdr:nvCxnSpPr>
        <xdr:spPr>
          <a:xfrm>
            <a:off x="2423160" y="4581902"/>
            <a:ext cx="750351" cy="3130221"/>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21" name="TextBox 520">
            <a:extLst>
              <a:ext uri="{FF2B5EF4-FFF2-40B4-BE49-F238E27FC236}">
                <a16:creationId xmlns:a16="http://schemas.microsoft.com/office/drawing/2014/main" id="{BD79B15A-8C1B-C8F3-F10C-66961B7149A4}"/>
              </a:ext>
            </a:extLst>
          </xdr:cNvPr>
          <xdr:cNvSpPr txBox="1"/>
        </xdr:nvSpPr>
        <xdr:spPr>
          <a:xfrm>
            <a:off x="2671484" y="4347882"/>
            <a:ext cx="501244"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p>
        </xdr:txBody>
      </xdr:sp>
      <xdr:sp macro="" textlink="">
        <xdr:nvSpPr>
          <xdr:cNvPr id="522" name="TextBox 521">
            <a:extLst>
              <a:ext uri="{FF2B5EF4-FFF2-40B4-BE49-F238E27FC236}">
                <a16:creationId xmlns:a16="http://schemas.microsoft.com/office/drawing/2014/main" id="{7E2362B4-7BEB-B3C0-DB1C-C82C321C4FE6}"/>
              </a:ext>
            </a:extLst>
          </xdr:cNvPr>
          <xdr:cNvSpPr txBox="1"/>
        </xdr:nvSpPr>
        <xdr:spPr>
          <a:xfrm>
            <a:off x="2774646" y="6632602"/>
            <a:ext cx="430502"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53%</a:t>
            </a:r>
          </a:p>
        </xdr:txBody>
      </xdr:sp>
      <xdr:sp macro="" textlink="">
        <xdr:nvSpPr>
          <xdr:cNvPr id="523" name="TextBox 522">
            <a:extLst>
              <a:ext uri="{FF2B5EF4-FFF2-40B4-BE49-F238E27FC236}">
                <a16:creationId xmlns:a16="http://schemas.microsoft.com/office/drawing/2014/main" id="{8F4106A2-72B8-11F9-F022-6880EF88CD33}"/>
              </a:ext>
            </a:extLst>
          </xdr:cNvPr>
          <xdr:cNvSpPr txBox="1"/>
        </xdr:nvSpPr>
        <xdr:spPr>
          <a:xfrm>
            <a:off x="2763754" y="7451994"/>
            <a:ext cx="42851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p>
        </xdr:txBody>
      </xdr:sp>
      <xdr:cxnSp macro="">
        <xdr:nvCxnSpPr>
          <xdr:cNvPr id="524" name="Connector: Elbow 523">
            <a:extLst>
              <a:ext uri="{FF2B5EF4-FFF2-40B4-BE49-F238E27FC236}">
                <a16:creationId xmlns:a16="http://schemas.microsoft.com/office/drawing/2014/main" id="{6E772324-1524-2DBA-9D37-61A76B51FAC1}"/>
              </a:ext>
            </a:extLst>
          </xdr:cNvPr>
          <xdr:cNvCxnSpPr>
            <a:stCxn id="505" idx="2"/>
            <a:endCxn id="525" idx="1"/>
          </xdr:cNvCxnSpPr>
        </xdr:nvCxnSpPr>
        <xdr:spPr>
          <a:xfrm rot="16200000" flipH="1">
            <a:off x="6000164" y="4895316"/>
            <a:ext cx="37656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5" name="TextBox 524">
            <a:extLst>
              <a:ext uri="{FF2B5EF4-FFF2-40B4-BE49-F238E27FC236}">
                <a16:creationId xmlns:a16="http://schemas.microsoft.com/office/drawing/2014/main" id="{F1FD2E95-CEDC-CAF9-BF1C-DE7855887DAE}"/>
              </a:ext>
            </a:extLst>
          </xdr:cNvPr>
          <xdr:cNvSpPr txBox="1"/>
        </xdr:nvSpPr>
        <xdr:spPr>
          <a:xfrm>
            <a:off x="6364941" y="5127813"/>
            <a:ext cx="13308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78.6% </a:t>
            </a:r>
            <a:r>
              <a:rPr lang="en-US" sz="1100"/>
              <a:t>Vảy</a:t>
            </a:r>
            <a:r>
              <a:rPr lang="en-US" sz="1100" baseline="0"/>
              <a:t> chưa rửa</a:t>
            </a:r>
            <a:endParaRPr lang="en-US" sz="1100"/>
          </a:p>
        </xdr:txBody>
      </xdr:sp>
      <xdr:cxnSp macro="">
        <xdr:nvCxnSpPr>
          <xdr:cNvPr id="526" name="Connector: Elbow 525">
            <a:extLst>
              <a:ext uri="{FF2B5EF4-FFF2-40B4-BE49-F238E27FC236}">
                <a16:creationId xmlns:a16="http://schemas.microsoft.com/office/drawing/2014/main" id="{E4C8DCA7-F255-1F47-E7AB-5A8B1412F08E}"/>
              </a:ext>
            </a:extLst>
          </xdr:cNvPr>
          <xdr:cNvCxnSpPr>
            <a:stCxn id="505" idx="2"/>
            <a:endCxn id="527" idx="1"/>
          </xdr:cNvCxnSpPr>
        </xdr:nvCxnSpPr>
        <xdr:spPr>
          <a:xfrm rot="16200000" flipH="1">
            <a:off x="5856728" y="5038752"/>
            <a:ext cx="6634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7" name="TextBox 526">
            <a:extLst>
              <a:ext uri="{FF2B5EF4-FFF2-40B4-BE49-F238E27FC236}">
                <a16:creationId xmlns:a16="http://schemas.microsoft.com/office/drawing/2014/main" id="{64956333-846F-750A-398E-5A594518A28D}"/>
              </a:ext>
            </a:extLst>
          </xdr:cNvPr>
          <xdr:cNvSpPr txBox="1"/>
        </xdr:nvSpPr>
        <xdr:spPr>
          <a:xfrm>
            <a:off x="6364941" y="5414685"/>
            <a:ext cx="9448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13.2% </a:t>
            </a:r>
            <a:r>
              <a:rPr lang="en-US" sz="1100"/>
              <a:t>Olefin</a:t>
            </a:r>
          </a:p>
        </xdr:txBody>
      </xdr:sp>
      <xdr:sp macro="" textlink="">
        <xdr:nvSpPr>
          <xdr:cNvPr id="528" name="TextBox 527">
            <a:extLst>
              <a:ext uri="{FF2B5EF4-FFF2-40B4-BE49-F238E27FC236}">
                <a16:creationId xmlns:a16="http://schemas.microsoft.com/office/drawing/2014/main" id="{02B3B25F-59E3-B0B3-6622-17CA0E904FE6}"/>
              </a:ext>
            </a:extLst>
          </xdr:cNvPr>
          <xdr:cNvSpPr txBox="1"/>
        </xdr:nvSpPr>
        <xdr:spPr>
          <a:xfrm>
            <a:off x="6364941" y="5643285"/>
            <a:ext cx="9509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1.8% </a:t>
            </a:r>
            <a:r>
              <a:rPr lang="en-US" sz="1100"/>
              <a:t>Bụi</a:t>
            </a:r>
            <a:r>
              <a:rPr lang="en-US" sz="1100" baseline="0"/>
              <a:t> cám</a:t>
            </a:r>
            <a:endParaRPr lang="en-US" sz="1100"/>
          </a:p>
        </xdr:txBody>
      </xdr:sp>
      <xdr:sp macro="" textlink="">
        <xdr:nvSpPr>
          <xdr:cNvPr id="529" name="TextBox 528">
            <a:extLst>
              <a:ext uri="{FF2B5EF4-FFF2-40B4-BE49-F238E27FC236}">
                <a16:creationId xmlns:a16="http://schemas.microsoft.com/office/drawing/2014/main" id="{139DF009-74F0-B928-D89A-549D85050551}"/>
              </a:ext>
            </a:extLst>
          </xdr:cNvPr>
          <xdr:cNvSpPr txBox="1"/>
        </xdr:nvSpPr>
        <xdr:spPr>
          <a:xfrm>
            <a:off x="63649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4.9% </a:t>
            </a:r>
            <a:r>
              <a:rPr lang="en-US" sz="1100"/>
              <a:t>Hao</a:t>
            </a:r>
            <a:r>
              <a:rPr lang="en-US" sz="1100" baseline="0"/>
              <a:t> hụt</a:t>
            </a:r>
            <a:endParaRPr lang="en-US" sz="1100"/>
          </a:p>
        </xdr:txBody>
      </xdr:sp>
      <xdr:sp macro="" textlink="">
        <xdr:nvSpPr>
          <xdr:cNvPr id="530" name="TextBox 529">
            <a:extLst>
              <a:ext uri="{FF2B5EF4-FFF2-40B4-BE49-F238E27FC236}">
                <a16:creationId xmlns:a16="http://schemas.microsoft.com/office/drawing/2014/main" id="{BF6B0F86-997A-8C20-DE70-2623E23A7035}"/>
              </a:ext>
            </a:extLst>
          </xdr:cNvPr>
          <xdr:cNvSpPr txBox="1"/>
        </xdr:nvSpPr>
        <xdr:spPr>
          <a:xfrm>
            <a:off x="6364941" y="5876368"/>
            <a:ext cx="12434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1.5% </a:t>
            </a:r>
            <a:r>
              <a:rPr lang="en-US" sz="1100"/>
              <a:t>Phó</a:t>
            </a:r>
            <a:r>
              <a:rPr lang="en-US" sz="1100" baseline="0"/>
              <a:t> sản khác</a:t>
            </a:r>
            <a:endParaRPr lang="en-US" sz="1100"/>
          </a:p>
        </xdr:txBody>
      </xdr:sp>
      <xdr:cxnSp macro="">
        <xdr:nvCxnSpPr>
          <xdr:cNvPr id="531" name="Connector: Elbow 530">
            <a:extLst>
              <a:ext uri="{FF2B5EF4-FFF2-40B4-BE49-F238E27FC236}">
                <a16:creationId xmlns:a16="http://schemas.microsoft.com/office/drawing/2014/main" id="{CDE8AA0C-4F7B-0511-627C-BAFAA50C90DC}"/>
              </a:ext>
            </a:extLst>
          </xdr:cNvPr>
          <xdr:cNvCxnSpPr>
            <a:stCxn id="505" idx="2"/>
            <a:endCxn id="528" idx="1"/>
          </xdr:cNvCxnSpPr>
        </xdr:nvCxnSpPr>
        <xdr:spPr>
          <a:xfrm rot="16200000" flipH="1">
            <a:off x="5742428" y="5153052"/>
            <a:ext cx="8920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2" name="Connector: Elbow 531">
            <a:extLst>
              <a:ext uri="{FF2B5EF4-FFF2-40B4-BE49-F238E27FC236}">
                <a16:creationId xmlns:a16="http://schemas.microsoft.com/office/drawing/2014/main" id="{870BCDB0-EADC-FE62-569A-BD3071828FDC}"/>
              </a:ext>
            </a:extLst>
          </xdr:cNvPr>
          <xdr:cNvCxnSpPr>
            <a:stCxn id="505" idx="2"/>
            <a:endCxn id="530" idx="1"/>
          </xdr:cNvCxnSpPr>
        </xdr:nvCxnSpPr>
        <xdr:spPr>
          <a:xfrm rot="16200000" flipH="1">
            <a:off x="5625887" y="5269593"/>
            <a:ext cx="1125123"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3" name="Connector: Elbow 532">
            <a:extLst>
              <a:ext uri="{FF2B5EF4-FFF2-40B4-BE49-F238E27FC236}">
                <a16:creationId xmlns:a16="http://schemas.microsoft.com/office/drawing/2014/main" id="{72A0C9B1-009D-6F82-F614-3BEB31F53228}"/>
              </a:ext>
            </a:extLst>
          </xdr:cNvPr>
          <xdr:cNvCxnSpPr>
            <a:stCxn id="505" idx="2"/>
            <a:endCxn id="529" idx="1"/>
          </xdr:cNvCxnSpPr>
        </xdr:nvCxnSpPr>
        <xdr:spPr>
          <a:xfrm rot="16200000" flipH="1">
            <a:off x="5516069" y="5379411"/>
            <a:ext cx="134475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4" name="Connector: Elbow 533">
            <a:extLst>
              <a:ext uri="{FF2B5EF4-FFF2-40B4-BE49-F238E27FC236}">
                <a16:creationId xmlns:a16="http://schemas.microsoft.com/office/drawing/2014/main" id="{9199ABF9-2C2E-1A72-6BC4-DA480CB6E9AA}"/>
              </a:ext>
            </a:extLst>
          </xdr:cNvPr>
          <xdr:cNvCxnSpPr>
            <a:stCxn id="508" idx="2"/>
            <a:endCxn id="535" idx="1"/>
          </xdr:cNvCxnSpPr>
        </xdr:nvCxnSpPr>
        <xdr:spPr>
          <a:xfrm rot="16200000" flipH="1">
            <a:off x="8457166" y="4913918"/>
            <a:ext cx="38329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35" name="TextBox 534">
            <a:extLst>
              <a:ext uri="{FF2B5EF4-FFF2-40B4-BE49-F238E27FC236}">
                <a16:creationId xmlns:a16="http://schemas.microsoft.com/office/drawing/2014/main" id="{F0296F41-59C3-B610-098D-E06590741EF5}"/>
              </a:ext>
            </a:extLst>
          </xdr:cNvPr>
          <xdr:cNvSpPr txBox="1"/>
        </xdr:nvSpPr>
        <xdr:spPr>
          <a:xfrm>
            <a:off x="8803341" y="5127813"/>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88.3% </a:t>
            </a:r>
            <a:r>
              <a:rPr lang="en-US" sz="1100"/>
              <a:t>Vảy</a:t>
            </a:r>
            <a:r>
              <a:rPr lang="en-US" sz="1100" baseline="0"/>
              <a:t> sạch</a:t>
            </a:r>
            <a:endParaRPr lang="en-US" sz="1100"/>
          </a:p>
        </xdr:txBody>
      </xdr:sp>
      <xdr:sp macro="" textlink="">
        <xdr:nvSpPr>
          <xdr:cNvPr id="536" name="TextBox 535">
            <a:extLst>
              <a:ext uri="{FF2B5EF4-FFF2-40B4-BE49-F238E27FC236}">
                <a16:creationId xmlns:a16="http://schemas.microsoft.com/office/drawing/2014/main" id="{D450C7F8-1784-A780-923E-DFBC741053E3}"/>
              </a:ext>
            </a:extLst>
          </xdr:cNvPr>
          <xdr:cNvSpPr txBox="1"/>
        </xdr:nvSpPr>
        <xdr:spPr>
          <a:xfrm>
            <a:off x="8803341" y="5414685"/>
            <a:ext cx="8685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2.1% </a:t>
            </a:r>
            <a:r>
              <a:rPr lang="en-US" sz="1100"/>
              <a:t>Tomra</a:t>
            </a:r>
          </a:p>
        </xdr:txBody>
      </xdr:sp>
      <xdr:sp macro="" textlink="">
        <xdr:nvSpPr>
          <xdr:cNvPr id="537" name="TextBox 536">
            <a:extLst>
              <a:ext uri="{FF2B5EF4-FFF2-40B4-BE49-F238E27FC236}">
                <a16:creationId xmlns:a16="http://schemas.microsoft.com/office/drawing/2014/main" id="{04EE706A-ADF2-3017-3E64-5EF8B3131492}"/>
              </a:ext>
            </a:extLst>
          </xdr:cNvPr>
          <xdr:cNvSpPr txBox="1"/>
        </xdr:nvSpPr>
        <xdr:spPr>
          <a:xfrm>
            <a:off x="8803341" y="5643285"/>
            <a:ext cx="12036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2.6% </a:t>
            </a:r>
            <a:r>
              <a:rPr lang="en-US" sz="1100"/>
              <a:t>Bụi</a:t>
            </a:r>
            <a:r>
              <a:rPr lang="en-US" sz="1100" baseline="0"/>
              <a:t> sàn rung</a:t>
            </a:r>
            <a:endParaRPr lang="en-US" sz="1100"/>
          </a:p>
        </xdr:txBody>
      </xdr:sp>
      <xdr:sp macro="" textlink="">
        <xdr:nvSpPr>
          <xdr:cNvPr id="538" name="TextBox 537">
            <a:extLst>
              <a:ext uri="{FF2B5EF4-FFF2-40B4-BE49-F238E27FC236}">
                <a16:creationId xmlns:a16="http://schemas.microsoft.com/office/drawing/2014/main" id="{25BF01EA-0DD2-7CCB-807A-B2F83D6487E7}"/>
              </a:ext>
            </a:extLst>
          </xdr:cNvPr>
          <xdr:cNvSpPr txBox="1"/>
        </xdr:nvSpPr>
        <xdr:spPr>
          <a:xfrm>
            <a:off x="8803341" y="5876368"/>
            <a:ext cx="9654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4.6% </a:t>
            </a:r>
            <a:r>
              <a:rPr lang="en-US" sz="1100"/>
              <a:t>Bụi</a:t>
            </a:r>
            <a:r>
              <a:rPr lang="en-US" sz="1100" baseline="0"/>
              <a:t> băm</a:t>
            </a:r>
            <a:endParaRPr lang="en-US" sz="1100"/>
          </a:p>
        </xdr:txBody>
      </xdr:sp>
      <xdr:sp macro="" textlink="">
        <xdr:nvSpPr>
          <xdr:cNvPr id="539" name="TextBox 538">
            <a:extLst>
              <a:ext uri="{FF2B5EF4-FFF2-40B4-BE49-F238E27FC236}">
                <a16:creationId xmlns:a16="http://schemas.microsoft.com/office/drawing/2014/main" id="{C0724780-A174-691E-3B8D-DB479003197C}"/>
              </a:ext>
            </a:extLst>
          </xdr:cNvPr>
          <xdr:cNvSpPr txBox="1"/>
        </xdr:nvSpPr>
        <xdr:spPr>
          <a:xfrm>
            <a:off x="88033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2.4% </a:t>
            </a:r>
            <a:r>
              <a:rPr lang="en-US" sz="1100"/>
              <a:t>Hao</a:t>
            </a:r>
            <a:r>
              <a:rPr lang="en-US" sz="1100" baseline="0"/>
              <a:t> hụt</a:t>
            </a:r>
            <a:endParaRPr lang="en-US" sz="1100"/>
          </a:p>
        </xdr:txBody>
      </xdr:sp>
      <xdr:cxnSp macro="">
        <xdr:nvCxnSpPr>
          <xdr:cNvPr id="540" name="Connector: Elbow 539">
            <a:extLst>
              <a:ext uri="{FF2B5EF4-FFF2-40B4-BE49-F238E27FC236}">
                <a16:creationId xmlns:a16="http://schemas.microsoft.com/office/drawing/2014/main" id="{3CB63080-6E81-4F14-1950-2B68B37F4647}"/>
              </a:ext>
            </a:extLst>
          </xdr:cNvPr>
          <xdr:cNvCxnSpPr>
            <a:stCxn id="508" idx="2"/>
            <a:endCxn id="536" idx="1"/>
          </xdr:cNvCxnSpPr>
        </xdr:nvCxnSpPr>
        <xdr:spPr>
          <a:xfrm rot="16200000" flipH="1">
            <a:off x="8313730" y="5057354"/>
            <a:ext cx="6701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1" name="Connector: Elbow 540">
            <a:extLst>
              <a:ext uri="{FF2B5EF4-FFF2-40B4-BE49-F238E27FC236}">
                <a16:creationId xmlns:a16="http://schemas.microsoft.com/office/drawing/2014/main" id="{088471FD-B222-B043-E952-A2A82F911752}"/>
              </a:ext>
            </a:extLst>
          </xdr:cNvPr>
          <xdr:cNvCxnSpPr>
            <a:stCxn id="508" idx="2"/>
            <a:endCxn id="537" idx="1"/>
          </xdr:cNvCxnSpPr>
        </xdr:nvCxnSpPr>
        <xdr:spPr>
          <a:xfrm rot="16200000" flipH="1">
            <a:off x="8199430" y="5171654"/>
            <a:ext cx="8987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2" name="Connector: Elbow 541">
            <a:extLst>
              <a:ext uri="{FF2B5EF4-FFF2-40B4-BE49-F238E27FC236}">
                <a16:creationId xmlns:a16="http://schemas.microsoft.com/office/drawing/2014/main" id="{97583506-F626-31E4-5B9E-A22EA5DDCD41}"/>
              </a:ext>
            </a:extLst>
          </xdr:cNvPr>
          <xdr:cNvCxnSpPr>
            <a:stCxn id="508" idx="2"/>
            <a:endCxn id="538" idx="1"/>
          </xdr:cNvCxnSpPr>
        </xdr:nvCxnSpPr>
        <xdr:spPr>
          <a:xfrm rot="16200000" flipH="1">
            <a:off x="8082889" y="5288195"/>
            <a:ext cx="1131847"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3" name="Connector: Elbow 542">
            <a:extLst>
              <a:ext uri="{FF2B5EF4-FFF2-40B4-BE49-F238E27FC236}">
                <a16:creationId xmlns:a16="http://schemas.microsoft.com/office/drawing/2014/main" id="{4D0A8BCE-CB1C-ED75-F66E-8CB9F44D3FC8}"/>
              </a:ext>
            </a:extLst>
          </xdr:cNvPr>
          <xdr:cNvCxnSpPr>
            <a:stCxn id="508" idx="2"/>
            <a:endCxn id="539" idx="1"/>
          </xdr:cNvCxnSpPr>
        </xdr:nvCxnSpPr>
        <xdr:spPr>
          <a:xfrm rot="16200000" flipH="1">
            <a:off x="7973071" y="5398013"/>
            <a:ext cx="135148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4" name="Connector: Elbow 543">
            <a:extLst>
              <a:ext uri="{FF2B5EF4-FFF2-40B4-BE49-F238E27FC236}">
                <a16:creationId xmlns:a16="http://schemas.microsoft.com/office/drawing/2014/main" id="{680F4E7C-1CE5-E100-BD15-452BD32F8616}"/>
              </a:ext>
            </a:extLst>
          </xdr:cNvPr>
          <xdr:cNvCxnSpPr>
            <a:stCxn id="510" idx="2"/>
            <a:endCxn id="545" idx="1"/>
          </xdr:cNvCxnSpPr>
        </xdr:nvCxnSpPr>
        <xdr:spPr>
          <a:xfrm rot="16200000" flipH="1">
            <a:off x="10760952" y="4913775"/>
            <a:ext cx="43932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5" name="TextBox 544">
            <a:extLst>
              <a:ext uri="{FF2B5EF4-FFF2-40B4-BE49-F238E27FC236}">
                <a16:creationId xmlns:a16="http://schemas.microsoft.com/office/drawing/2014/main" id="{24443CA1-7BBA-0189-E0F1-66A471FB0843}"/>
              </a:ext>
            </a:extLst>
          </xdr:cNvPr>
          <xdr:cNvSpPr txBox="1"/>
        </xdr:nvSpPr>
        <xdr:spPr>
          <a:xfrm>
            <a:off x="11107270" y="5127813"/>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Tạo</a:t>
            </a:r>
            <a:r>
              <a:rPr lang="en-US" sz="1100" b="0" baseline="0"/>
              <a:t> hạt WSS01G-Nia</a:t>
            </a:r>
            <a:endParaRPr lang="en-US" sz="1100" b="0"/>
          </a:p>
        </xdr:txBody>
      </xdr:sp>
      <xdr:cxnSp macro="">
        <xdr:nvCxnSpPr>
          <xdr:cNvPr id="546" name="Connector: Elbow 545">
            <a:extLst>
              <a:ext uri="{FF2B5EF4-FFF2-40B4-BE49-F238E27FC236}">
                <a16:creationId xmlns:a16="http://schemas.microsoft.com/office/drawing/2014/main" id="{63879451-C400-3AB1-CDFB-B9B8B0F43D81}"/>
              </a:ext>
            </a:extLst>
          </xdr:cNvPr>
          <xdr:cNvCxnSpPr>
            <a:stCxn id="510" idx="2"/>
            <a:endCxn id="547" idx="1"/>
          </xdr:cNvCxnSpPr>
        </xdr:nvCxnSpPr>
        <xdr:spPr>
          <a:xfrm rot="16200000" flipH="1">
            <a:off x="10617516" y="5057211"/>
            <a:ext cx="7261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7" name="TextBox 546">
            <a:extLst>
              <a:ext uri="{FF2B5EF4-FFF2-40B4-BE49-F238E27FC236}">
                <a16:creationId xmlns:a16="http://schemas.microsoft.com/office/drawing/2014/main" id="{5D9B3E33-943A-C7CB-8F47-F6CA54DA3CFD}"/>
              </a:ext>
            </a:extLst>
          </xdr:cNvPr>
          <xdr:cNvSpPr txBox="1"/>
        </xdr:nvSpPr>
        <xdr:spPr>
          <a:xfrm>
            <a:off x="11107270" y="54146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iSS01G-Out</a:t>
            </a:r>
            <a:endParaRPr lang="en-US" sz="1100" b="0"/>
          </a:p>
        </xdr:txBody>
      </xdr:sp>
      <xdr:cxnSp macro="">
        <xdr:nvCxnSpPr>
          <xdr:cNvPr id="548" name="Connector: Elbow 547">
            <a:extLst>
              <a:ext uri="{FF2B5EF4-FFF2-40B4-BE49-F238E27FC236}">
                <a16:creationId xmlns:a16="http://schemas.microsoft.com/office/drawing/2014/main" id="{8F6565D1-7541-E1DE-22D5-0910F99BC1FB}"/>
              </a:ext>
            </a:extLst>
          </xdr:cNvPr>
          <xdr:cNvCxnSpPr>
            <a:stCxn id="510" idx="2"/>
            <a:endCxn id="549" idx="1"/>
          </xdr:cNvCxnSpPr>
        </xdr:nvCxnSpPr>
        <xdr:spPr>
          <a:xfrm rot="16200000" flipH="1">
            <a:off x="10503216" y="5171511"/>
            <a:ext cx="9547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9" name="TextBox 548">
            <a:extLst>
              <a:ext uri="{FF2B5EF4-FFF2-40B4-BE49-F238E27FC236}">
                <a16:creationId xmlns:a16="http://schemas.microsoft.com/office/drawing/2014/main" id="{E8642B5F-B15B-8912-F282-7EF63F1197A4}"/>
              </a:ext>
            </a:extLst>
          </xdr:cNvPr>
          <xdr:cNvSpPr txBox="1"/>
        </xdr:nvSpPr>
        <xdr:spPr>
          <a:xfrm>
            <a:off x="11107270" y="56432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cxnSp macro="">
        <xdr:nvCxnSpPr>
          <xdr:cNvPr id="550" name="Connector: Elbow 549">
            <a:extLst>
              <a:ext uri="{FF2B5EF4-FFF2-40B4-BE49-F238E27FC236}">
                <a16:creationId xmlns:a16="http://schemas.microsoft.com/office/drawing/2014/main" id="{6D3BBC80-90FE-ECBC-1056-B3D5C818CB72}"/>
              </a:ext>
            </a:extLst>
          </xdr:cNvPr>
          <xdr:cNvCxnSpPr>
            <a:stCxn id="510" idx="2"/>
            <a:endCxn id="551" idx="1"/>
          </xdr:cNvCxnSpPr>
        </xdr:nvCxnSpPr>
        <xdr:spPr>
          <a:xfrm rot="16200000" flipH="1">
            <a:off x="10386675" y="5288052"/>
            <a:ext cx="118787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1" name="TextBox 550">
            <a:extLst>
              <a:ext uri="{FF2B5EF4-FFF2-40B4-BE49-F238E27FC236}">
                <a16:creationId xmlns:a16="http://schemas.microsoft.com/office/drawing/2014/main" id="{8DA22224-5729-1C22-49F5-28B5F5E7B5C9}"/>
              </a:ext>
            </a:extLst>
          </xdr:cNvPr>
          <xdr:cNvSpPr txBox="1"/>
        </xdr:nvSpPr>
        <xdr:spPr>
          <a:xfrm>
            <a:off x="11107270" y="5876368"/>
            <a:ext cx="180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WSS05SB (Sợi ngắn)</a:t>
            </a:r>
            <a:endParaRPr lang="en-US" sz="1100" b="0"/>
          </a:p>
        </xdr:txBody>
      </xdr:sp>
      <xdr:cxnSp macro="">
        <xdr:nvCxnSpPr>
          <xdr:cNvPr id="552" name="Connector: Elbow 551">
            <a:extLst>
              <a:ext uri="{FF2B5EF4-FFF2-40B4-BE49-F238E27FC236}">
                <a16:creationId xmlns:a16="http://schemas.microsoft.com/office/drawing/2014/main" id="{64DECE67-E53C-E543-458A-340372292123}"/>
              </a:ext>
            </a:extLst>
          </xdr:cNvPr>
          <xdr:cNvCxnSpPr>
            <a:stCxn id="510" idx="2"/>
            <a:endCxn id="553" idx="1"/>
          </xdr:cNvCxnSpPr>
        </xdr:nvCxnSpPr>
        <xdr:spPr>
          <a:xfrm rot="16200000" flipH="1">
            <a:off x="10276857" y="5397869"/>
            <a:ext cx="140751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3" name="TextBox 552">
            <a:extLst>
              <a:ext uri="{FF2B5EF4-FFF2-40B4-BE49-F238E27FC236}">
                <a16:creationId xmlns:a16="http://schemas.microsoft.com/office/drawing/2014/main" id="{333876BC-56FB-A488-FB57-0BC010447F7A}"/>
              </a:ext>
            </a:extLst>
          </xdr:cNvPr>
          <xdr:cNvSpPr txBox="1"/>
        </xdr:nvSpPr>
        <xdr:spPr>
          <a:xfrm>
            <a:off x="11107271" y="6096003"/>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554" name="TextBox 553">
            <a:extLst>
              <a:ext uri="{FF2B5EF4-FFF2-40B4-BE49-F238E27FC236}">
                <a16:creationId xmlns:a16="http://schemas.microsoft.com/office/drawing/2014/main" id="{92F5C58A-DB4A-C2C6-9F7A-A8D1FF9F1A03}"/>
              </a:ext>
            </a:extLst>
          </xdr:cNvPr>
          <xdr:cNvSpPr txBox="1"/>
        </xdr:nvSpPr>
        <xdr:spPr>
          <a:xfrm>
            <a:off x="13016755" y="5127813"/>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B6.2 + 90%B1</a:t>
            </a:r>
            <a:r>
              <a:rPr lang="en-US" sz="1100" b="0" baseline="0"/>
              <a:t> </a:t>
            </a:r>
            <a:endParaRPr lang="en-US" sz="1100" b="1">
              <a:solidFill>
                <a:srgbClr val="7030A0"/>
              </a:solidFill>
            </a:endParaRPr>
          </a:p>
        </xdr:txBody>
      </xdr:sp>
      <xdr:cxnSp macro="">
        <xdr:nvCxnSpPr>
          <xdr:cNvPr id="555" name="Straight Connector 554">
            <a:extLst>
              <a:ext uri="{FF2B5EF4-FFF2-40B4-BE49-F238E27FC236}">
                <a16:creationId xmlns:a16="http://schemas.microsoft.com/office/drawing/2014/main" id="{A8C81F05-1498-EBE6-955B-6D8CBED8E068}"/>
              </a:ext>
            </a:extLst>
          </xdr:cNvPr>
          <xdr:cNvCxnSpPr>
            <a:stCxn id="545" idx="3"/>
            <a:endCxn id="554" idx="1"/>
          </xdr:cNvCxnSpPr>
        </xdr:nvCxnSpPr>
        <xdr:spPr>
          <a:xfrm flipV="1">
            <a:off x="12476684" y="5255836"/>
            <a:ext cx="540071" cy="425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6" name="TextBox 555">
            <a:extLst>
              <a:ext uri="{FF2B5EF4-FFF2-40B4-BE49-F238E27FC236}">
                <a16:creationId xmlns:a16="http://schemas.microsoft.com/office/drawing/2014/main" id="{99914ECD-29EE-2750-E276-96B7A1EEF32B}"/>
              </a:ext>
            </a:extLst>
          </xdr:cNvPr>
          <xdr:cNvSpPr txBox="1"/>
        </xdr:nvSpPr>
        <xdr:spPr>
          <a:xfrm>
            <a:off x="13016755" y="5414685"/>
            <a:ext cx="1243098" cy="263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r>
              <a:rPr lang="en-US" sz="1100" b="0"/>
              <a:t>B6.2 + 70%B1 </a:t>
            </a:r>
            <a:endParaRPr lang="en-US" sz="1100" b="0">
              <a:solidFill>
                <a:srgbClr val="7030A0"/>
              </a:solidFill>
            </a:endParaRPr>
          </a:p>
        </xdr:txBody>
      </xdr:sp>
      <xdr:cxnSp macro="">
        <xdr:nvCxnSpPr>
          <xdr:cNvPr id="557" name="Straight Connector 556">
            <a:extLst>
              <a:ext uri="{FF2B5EF4-FFF2-40B4-BE49-F238E27FC236}">
                <a16:creationId xmlns:a16="http://schemas.microsoft.com/office/drawing/2014/main" id="{C157232B-7C26-FA37-5D0C-E621AE2390B8}"/>
              </a:ext>
            </a:extLst>
          </xdr:cNvPr>
          <xdr:cNvCxnSpPr>
            <a:stCxn id="547" idx="3"/>
            <a:endCxn id="556" idx="1"/>
          </xdr:cNvCxnSpPr>
        </xdr:nvCxnSpPr>
        <xdr:spPr>
          <a:xfrm flipV="1">
            <a:off x="12489893" y="5546239"/>
            <a:ext cx="526862" cy="72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8" name="TextBox 557">
            <a:extLst>
              <a:ext uri="{FF2B5EF4-FFF2-40B4-BE49-F238E27FC236}">
                <a16:creationId xmlns:a16="http://schemas.microsoft.com/office/drawing/2014/main" id="{FB27D2E5-F47A-A08E-4445-5FD352FD969C}"/>
              </a:ext>
            </a:extLst>
          </xdr:cNvPr>
          <xdr:cNvSpPr txBox="1"/>
        </xdr:nvSpPr>
        <xdr:spPr>
          <a:xfrm>
            <a:off x="13016755" y="5643285"/>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55%</a:t>
            </a:r>
            <a:r>
              <a:rPr lang="en-US" sz="1100" b="0"/>
              <a:t>B6.2 + 30%B1 + 15%B2.2 </a:t>
            </a:r>
            <a:endParaRPr lang="en-US" sz="1100" b="0">
              <a:solidFill>
                <a:srgbClr val="7030A0"/>
              </a:solidFill>
            </a:endParaRPr>
          </a:p>
        </xdr:txBody>
      </xdr:sp>
      <xdr:cxnSp macro="">
        <xdr:nvCxnSpPr>
          <xdr:cNvPr id="559" name="Straight Connector 558">
            <a:extLst>
              <a:ext uri="{FF2B5EF4-FFF2-40B4-BE49-F238E27FC236}">
                <a16:creationId xmlns:a16="http://schemas.microsoft.com/office/drawing/2014/main" id="{13BAB0DE-4A7B-B110-C299-672C48C4376A}"/>
              </a:ext>
            </a:extLst>
          </xdr:cNvPr>
          <xdr:cNvCxnSpPr>
            <a:stCxn id="549" idx="3"/>
            <a:endCxn id="558" idx="1"/>
          </xdr:cNvCxnSpPr>
        </xdr:nvCxnSpPr>
        <xdr:spPr>
          <a:xfrm>
            <a:off x="12489893" y="5775565"/>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0" name="TextBox 559">
            <a:extLst>
              <a:ext uri="{FF2B5EF4-FFF2-40B4-BE49-F238E27FC236}">
                <a16:creationId xmlns:a16="http://schemas.microsoft.com/office/drawing/2014/main" id="{1551B150-A651-1528-669B-9213746F32DF}"/>
              </a:ext>
            </a:extLst>
          </xdr:cNvPr>
          <xdr:cNvSpPr txBox="1"/>
        </xdr:nvSpPr>
        <xdr:spPr>
          <a:xfrm>
            <a:off x="13016755" y="5876368"/>
            <a:ext cx="37203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95%</a:t>
            </a:r>
            <a:r>
              <a:rPr lang="en-US" sz="1100" b="0">
                <a:solidFill>
                  <a:schemeClr val="tx1"/>
                </a:solidFill>
                <a:effectLst/>
                <a:latin typeface="+mn-lt"/>
                <a:ea typeface="+mn-ea"/>
                <a:cs typeface="+mn-cs"/>
              </a:rPr>
              <a:t>B6.2 + 5%B5 </a:t>
            </a:r>
            <a:endParaRPr lang="en-US">
              <a:solidFill>
                <a:srgbClr val="7030A0"/>
              </a:solidFill>
              <a:effectLst/>
            </a:endParaRPr>
          </a:p>
        </xdr:txBody>
      </xdr:sp>
      <xdr:cxnSp macro="">
        <xdr:nvCxnSpPr>
          <xdr:cNvPr id="561" name="Straight Connector 560">
            <a:extLst>
              <a:ext uri="{FF2B5EF4-FFF2-40B4-BE49-F238E27FC236}">
                <a16:creationId xmlns:a16="http://schemas.microsoft.com/office/drawing/2014/main" id="{076D2226-755C-00C0-DFF3-9A8E65AD87D2}"/>
              </a:ext>
            </a:extLst>
          </xdr:cNvPr>
          <xdr:cNvCxnSpPr>
            <a:stCxn id="551" idx="3"/>
            <a:endCxn id="560" idx="1"/>
          </xdr:cNvCxnSpPr>
        </xdr:nvCxnSpPr>
        <xdr:spPr>
          <a:xfrm>
            <a:off x="12909176" y="6008648"/>
            <a:ext cx="1075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2" name="TextBox 561">
            <a:extLst>
              <a:ext uri="{FF2B5EF4-FFF2-40B4-BE49-F238E27FC236}">
                <a16:creationId xmlns:a16="http://schemas.microsoft.com/office/drawing/2014/main" id="{A39ADDE9-D9BD-7574-DC16-C2BEFF38781A}"/>
              </a:ext>
            </a:extLst>
          </xdr:cNvPr>
          <xdr:cNvSpPr txBox="1"/>
        </xdr:nvSpPr>
        <xdr:spPr>
          <a:xfrm>
            <a:off x="13016755" y="6096003"/>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65%</a:t>
            </a:r>
            <a:r>
              <a:rPr lang="en-US" sz="1100" b="0">
                <a:solidFill>
                  <a:schemeClr val="tx1"/>
                </a:solidFill>
                <a:effectLst/>
                <a:latin typeface="+mn-lt"/>
                <a:ea typeface="+mn-ea"/>
                <a:cs typeface="+mn-cs"/>
              </a:rPr>
              <a:t>B6.2 + 15%B1 + 20%B5 </a:t>
            </a:r>
            <a:endParaRPr lang="en-US">
              <a:solidFill>
                <a:srgbClr val="7030A0"/>
              </a:solidFill>
              <a:effectLst/>
            </a:endParaRPr>
          </a:p>
        </xdr:txBody>
      </xdr:sp>
      <xdr:cxnSp macro="">
        <xdr:nvCxnSpPr>
          <xdr:cNvPr id="563" name="Straight Connector 562">
            <a:extLst>
              <a:ext uri="{FF2B5EF4-FFF2-40B4-BE49-F238E27FC236}">
                <a16:creationId xmlns:a16="http://schemas.microsoft.com/office/drawing/2014/main" id="{F5520D13-099B-A1CD-66C5-8E04C0838233}"/>
              </a:ext>
            </a:extLst>
          </xdr:cNvPr>
          <xdr:cNvCxnSpPr>
            <a:stCxn id="553" idx="3"/>
            <a:endCxn id="562" idx="1"/>
          </xdr:cNvCxnSpPr>
        </xdr:nvCxnSpPr>
        <xdr:spPr>
          <a:xfrm>
            <a:off x="12631272" y="6228283"/>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4" name="Rectangle: Rounded Corners 563">
            <a:extLst>
              <a:ext uri="{FF2B5EF4-FFF2-40B4-BE49-F238E27FC236}">
                <a16:creationId xmlns:a16="http://schemas.microsoft.com/office/drawing/2014/main" id="{99A37CD1-651E-1F93-E893-C54F7714DAB6}"/>
              </a:ext>
            </a:extLst>
          </xdr:cNvPr>
          <xdr:cNvSpPr/>
        </xdr:nvSpPr>
        <xdr:spPr>
          <a:xfrm>
            <a:off x="3173511" y="9090146"/>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B2.2 + B5</a:t>
            </a:r>
          </a:p>
        </xdr:txBody>
      </xdr:sp>
      <xdr:cxnSp macro="">
        <xdr:nvCxnSpPr>
          <xdr:cNvPr id="565" name="Connector: Elbow 564">
            <a:extLst>
              <a:ext uri="{FF2B5EF4-FFF2-40B4-BE49-F238E27FC236}">
                <a16:creationId xmlns:a16="http://schemas.microsoft.com/office/drawing/2014/main" id="{D323C9EE-2F07-5433-0A53-932F27A74470}"/>
              </a:ext>
            </a:extLst>
          </xdr:cNvPr>
          <xdr:cNvCxnSpPr>
            <a:stCxn id="503" idx="3"/>
            <a:endCxn id="564" idx="1"/>
          </xdr:cNvCxnSpPr>
        </xdr:nvCxnSpPr>
        <xdr:spPr>
          <a:xfrm>
            <a:off x="2423160" y="4581902"/>
            <a:ext cx="750351" cy="4773734"/>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6" name="TextBox 565">
            <a:extLst>
              <a:ext uri="{FF2B5EF4-FFF2-40B4-BE49-F238E27FC236}">
                <a16:creationId xmlns:a16="http://schemas.microsoft.com/office/drawing/2014/main" id="{D16DB153-FA6D-A0FF-AD8A-8AE1E307FE5C}"/>
              </a:ext>
            </a:extLst>
          </xdr:cNvPr>
          <xdr:cNvSpPr txBox="1"/>
        </xdr:nvSpPr>
        <xdr:spPr>
          <a:xfrm>
            <a:off x="2774648" y="9106038"/>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a:t>
            </a:r>
          </a:p>
        </xdr:txBody>
      </xdr:sp>
      <xdr:sp macro="" textlink="">
        <xdr:nvSpPr>
          <xdr:cNvPr id="567" name="Rectangle: Rounded Corners 566">
            <a:extLst>
              <a:ext uri="{FF2B5EF4-FFF2-40B4-BE49-F238E27FC236}">
                <a16:creationId xmlns:a16="http://schemas.microsoft.com/office/drawing/2014/main" id="{6C112408-E1BE-7C1B-C70B-DECD6B5A7123}"/>
              </a:ext>
            </a:extLst>
          </xdr:cNvPr>
          <xdr:cNvSpPr/>
        </xdr:nvSpPr>
        <xdr:spPr>
          <a:xfrm>
            <a:off x="3173511" y="1118668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B4</a:t>
            </a:r>
          </a:p>
        </xdr:txBody>
      </xdr:sp>
      <xdr:cxnSp macro="">
        <xdr:nvCxnSpPr>
          <xdr:cNvPr id="568" name="Connector: Elbow 567">
            <a:extLst>
              <a:ext uri="{FF2B5EF4-FFF2-40B4-BE49-F238E27FC236}">
                <a16:creationId xmlns:a16="http://schemas.microsoft.com/office/drawing/2014/main" id="{053F48FC-1623-0599-CCC2-FE235F8DBAE1}"/>
              </a:ext>
            </a:extLst>
          </xdr:cNvPr>
          <xdr:cNvCxnSpPr>
            <a:stCxn id="503" idx="3"/>
            <a:endCxn id="567" idx="1"/>
          </xdr:cNvCxnSpPr>
        </xdr:nvCxnSpPr>
        <xdr:spPr>
          <a:xfrm>
            <a:off x="2423160" y="4581902"/>
            <a:ext cx="750351" cy="687027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9" name="TextBox 568">
            <a:extLst>
              <a:ext uri="{FF2B5EF4-FFF2-40B4-BE49-F238E27FC236}">
                <a16:creationId xmlns:a16="http://schemas.microsoft.com/office/drawing/2014/main" id="{FCCB1844-DA43-683E-DA35-1B6371D0B7E6}"/>
              </a:ext>
            </a:extLst>
          </xdr:cNvPr>
          <xdr:cNvSpPr txBox="1"/>
        </xdr:nvSpPr>
        <xdr:spPr>
          <a:xfrm>
            <a:off x="2785544" y="11118292"/>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a:t>
            </a:r>
          </a:p>
        </xdr:txBody>
      </xdr:sp>
      <xdr:sp macro="" textlink="">
        <xdr:nvSpPr>
          <xdr:cNvPr id="570" name="Rectangle: Rounded Corners 569">
            <a:extLst>
              <a:ext uri="{FF2B5EF4-FFF2-40B4-BE49-F238E27FC236}">
                <a16:creationId xmlns:a16="http://schemas.microsoft.com/office/drawing/2014/main" id="{CDDFBE60-6E18-4D72-428E-C56AB08EFF96}"/>
              </a:ext>
            </a:extLst>
          </xdr:cNvPr>
          <xdr:cNvSpPr/>
        </xdr:nvSpPr>
        <xdr:spPr>
          <a:xfrm>
            <a:off x="5505674" y="659079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B1.A0</a:t>
            </a:r>
          </a:p>
          <a:p>
            <a:pPr algn="ctr"/>
            <a:r>
              <a:rPr lang="en-US" sz="1100">
                <a:solidFill>
                  <a:sysClr val="windowText" lastClr="000000"/>
                </a:solidFill>
              </a:rPr>
              <a:t>chưa rửa</a:t>
            </a:r>
          </a:p>
        </xdr:txBody>
      </xdr:sp>
      <xdr:sp macro="" textlink="">
        <xdr:nvSpPr>
          <xdr:cNvPr id="571" name="Rectangle: Rounded Corners 570">
            <a:extLst>
              <a:ext uri="{FF2B5EF4-FFF2-40B4-BE49-F238E27FC236}">
                <a16:creationId xmlns:a16="http://schemas.microsoft.com/office/drawing/2014/main" id="{7D12D31C-0D3D-B5A6-862F-828357DDD72E}"/>
              </a:ext>
            </a:extLst>
          </xdr:cNvPr>
          <xdr:cNvSpPr/>
        </xdr:nvSpPr>
        <xdr:spPr>
          <a:xfrm>
            <a:off x="4432151" y="6706039"/>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2" name="Rectangle: Rounded Corners 571">
            <a:extLst>
              <a:ext uri="{FF2B5EF4-FFF2-40B4-BE49-F238E27FC236}">
                <a16:creationId xmlns:a16="http://schemas.microsoft.com/office/drawing/2014/main" id="{A45195FD-3428-E453-3F24-0C68547D0D73}"/>
              </a:ext>
            </a:extLst>
          </xdr:cNvPr>
          <xdr:cNvSpPr/>
        </xdr:nvSpPr>
        <xdr:spPr>
          <a:xfrm>
            <a:off x="6784938" y="6706039"/>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3" name="Straight Connector 572">
            <a:extLst>
              <a:ext uri="{FF2B5EF4-FFF2-40B4-BE49-F238E27FC236}">
                <a16:creationId xmlns:a16="http://schemas.microsoft.com/office/drawing/2014/main" id="{CFB18A94-34D1-B837-DE64-E5C84B6CAE3A}"/>
              </a:ext>
            </a:extLst>
          </xdr:cNvPr>
          <xdr:cNvCxnSpPr>
            <a:stCxn id="502" idx="3"/>
            <a:endCxn id="571" idx="1"/>
          </xdr:cNvCxnSpPr>
        </xdr:nvCxnSpPr>
        <xdr:spPr>
          <a:xfrm>
            <a:off x="4169938" y="6887885"/>
            <a:ext cx="262214" cy="125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4" name="Straight Connector 573">
            <a:extLst>
              <a:ext uri="{FF2B5EF4-FFF2-40B4-BE49-F238E27FC236}">
                <a16:creationId xmlns:a16="http://schemas.microsoft.com/office/drawing/2014/main" id="{C85A6586-F0D4-0C3A-7B47-4A05822BAAAC}"/>
              </a:ext>
            </a:extLst>
          </xdr:cNvPr>
          <xdr:cNvCxnSpPr>
            <a:stCxn id="571" idx="3"/>
            <a:endCxn id="570" idx="1"/>
          </xdr:cNvCxnSpPr>
        </xdr:nvCxnSpPr>
        <xdr:spPr>
          <a:xfrm flipV="1">
            <a:off x="5260938" y="6885514"/>
            <a:ext cx="244735" cy="3629"/>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5" name="Straight Connector 574">
            <a:extLst>
              <a:ext uri="{FF2B5EF4-FFF2-40B4-BE49-F238E27FC236}">
                <a16:creationId xmlns:a16="http://schemas.microsoft.com/office/drawing/2014/main" id="{7B2235CC-F012-EC2B-48B0-569DDBC97084}"/>
              </a:ext>
            </a:extLst>
          </xdr:cNvPr>
          <xdr:cNvCxnSpPr>
            <a:stCxn id="570" idx="3"/>
            <a:endCxn id="572" idx="1"/>
          </xdr:cNvCxnSpPr>
        </xdr:nvCxnSpPr>
        <xdr:spPr>
          <a:xfrm>
            <a:off x="6518237" y="6885514"/>
            <a:ext cx="266701" cy="3629"/>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76" name="Rectangle: Rounded Corners 575">
            <a:extLst>
              <a:ext uri="{FF2B5EF4-FFF2-40B4-BE49-F238E27FC236}">
                <a16:creationId xmlns:a16="http://schemas.microsoft.com/office/drawing/2014/main" id="{AAD11C95-2E05-57D1-378D-C5C4B290EC17}"/>
              </a:ext>
            </a:extLst>
          </xdr:cNvPr>
          <xdr:cNvSpPr/>
        </xdr:nvSpPr>
        <xdr:spPr>
          <a:xfrm>
            <a:off x="5505674" y="9056070"/>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chưa rửa</a:t>
            </a:r>
          </a:p>
        </xdr:txBody>
      </xdr:sp>
      <xdr:sp macro="" textlink="">
        <xdr:nvSpPr>
          <xdr:cNvPr id="577" name="Rectangle: Rounded Corners 576">
            <a:extLst>
              <a:ext uri="{FF2B5EF4-FFF2-40B4-BE49-F238E27FC236}">
                <a16:creationId xmlns:a16="http://schemas.microsoft.com/office/drawing/2014/main" id="{A607B42A-C4E0-783C-376B-CC7149C8D8A0}"/>
              </a:ext>
            </a:extLst>
          </xdr:cNvPr>
          <xdr:cNvSpPr/>
        </xdr:nvSpPr>
        <xdr:spPr>
          <a:xfrm>
            <a:off x="4432151" y="917130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8" name="Rectangle: Rounded Corners 577">
            <a:extLst>
              <a:ext uri="{FF2B5EF4-FFF2-40B4-BE49-F238E27FC236}">
                <a16:creationId xmlns:a16="http://schemas.microsoft.com/office/drawing/2014/main" id="{AA78E4A5-8382-0800-B6F7-3842DF3CEFD4}"/>
              </a:ext>
            </a:extLst>
          </xdr:cNvPr>
          <xdr:cNvSpPr/>
        </xdr:nvSpPr>
        <xdr:spPr>
          <a:xfrm>
            <a:off x="6784938" y="9160773"/>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9" name="Straight Connector 578">
            <a:extLst>
              <a:ext uri="{FF2B5EF4-FFF2-40B4-BE49-F238E27FC236}">
                <a16:creationId xmlns:a16="http://schemas.microsoft.com/office/drawing/2014/main" id="{6615A1F7-1C30-5CC4-AE32-7FA96ED8DF42}"/>
              </a:ext>
            </a:extLst>
          </xdr:cNvPr>
          <xdr:cNvCxnSpPr>
            <a:stCxn id="564" idx="3"/>
            <a:endCxn id="577" idx="1"/>
          </xdr:cNvCxnSpPr>
        </xdr:nvCxnSpPr>
        <xdr:spPr>
          <a:xfrm flipV="1">
            <a:off x="4169938" y="9354413"/>
            <a:ext cx="262214" cy="12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0" name="Straight Connector 579">
            <a:extLst>
              <a:ext uri="{FF2B5EF4-FFF2-40B4-BE49-F238E27FC236}">
                <a16:creationId xmlns:a16="http://schemas.microsoft.com/office/drawing/2014/main" id="{0D2BB679-A6CD-AF93-FAAC-802998663A62}"/>
              </a:ext>
            </a:extLst>
          </xdr:cNvPr>
          <xdr:cNvCxnSpPr>
            <a:stCxn id="577" idx="3"/>
            <a:endCxn id="576" idx="1"/>
          </xdr:cNvCxnSpPr>
        </xdr:nvCxnSpPr>
        <xdr:spPr>
          <a:xfrm flipV="1">
            <a:off x="5260938" y="9350785"/>
            <a:ext cx="244735" cy="362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1" name="Straight Connector 580">
            <a:extLst>
              <a:ext uri="{FF2B5EF4-FFF2-40B4-BE49-F238E27FC236}">
                <a16:creationId xmlns:a16="http://schemas.microsoft.com/office/drawing/2014/main" id="{87BB9B1A-2E45-E379-ADA4-3F5C44284FFB}"/>
              </a:ext>
            </a:extLst>
          </xdr:cNvPr>
          <xdr:cNvCxnSpPr>
            <a:stCxn id="576" idx="3"/>
            <a:endCxn id="578" idx="1"/>
          </xdr:cNvCxnSpPr>
        </xdr:nvCxnSpPr>
        <xdr:spPr>
          <a:xfrm flipV="1">
            <a:off x="6518237" y="9343877"/>
            <a:ext cx="266701"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82" name="Rectangle: Rounded Corners 581">
            <a:extLst>
              <a:ext uri="{FF2B5EF4-FFF2-40B4-BE49-F238E27FC236}">
                <a16:creationId xmlns:a16="http://schemas.microsoft.com/office/drawing/2014/main" id="{12BB8AFF-011E-8116-632C-5A7E70B8F59D}"/>
              </a:ext>
            </a:extLst>
          </xdr:cNvPr>
          <xdr:cNvSpPr/>
        </xdr:nvSpPr>
        <xdr:spPr>
          <a:xfrm>
            <a:off x="5505674" y="1115260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B4.A0</a:t>
            </a:r>
          </a:p>
          <a:p>
            <a:pPr algn="ctr"/>
            <a:r>
              <a:rPr lang="en-US" sz="1100">
                <a:solidFill>
                  <a:sysClr val="windowText" lastClr="000000"/>
                </a:solidFill>
              </a:rPr>
              <a:t>chưa rửa</a:t>
            </a:r>
          </a:p>
        </xdr:txBody>
      </xdr:sp>
      <xdr:sp macro="" textlink="">
        <xdr:nvSpPr>
          <xdr:cNvPr id="583" name="Rectangle: Rounded Corners 582">
            <a:extLst>
              <a:ext uri="{FF2B5EF4-FFF2-40B4-BE49-F238E27FC236}">
                <a16:creationId xmlns:a16="http://schemas.microsoft.com/office/drawing/2014/main" id="{E47D9FAE-CE60-7EB0-527B-8923443AC6D0}"/>
              </a:ext>
            </a:extLst>
          </xdr:cNvPr>
          <xdr:cNvSpPr/>
        </xdr:nvSpPr>
        <xdr:spPr>
          <a:xfrm>
            <a:off x="4432151" y="11267844"/>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84" name="Rectangle: Rounded Corners 583">
            <a:extLst>
              <a:ext uri="{FF2B5EF4-FFF2-40B4-BE49-F238E27FC236}">
                <a16:creationId xmlns:a16="http://schemas.microsoft.com/office/drawing/2014/main" id="{AC6E883E-4D8A-A87F-4C18-F4258B947C5C}"/>
              </a:ext>
            </a:extLst>
          </xdr:cNvPr>
          <xdr:cNvSpPr/>
        </xdr:nvSpPr>
        <xdr:spPr>
          <a:xfrm>
            <a:off x="6784938" y="11267844"/>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 </a:t>
            </a:r>
          </a:p>
        </xdr:txBody>
      </xdr:sp>
      <xdr:cxnSp macro="">
        <xdr:nvCxnSpPr>
          <xdr:cNvPr id="585" name="Straight Connector 584">
            <a:extLst>
              <a:ext uri="{FF2B5EF4-FFF2-40B4-BE49-F238E27FC236}">
                <a16:creationId xmlns:a16="http://schemas.microsoft.com/office/drawing/2014/main" id="{FAF82E16-30E7-B1DD-4E48-E5C1498026FA}"/>
              </a:ext>
            </a:extLst>
          </xdr:cNvPr>
          <xdr:cNvCxnSpPr>
            <a:stCxn id="567" idx="3"/>
            <a:endCxn id="583" idx="1"/>
          </xdr:cNvCxnSpPr>
        </xdr:nvCxnSpPr>
        <xdr:spPr>
          <a:xfrm flipV="1">
            <a:off x="4169938" y="11450948"/>
            <a:ext cx="262214" cy="122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6" name="Straight Connector 585">
            <a:extLst>
              <a:ext uri="{FF2B5EF4-FFF2-40B4-BE49-F238E27FC236}">
                <a16:creationId xmlns:a16="http://schemas.microsoft.com/office/drawing/2014/main" id="{38EE7840-86DB-FA8E-2A76-3C72D9BE4922}"/>
              </a:ext>
            </a:extLst>
          </xdr:cNvPr>
          <xdr:cNvCxnSpPr>
            <a:stCxn id="583" idx="3"/>
            <a:endCxn id="582" idx="1"/>
          </xdr:cNvCxnSpPr>
        </xdr:nvCxnSpPr>
        <xdr:spPr>
          <a:xfrm flipV="1">
            <a:off x="5260938" y="11447325"/>
            <a:ext cx="244735" cy="36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7" name="Straight Connector 586">
            <a:extLst>
              <a:ext uri="{FF2B5EF4-FFF2-40B4-BE49-F238E27FC236}">
                <a16:creationId xmlns:a16="http://schemas.microsoft.com/office/drawing/2014/main" id="{815B4DC4-1BA1-2E17-A10E-041F59203EF2}"/>
              </a:ext>
            </a:extLst>
          </xdr:cNvPr>
          <xdr:cNvCxnSpPr>
            <a:stCxn id="582" idx="3"/>
            <a:endCxn id="584" idx="1"/>
          </xdr:cNvCxnSpPr>
        </xdr:nvCxnSpPr>
        <xdr:spPr>
          <a:xfrm>
            <a:off x="6518237" y="11447325"/>
            <a:ext cx="266701" cy="362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88" name="Connector: Elbow 587">
            <a:extLst>
              <a:ext uri="{FF2B5EF4-FFF2-40B4-BE49-F238E27FC236}">
                <a16:creationId xmlns:a16="http://schemas.microsoft.com/office/drawing/2014/main" id="{96EF4B0E-6837-FEB9-7ED9-2F8942DD9DFD}"/>
              </a:ext>
            </a:extLst>
          </xdr:cNvPr>
          <xdr:cNvCxnSpPr>
            <a:stCxn id="570" idx="2"/>
            <a:endCxn id="589" idx="1"/>
          </xdr:cNvCxnSpPr>
        </xdr:nvCxnSpPr>
        <xdr:spPr>
          <a:xfrm rot="16200000" flipH="1">
            <a:off x="5997024" y="7195160"/>
            <a:ext cx="382849"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89" name="TextBox 588">
            <a:extLst>
              <a:ext uri="{FF2B5EF4-FFF2-40B4-BE49-F238E27FC236}">
                <a16:creationId xmlns:a16="http://schemas.microsoft.com/office/drawing/2014/main" id="{A535B795-70B1-85E6-CB09-EBB03A5740C0}"/>
              </a:ext>
            </a:extLst>
          </xdr:cNvPr>
          <xdr:cNvSpPr txBox="1"/>
        </xdr:nvSpPr>
        <xdr:spPr>
          <a:xfrm>
            <a:off x="6364941" y="7435055"/>
            <a:ext cx="140771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91.39% </a:t>
            </a:r>
            <a:r>
              <a:rPr lang="en-US" sz="1100"/>
              <a:t>Vảy</a:t>
            </a:r>
            <a:r>
              <a:rPr lang="en-US" sz="1100" baseline="0"/>
              <a:t> chưa rửa</a:t>
            </a:r>
            <a:endParaRPr lang="en-US" sz="1100"/>
          </a:p>
        </xdr:txBody>
      </xdr:sp>
      <xdr:sp macro="" textlink="">
        <xdr:nvSpPr>
          <xdr:cNvPr id="590" name="TextBox 589">
            <a:extLst>
              <a:ext uri="{FF2B5EF4-FFF2-40B4-BE49-F238E27FC236}">
                <a16:creationId xmlns:a16="http://schemas.microsoft.com/office/drawing/2014/main" id="{B539F7D5-A56E-EC88-EBBA-95E1E669A155}"/>
              </a:ext>
            </a:extLst>
          </xdr:cNvPr>
          <xdr:cNvSpPr txBox="1"/>
        </xdr:nvSpPr>
        <xdr:spPr>
          <a:xfrm>
            <a:off x="6364941" y="7719509"/>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8.07% </a:t>
            </a:r>
            <a:r>
              <a:rPr lang="en-US" sz="1100" b="0"/>
              <a:t>Phó</a:t>
            </a:r>
            <a:r>
              <a:rPr lang="en-US" sz="1100" b="0" baseline="0"/>
              <a:t> sản</a:t>
            </a:r>
            <a:endParaRPr lang="en-US" sz="1100"/>
          </a:p>
        </xdr:txBody>
      </xdr:sp>
      <xdr:sp macro="" textlink="">
        <xdr:nvSpPr>
          <xdr:cNvPr id="591" name="TextBox 590">
            <a:extLst>
              <a:ext uri="{FF2B5EF4-FFF2-40B4-BE49-F238E27FC236}">
                <a16:creationId xmlns:a16="http://schemas.microsoft.com/office/drawing/2014/main" id="{AB29DAE8-8F3F-F9CF-8451-9C4B828570EF}"/>
              </a:ext>
            </a:extLst>
          </xdr:cNvPr>
          <xdr:cNvSpPr txBox="1"/>
        </xdr:nvSpPr>
        <xdr:spPr>
          <a:xfrm>
            <a:off x="6364941" y="7982892"/>
            <a:ext cx="1327365"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0.54% </a:t>
            </a:r>
            <a:r>
              <a:rPr lang="en-US" sz="1100" b="0"/>
              <a:t>Hao</a:t>
            </a:r>
            <a:r>
              <a:rPr lang="en-US" sz="1100" b="0" baseline="0"/>
              <a:t> hụt khác</a:t>
            </a:r>
            <a:endParaRPr lang="en-US" sz="1100"/>
          </a:p>
        </xdr:txBody>
      </xdr:sp>
      <xdr:cxnSp macro="">
        <xdr:nvCxnSpPr>
          <xdr:cNvPr id="592" name="Connector: Elbow 591">
            <a:extLst>
              <a:ext uri="{FF2B5EF4-FFF2-40B4-BE49-F238E27FC236}">
                <a16:creationId xmlns:a16="http://schemas.microsoft.com/office/drawing/2014/main" id="{BD85949E-728E-A0CF-44DC-BA3F63F6CD3B}"/>
              </a:ext>
            </a:extLst>
          </xdr:cNvPr>
          <xdr:cNvCxnSpPr>
            <a:endCxn id="590" idx="1"/>
          </xdr:cNvCxnSpPr>
        </xdr:nvCxnSpPr>
        <xdr:spPr>
          <a:xfrm rot="16200000" flipH="1">
            <a:off x="6012826" y="7495416"/>
            <a:ext cx="35124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93" name="Connector: Elbow 592">
            <a:extLst>
              <a:ext uri="{FF2B5EF4-FFF2-40B4-BE49-F238E27FC236}">
                <a16:creationId xmlns:a16="http://schemas.microsoft.com/office/drawing/2014/main" id="{9FF6F9EC-7C8C-A66C-EDCC-D197394CB096}"/>
              </a:ext>
            </a:extLst>
          </xdr:cNvPr>
          <xdr:cNvCxnSpPr>
            <a:endCxn id="591" idx="1"/>
          </xdr:cNvCxnSpPr>
        </xdr:nvCxnSpPr>
        <xdr:spPr>
          <a:xfrm rot="16200000" flipH="1">
            <a:off x="5997023" y="7742994"/>
            <a:ext cx="382851"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94" name="Rectangle: Rounded Corners 593">
            <a:extLst>
              <a:ext uri="{FF2B5EF4-FFF2-40B4-BE49-F238E27FC236}">
                <a16:creationId xmlns:a16="http://schemas.microsoft.com/office/drawing/2014/main" id="{F18D51E5-F45C-7272-9C57-6D4F88208C52}"/>
              </a:ext>
            </a:extLst>
          </xdr:cNvPr>
          <xdr:cNvSpPr/>
        </xdr:nvSpPr>
        <xdr:spPr>
          <a:xfrm>
            <a:off x="7988001" y="658833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B1.1</a:t>
            </a:r>
          </a:p>
          <a:p>
            <a:pPr algn="ctr"/>
            <a:r>
              <a:rPr lang="en-US" sz="1100">
                <a:solidFill>
                  <a:sysClr val="windowText" lastClr="000000"/>
                </a:solidFill>
              </a:rPr>
              <a:t>sau rửa</a:t>
            </a:r>
          </a:p>
        </xdr:txBody>
      </xdr:sp>
      <xdr:sp macro="" textlink="">
        <xdr:nvSpPr>
          <xdr:cNvPr id="595" name="Rectangle: Rounded Corners 594">
            <a:extLst>
              <a:ext uri="{FF2B5EF4-FFF2-40B4-BE49-F238E27FC236}">
                <a16:creationId xmlns:a16="http://schemas.microsoft.com/office/drawing/2014/main" id="{FB1D5B7A-40F1-261F-D6A1-6792BD5235DD}"/>
              </a:ext>
            </a:extLst>
          </xdr:cNvPr>
          <xdr:cNvSpPr/>
        </xdr:nvSpPr>
        <xdr:spPr>
          <a:xfrm>
            <a:off x="9244405" y="670603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96" name="Rectangle: Rounded Corners 595">
            <a:extLst>
              <a:ext uri="{FF2B5EF4-FFF2-40B4-BE49-F238E27FC236}">
                <a16:creationId xmlns:a16="http://schemas.microsoft.com/office/drawing/2014/main" id="{B9475C64-A131-82D7-F7EF-2B01B72C20C4}"/>
              </a:ext>
            </a:extLst>
          </xdr:cNvPr>
          <xdr:cNvSpPr/>
        </xdr:nvSpPr>
        <xdr:spPr>
          <a:xfrm>
            <a:off x="10347226" y="665108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97" name="Straight Connector 596">
            <a:extLst>
              <a:ext uri="{FF2B5EF4-FFF2-40B4-BE49-F238E27FC236}">
                <a16:creationId xmlns:a16="http://schemas.microsoft.com/office/drawing/2014/main" id="{63AE0716-CC06-4E67-7ED3-672C3EF7FFB1}"/>
              </a:ext>
            </a:extLst>
          </xdr:cNvPr>
          <xdr:cNvCxnSpPr>
            <a:stCxn id="572" idx="3"/>
            <a:endCxn id="594" idx="1"/>
          </xdr:cNvCxnSpPr>
        </xdr:nvCxnSpPr>
        <xdr:spPr>
          <a:xfrm flipV="1">
            <a:off x="7614621" y="6886189"/>
            <a:ext cx="373380" cy="2955"/>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98" name="Straight Connector 597">
            <a:extLst>
              <a:ext uri="{FF2B5EF4-FFF2-40B4-BE49-F238E27FC236}">
                <a16:creationId xmlns:a16="http://schemas.microsoft.com/office/drawing/2014/main" id="{C04958CF-3DAA-8509-EB24-3B3750CF9310}"/>
              </a:ext>
            </a:extLst>
          </xdr:cNvPr>
          <xdr:cNvCxnSpPr>
            <a:stCxn id="594" idx="3"/>
            <a:endCxn id="595" idx="1"/>
          </xdr:cNvCxnSpPr>
        </xdr:nvCxnSpPr>
        <xdr:spPr>
          <a:xfrm>
            <a:off x="9000565" y="6886189"/>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99" name="Straight Connector 598">
            <a:extLst>
              <a:ext uri="{FF2B5EF4-FFF2-40B4-BE49-F238E27FC236}">
                <a16:creationId xmlns:a16="http://schemas.microsoft.com/office/drawing/2014/main" id="{016CE421-D288-E20A-1938-031C145FE47F}"/>
              </a:ext>
            </a:extLst>
          </xdr:cNvPr>
          <xdr:cNvCxnSpPr>
            <a:stCxn id="595" idx="3"/>
            <a:endCxn id="596" idx="1"/>
          </xdr:cNvCxnSpPr>
        </xdr:nvCxnSpPr>
        <xdr:spPr>
          <a:xfrm>
            <a:off x="10074985" y="6889142"/>
            <a:ext cx="272241" cy="40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00" name="Connector: Elbow 599">
            <a:extLst>
              <a:ext uri="{FF2B5EF4-FFF2-40B4-BE49-F238E27FC236}">
                <a16:creationId xmlns:a16="http://schemas.microsoft.com/office/drawing/2014/main" id="{72818262-8063-B919-C75B-92F5628E49C2}"/>
              </a:ext>
            </a:extLst>
          </xdr:cNvPr>
          <xdr:cNvCxnSpPr>
            <a:stCxn id="594" idx="2"/>
            <a:endCxn id="601" idx="1"/>
          </xdr:cNvCxnSpPr>
        </xdr:nvCxnSpPr>
        <xdr:spPr>
          <a:xfrm rot="16200000" flipH="1">
            <a:off x="8451898" y="7226425"/>
            <a:ext cx="39382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1" name="TextBox 600">
            <a:extLst>
              <a:ext uri="{FF2B5EF4-FFF2-40B4-BE49-F238E27FC236}">
                <a16:creationId xmlns:a16="http://schemas.microsoft.com/office/drawing/2014/main" id="{32B8D4C3-D993-C396-CBB4-0ACE1E7CF9FE}"/>
              </a:ext>
            </a:extLst>
          </xdr:cNvPr>
          <xdr:cNvSpPr txBox="1"/>
        </xdr:nvSpPr>
        <xdr:spPr>
          <a:xfrm>
            <a:off x="8803341" y="7445589"/>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96.3% </a:t>
            </a:r>
            <a:r>
              <a:rPr lang="en-US" sz="1100"/>
              <a:t>Vảy</a:t>
            </a:r>
            <a:r>
              <a:rPr lang="en-US" sz="1100" baseline="0"/>
              <a:t> sạch</a:t>
            </a:r>
            <a:endParaRPr lang="en-US" sz="1100"/>
          </a:p>
        </xdr:txBody>
      </xdr:sp>
      <xdr:cxnSp macro="">
        <xdr:nvCxnSpPr>
          <xdr:cNvPr id="602" name="Connector: Elbow 601">
            <a:extLst>
              <a:ext uri="{FF2B5EF4-FFF2-40B4-BE49-F238E27FC236}">
                <a16:creationId xmlns:a16="http://schemas.microsoft.com/office/drawing/2014/main" id="{A64C5AF9-45D7-738A-3709-EC3B58CA6927}"/>
              </a:ext>
            </a:extLst>
          </xdr:cNvPr>
          <xdr:cNvCxnSpPr>
            <a:stCxn id="594" idx="2"/>
            <a:endCxn id="603" idx="1"/>
          </xdr:cNvCxnSpPr>
        </xdr:nvCxnSpPr>
        <xdr:spPr>
          <a:xfrm rot="16200000" flipH="1">
            <a:off x="8327603" y="7350720"/>
            <a:ext cx="64241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3" name="TextBox 602">
            <a:extLst>
              <a:ext uri="{FF2B5EF4-FFF2-40B4-BE49-F238E27FC236}">
                <a16:creationId xmlns:a16="http://schemas.microsoft.com/office/drawing/2014/main" id="{F6459CD0-1DEE-B71F-DC28-E33A76AC1AD7}"/>
              </a:ext>
            </a:extLst>
          </xdr:cNvPr>
          <xdr:cNvSpPr txBox="1"/>
        </xdr:nvSpPr>
        <xdr:spPr>
          <a:xfrm>
            <a:off x="8803341" y="7698437"/>
            <a:ext cx="16826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3.58% </a:t>
            </a:r>
            <a:r>
              <a:rPr lang="en-US" sz="1100"/>
              <a:t>Phó</a:t>
            </a:r>
            <a:r>
              <a:rPr lang="en-US" sz="1100" baseline="0"/>
              <a:t> sản + hao hụt</a:t>
            </a:r>
            <a:endParaRPr lang="en-US" sz="1100"/>
          </a:p>
        </xdr:txBody>
      </xdr:sp>
      <xdr:cxnSp macro="">
        <xdr:nvCxnSpPr>
          <xdr:cNvPr id="604" name="Connector: Elbow 603">
            <a:extLst>
              <a:ext uri="{FF2B5EF4-FFF2-40B4-BE49-F238E27FC236}">
                <a16:creationId xmlns:a16="http://schemas.microsoft.com/office/drawing/2014/main" id="{8E7E8BA9-E1F6-5F61-2327-62184AF35DF2}"/>
              </a:ext>
            </a:extLst>
          </xdr:cNvPr>
          <xdr:cNvCxnSpPr>
            <a:stCxn id="596" idx="2"/>
            <a:endCxn id="605" idx="1"/>
          </xdr:cNvCxnSpPr>
        </xdr:nvCxnSpPr>
        <xdr:spPr>
          <a:xfrm rot="16200000" flipH="1">
            <a:off x="10766219" y="7215747"/>
            <a:ext cx="42878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5" name="TextBox 604">
            <a:extLst>
              <a:ext uri="{FF2B5EF4-FFF2-40B4-BE49-F238E27FC236}">
                <a16:creationId xmlns:a16="http://schemas.microsoft.com/office/drawing/2014/main" id="{E2655E0A-E780-78A2-F86B-196059C3A457}"/>
              </a:ext>
            </a:extLst>
          </xdr:cNvPr>
          <xdr:cNvSpPr txBox="1"/>
        </xdr:nvSpPr>
        <xdr:spPr>
          <a:xfrm>
            <a:off x="11107270" y="7424519"/>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a:t>
            </a:r>
            <a:endParaRPr lang="en-US" sz="1100" b="0"/>
          </a:p>
        </xdr:txBody>
      </xdr:sp>
      <xdr:cxnSp macro="">
        <xdr:nvCxnSpPr>
          <xdr:cNvPr id="606" name="Connector: Elbow 605">
            <a:extLst>
              <a:ext uri="{FF2B5EF4-FFF2-40B4-BE49-F238E27FC236}">
                <a16:creationId xmlns:a16="http://schemas.microsoft.com/office/drawing/2014/main" id="{8F09DEE1-E7FF-5143-B5E8-16AD9D8FCEA5}"/>
              </a:ext>
            </a:extLst>
          </xdr:cNvPr>
          <xdr:cNvCxnSpPr>
            <a:stCxn id="596" idx="2"/>
            <a:endCxn id="607" idx="1"/>
          </xdr:cNvCxnSpPr>
        </xdr:nvCxnSpPr>
        <xdr:spPr>
          <a:xfrm rot="16200000" flipH="1">
            <a:off x="10645062" y="7336903"/>
            <a:ext cx="671101"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7" name="TextBox 606">
            <a:extLst>
              <a:ext uri="{FF2B5EF4-FFF2-40B4-BE49-F238E27FC236}">
                <a16:creationId xmlns:a16="http://schemas.microsoft.com/office/drawing/2014/main" id="{81579D17-A961-5C88-052D-350DC586E01B}"/>
              </a:ext>
            </a:extLst>
          </xdr:cNvPr>
          <xdr:cNvSpPr txBox="1"/>
        </xdr:nvSpPr>
        <xdr:spPr>
          <a:xfrm>
            <a:off x="11107270" y="7666832"/>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a:t>
            </a:r>
            <a:endParaRPr lang="en-US" sz="1100" b="0"/>
          </a:p>
        </xdr:txBody>
      </xdr:sp>
      <xdr:cxnSp macro="">
        <xdr:nvCxnSpPr>
          <xdr:cNvPr id="608" name="Connector: Elbow 607">
            <a:extLst>
              <a:ext uri="{FF2B5EF4-FFF2-40B4-BE49-F238E27FC236}">
                <a16:creationId xmlns:a16="http://schemas.microsoft.com/office/drawing/2014/main" id="{4535FCAF-887B-F987-2DFA-DEFDDEF0C902}"/>
              </a:ext>
            </a:extLst>
          </xdr:cNvPr>
          <xdr:cNvCxnSpPr>
            <a:stCxn id="596" idx="2"/>
            <a:endCxn id="609" idx="1"/>
          </xdr:cNvCxnSpPr>
        </xdr:nvCxnSpPr>
        <xdr:spPr>
          <a:xfrm rot="16200000" flipH="1">
            <a:off x="10534441" y="7447526"/>
            <a:ext cx="892344"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9" name="TextBox 608">
            <a:extLst>
              <a:ext uri="{FF2B5EF4-FFF2-40B4-BE49-F238E27FC236}">
                <a16:creationId xmlns:a16="http://schemas.microsoft.com/office/drawing/2014/main" id="{357BD24C-5C56-7034-3A6B-A7B30A118935}"/>
              </a:ext>
            </a:extLst>
          </xdr:cNvPr>
          <xdr:cNvSpPr txBox="1"/>
        </xdr:nvSpPr>
        <xdr:spPr>
          <a:xfrm>
            <a:off x="11107271" y="7888075"/>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iSS01084G</a:t>
            </a:r>
            <a:endParaRPr lang="en-US" sz="1100" b="0"/>
          </a:p>
        </xdr:txBody>
      </xdr:sp>
      <xdr:cxnSp macro="">
        <xdr:nvCxnSpPr>
          <xdr:cNvPr id="610" name="Connector: Elbow 609">
            <a:extLst>
              <a:ext uri="{FF2B5EF4-FFF2-40B4-BE49-F238E27FC236}">
                <a16:creationId xmlns:a16="http://schemas.microsoft.com/office/drawing/2014/main" id="{F5AF5556-A7D6-2102-B9C9-38E4F48F28C3}"/>
              </a:ext>
            </a:extLst>
          </xdr:cNvPr>
          <xdr:cNvCxnSpPr>
            <a:stCxn id="596" idx="2"/>
            <a:endCxn id="611" idx="1"/>
          </xdr:cNvCxnSpPr>
        </xdr:nvCxnSpPr>
        <xdr:spPr>
          <a:xfrm rot="16200000" flipH="1">
            <a:off x="10423821" y="7558146"/>
            <a:ext cx="1113585"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1" name="TextBox 610">
            <a:extLst>
              <a:ext uri="{FF2B5EF4-FFF2-40B4-BE49-F238E27FC236}">
                <a16:creationId xmlns:a16="http://schemas.microsoft.com/office/drawing/2014/main" id="{FD2C8B9E-AAB1-CCC1-5344-1C06C60D479C}"/>
              </a:ext>
            </a:extLst>
          </xdr:cNvPr>
          <xdr:cNvSpPr txBox="1"/>
        </xdr:nvSpPr>
        <xdr:spPr>
          <a:xfrm>
            <a:off x="11107271" y="8109317"/>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a:t>
            </a:r>
            <a:endParaRPr lang="en-US" sz="1100" b="0"/>
          </a:p>
        </xdr:txBody>
      </xdr:sp>
      <xdr:sp macro="" textlink="">
        <xdr:nvSpPr>
          <xdr:cNvPr id="612" name="Rectangle: Rounded Corners 611">
            <a:extLst>
              <a:ext uri="{FF2B5EF4-FFF2-40B4-BE49-F238E27FC236}">
                <a16:creationId xmlns:a16="http://schemas.microsoft.com/office/drawing/2014/main" id="{944C96CA-0C18-79C0-FC8F-02D5A1BE287B}"/>
              </a:ext>
            </a:extLst>
          </xdr:cNvPr>
          <xdr:cNvSpPr/>
        </xdr:nvSpPr>
        <xdr:spPr>
          <a:xfrm>
            <a:off x="7988001" y="904307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sau rửa</a:t>
            </a:r>
          </a:p>
        </xdr:txBody>
      </xdr:sp>
      <xdr:sp macro="" textlink="">
        <xdr:nvSpPr>
          <xdr:cNvPr id="613" name="Rectangle: Rounded Corners 612">
            <a:extLst>
              <a:ext uri="{FF2B5EF4-FFF2-40B4-BE49-F238E27FC236}">
                <a16:creationId xmlns:a16="http://schemas.microsoft.com/office/drawing/2014/main" id="{8D196166-1E18-8962-E203-CD95EBCD77AE}"/>
              </a:ext>
            </a:extLst>
          </xdr:cNvPr>
          <xdr:cNvSpPr/>
        </xdr:nvSpPr>
        <xdr:spPr>
          <a:xfrm>
            <a:off x="9244405" y="9160774"/>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614" name="Rectangle: Rounded Corners 613">
            <a:extLst>
              <a:ext uri="{FF2B5EF4-FFF2-40B4-BE49-F238E27FC236}">
                <a16:creationId xmlns:a16="http://schemas.microsoft.com/office/drawing/2014/main" id="{5EF99230-5538-1B13-4B29-74D7C5ADB10C}"/>
              </a:ext>
            </a:extLst>
          </xdr:cNvPr>
          <xdr:cNvSpPr/>
        </xdr:nvSpPr>
        <xdr:spPr>
          <a:xfrm>
            <a:off x="10347226" y="910582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615" name="Straight Connector 614">
            <a:extLst>
              <a:ext uri="{FF2B5EF4-FFF2-40B4-BE49-F238E27FC236}">
                <a16:creationId xmlns:a16="http://schemas.microsoft.com/office/drawing/2014/main" id="{5ADDA011-2500-E336-0D5D-67DC506A989F}"/>
              </a:ext>
            </a:extLst>
          </xdr:cNvPr>
          <xdr:cNvCxnSpPr>
            <a:stCxn id="578" idx="3"/>
            <a:endCxn id="612" idx="1"/>
          </xdr:cNvCxnSpPr>
        </xdr:nvCxnSpPr>
        <xdr:spPr>
          <a:xfrm flipV="1">
            <a:off x="7614621" y="9340924"/>
            <a:ext cx="373380" cy="295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16" name="Straight Connector 615">
            <a:extLst>
              <a:ext uri="{FF2B5EF4-FFF2-40B4-BE49-F238E27FC236}">
                <a16:creationId xmlns:a16="http://schemas.microsoft.com/office/drawing/2014/main" id="{0CC42B62-8BA8-080C-5D33-D6D215BBB15C}"/>
              </a:ext>
            </a:extLst>
          </xdr:cNvPr>
          <xdr:cNvCxnSpPr>
            <a:stCxn id="612" idx="3"/>
            <a:endCxn id="613" idx="1"/>
          </xdr:cNvCxnSpPr>
        </xdr:nvCxnSpPr>
        <xdr:spPr>
          <a:xfrm>
            <a:off x="9000565" y="9340924"/>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7" name="Straight Connector 616">
            <a:extLst>
              <a:ext uri="{FF2B5EF4-FFF2-40B4-BE49-F238E27FC236}">
                <a16:creationId xmlns:a16="http://schemas.microsoft.com/office/drawing/2014/main" id="{4EA794EA-2D2C-DF20-2A54-994F60294381}"/>
              </a:ext>
            </a:extLst>
          </xdr:cNvPr>
          <xdr:cNvCxnSpPr>
            <a:stCxn id="613" idx="3"/>
            <a:endCxn id="614" idx="1"/>
          </xdr:cNvCxnSpPr>
        </xdr:nvCxnSpPr>
        <xdr:spPr>
          <a:xfrm>
            <a:off x="10074985" y="9343878"/>
            <a:ext cx="272241" cy="40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8" name="Connector: Elbow 617">
            <a:extLst>
              <a:ext uri="{FF2B5EF4-FFF2-40B4-BE49-F238E27FC236}">
                <a16:creationId xmlns:a16="http://schemas.microsoft.com/office/drawing/2014/main" id="{0DB8B0AE-BA7F-4672-70CA-F0D0F4CEE9B3}"/>
              </a:ext>
            </a:extLst>
          </xdr:cNvPr>
          <xdr:cNvCxnSpPr>
            <a:stCxn id="614" idx="2"/>
            <a:endCxn id="619" idx="1"/>
          </xdr:cNvCxnSpPr>
        </xdr:nvCxnSpPr>
        <xdr:spPr>
          <a:xfrm rot="16200000" flipH="1">
            <a:off x="10773615" y="9663086"/>
            <a:ext cx="41399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9" name="TextBox 618">
            <a:extLst>
              <a:ext uri="{FF2B5EF4-FFF2-40B4-BE49-F238E27FC236}">
                <a16:creationId xmlns:a16="http://schemas.microsoft.com/office/drawing/2014/main" id="{D20B4FD3-BFB2-46C1-41AE-B8FEFDFF8457}"/>
              </a:ext>
            </a:extLst>
          </xdr:cNvPr>
          <xdr:cNvSpPr txBox="1"/>
        </xdr:nvSpPr>
        <xdr:spPr>
          <a:xfrm>
            <a:off x="11107270" y="9868719"/>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WSS01G-Nia</a:t>
            </a:r>
            <a:endParaRPr lang="en-US" sz="1100" b="0"/>
          </a:p>
        </xdr:txBody>
      </xdr:sp>
      <xdr:sp macro="" textlink="">
        <xdr:nvSpPr>
          <xdr:cNvPr id="620" name="TextBox 619">
            <a:extLst>
              <a:ext uri="{FF2B5EF4-FFF2-40B4-BE49-F238E27FC236}">
                <a16:creationId xmlns:a16="http://schemas.microsoft.com/office/drawing/2014/main" id="{4B582F77-4EDA-F5E2-EC45-3013D8323558}"/>
              </a:ext>
            </a:extLst>
          </xdr:cNvPr>
          <xdr:cNvSpPr txBox="1"/>
        </xdr:nvSpPr>
        <xdr:spPr>
          <a:xfrm>
            <a:off x="13016755" y="9868719"/>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B2.2 + 90%B1</a:t>
            </a:r>
            <a:endParaRPr lang="en-US" sz="1100" b="1">
              <a:solidFill>
                <a:srgbClr val="7030A0"/>
              </a:solidFill>
            </a:endParaRPr>
          </a:p>
        </xdr:txBody>
      </xdr:sp>
      <xdr:cxnSp macro="">
        <xdr:nvCxnSpPr>
          <xdr:cNvPr id="621" name="Straight Connector 620">
            <a:extLst>
              <a:ext uri="{FF2B5EF4-FFF2-40B4-BE49-F238E27FC236}">
                <a16:creationId xmlns:a16="http://schemas.microsoft.com/office/drawing/2014/main" id="{AEC09EAD-BB8E-6EE7-23A7-5DFED5CBEEFD}"/>
              </a:ext>
            </a:extLst>
          </xdr:cNvPr>
          <xdr:cNvCxnSpPr>
            <a:stCxn id="619" idx="3"/>
            <a:endCxn id="620" idx="1"/>
          </xdr:cNvCxnSpPr>
        </xdr:nvCxnSpPr>
        <xdr:spPr>
          <a:xfrm>
            <a:off x="12476684" y="9996741"/>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2" name="Connector: Elbow 621">
            <a:extLst>
              <a:ext uri="{FF2B5EF4-FFF2-40B4-BE49-F238E27FC236}">
                <a16:creationId xmlns:a16="http://schemas.microsoft.com/office/drawing/2014/main" id="{CC1D9E1F-6121-B2CB-DF8C-85695CB3EE62}"/>
              </a:ext>
            </a:extLst>
          </xdr:cNvPr>
          <xdr:cNvCxnSpPr>
            <a:stCxn id="614" idx="2"/>
            <a:endCxn id="623" idx="1"/>
          </xdr:cNvCxnSpPr>
        </xdr:nvCxnSpPr>
        <xdr:spPr>
          <a:xfrm rot="16200000" flipH="1">
            <a:off x="10640175" y="9796526"/>
            <a:ext cx="68087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3" name="TextBox 622">
            <a:extLst>
              <a:ext uri="{FF2B5EF4-FFF2-40B4-BE49-F238E27FC236}">
                <a16:creationId xmlns:a16="http://schemas.microsoft.com/office/drawing/2014/main" id="{84AD7E14-0444-E37C-D973-90D12EFF1E65}"/>
              </a:ext>
            </a:extLst>
          </xdr:cNvPr>
          <xdr:cNvSpPr txBox="1"/>
        </xdr:nvSpPr>
        <xdr:spPr>
          <a:xfrm>
            <a:off x="11107270" y="10131342"/>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sp macro="" textlink="">
        <xdr:nvSpPr>
          <xdr:cNvPr id="624" name="TextBox 623">
            <a:extLst>
              <a:ext uri="{FF2B5EF4-FFF2-40B4-BE49-F238E27FC236}">
                <a16:creationId xmlns:a16="http://schemas.microsoft.com/office/drawing/2014/main" id="{90399655-B3A7-1123-8412-565D0D53E320}"/>
              </a:ext>
            </a:extLst>
          </xdr:cNvPr>
          <xdr:cNvSpPr txBox="1"/>
        </xdr:nvSpPr>
        <xdr:spPr>
          <a:xfrm>
            <a:off x="13016755" y="10131342"/>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15%</a:t>
            </a:r>
            <a:r>
              <a:rPr lang="en-US" sz="1100" b="0"/>
              <a:t>B2.2 + </a:t>
            </a:r>
            <a:r>
              <a:rPr lang="en-US" sz="1100" b="0">
                <a:solidFill>
                  <a:schemeClr val="tx1"/>
                </a:solidFill>
                <a:effectLst/>
                <a:latin typeface="+mn-lt"/>
                <a:ea typeface="+mn-ea"/>
                <a:cs typeface="+mn-cs"/>
              </a:rPr>
              <a:t>55%B6.2 + 30%B1  </a:t>
            </a:r>
            <a:endParaRPr lang="en-US" sz="1100" b="0">
              <a:solidFill>
                <a:srgbClr val="7030A0"/>
              </a:solidFill>
            </a:endParaRPr>
          </a:p>
        </xdr:txBody>
      </xdr:sp>
      <xdr:cxnSp macro="">
        <xdr:nvCxnSpPr>
          <xdr:cNvPr id="625" name="Straight Connector 624">
            <a:extLst>
              <a:ext uri="{FF2B5EF4-FFF2-40B4-BE49-F238E27FC236}">
                <a16:creationId xmlns:a16="http://schemas.microsoft.com/office/drawing/2014/main" id="{458D825B-CE4E-A610-C8A8-669771799DDC}"/>
              </a:ext>
            </a:extLst>
          </xdr:cNvPr>
          <xdr:cNvCxnSpPr>
            <a:stCxn id="623" idx="3"/>
            <a:endCxn id="624" idx="1"/>
          </xdr:cNvCxnSpPr>
        </xdr:nvCxnSpPr>
        <xdr:spPr>
          <a:xfrm>
            <a:off x="12489892" y="10263622"/>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6" name="Connector: Elbow 625">
            <a:extLst>
              <a:ext uri="{FF2B5EF4-FFF2-40B4-BE49-F238E27FC236}">
                <a16:creationId xmlns:a16="http://schemas.microsoft.com/office/drawing/2014/main" id="{3F70817F-86D9-B14B-F1B1-A10268D763CA}"/>
              </a:ext>
            </a:extLst>
          </xdr:cNvPr>
          <xdr:cNvCxnSpPr>
            <a:stCxn id="614" idx="2"/>
            <a:endCxn id="627" idx="1"/>
          </xdr:cNvCxnSpPr>
        </xdr:nvCxnSpPr>
        <xdr:spPr>
          <a:xfrm rot="16200000" flipH="1">
            <a:off x="10510231" y="9926469"/>
            <a:ext cx="94076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7" name="TextBox 626">
            <a:extLst>
              <a:ext uri="{FF2B5EF4-FFF2-40B4-BE49-F238E27FC236}">
                <a16:creationId xmlns:a16="http://schemas.microsoft.com/office/drawing/2014/main" id="{C63C578F-C727-7913-3088-5A6122BE06CE}"/>
              </a:ext>
            </a:extLst>
          </xdr:cNvPr>
          <xdr:cNvSpPr txBox="1"/>
        </xdr:nvSpPr>
        <xdr:spPr>
          <a:xfrm>
            <a:off x="11107270" y="10395485"/>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WSS01S</a:t>
            </a:r>
            <a:endParaRPr lang="en-US" sz="1100" b="0"/>
          </a:p>
        </xdr:txBody>
      </xdr:sp>
      <xdr:sp macro="" textlink="">
        <xdr:nvSpPr>
          <xdr:cNvPr id="628" name="TextBox 627">
            <a:extLst>
              <a:ext uri="{FF2B5EF4-FFF2-40B4-BE49-F238E27FC236}">
                <a16:creationId xmlns:a16="http://schemas.microsoft.com/office/drawing/2014/main" id="{88FF71AE-DFB9-D127-2ADA-CB7DCF4E4DAC}"/>
              </a:ext>
            </a:extLst>
          </xdr:cNvPr>
          <xdr:cNvSpPr txBox="1"/>
        </xdr:nvSpPr>
        <xdr:spPr>
          <a:xfrm>
            <a:off x="13016755" y="10395485"/>
            <a:ext cx="3053287"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50%</a:t>
            </a:r>
            <a:r>
              <a:rPr lang="en-US" sz="1100" b="0"/>
              <a:t>B5-A1/A2/A3 + 10%B7-A1/A2/A3 + </a:t>
            </a:r>
            <a:r>
              <a:rPr lang="en-US" sz="1100" b="0">
                <a:solidFill>
                  <a:schemeClr val="tx1"/>
                </a:solidFill>
                <a:effectLst/>
                <a:latin typeface="+mn-lt"/>
                <a:ea typeface="+mn-ea"/>
                <a:cs typeface="+mn-cs"/>
              </a:rPr>
              <a:t>40%B1-A3</a:t>
            </a:r>
            <a:endParaRPr lang="en-US" sz="1100" b="0">
              <a:solidFill>
                <a:srgbClr val="7030A0"/>
              </a:solidFill>
            </a:endParaRPr>
          </a:p>
        </xdr:txBody>
      </xdr:sp>
      <xdr:cxnSp macro="">
        <xdr:nvCxnSpPr>
          <xdr:cNvPr id="629" name="Straight Connector 628">
            <a:extLst>
              <a:ext uri="{FF2B5EF4-FFF2-40B4-BE49-F238E27FC236}">
                <a16:creationId xmlns:a16="http://schemas.microsoft.com/office/drawing/2014/main" id="{CBC90946-B5C2-A38B-FAB4-A86B596B04FA}"/>
              </a:ext>
            </a:extLst>
          </xdr:cNvPr>
          <xdr:cNvCxnSpPr>
            <a:stCxn id="627" idx="3"/>
            <a:endCxn id="628" idx="1"/>
          </xdr:cNvCxnSpPr>
        </xdr:nvCxnSpPr>
        <xdr:spPr>
          <a:xfrm>
            <a:off x="12476684" y="10523508"/>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0" name="Connector: Elbow 629">
            <a:extLst>
              <a:ext uri="{FF2B5EF4-FFF2-40B4-BE49-F238E27FC236}">
                <a16:creationId xmlns:a16="http://schemas.microsoft.com/office/drawing/2014/main" id="{88EEFDB6-723C-2422-5381-0BD2760CC1BE}"/>
              </a:ext>
            </a:extLst>
          </xdr:cNvPr>
          <xdr:cNvCxnSpPr>
            <a:endCxn id="631" idx="1"/>
          </xdr:cNvCxnSpPr>
        </xdr:nvCxnSpPr>
        <xdr:spPr>
          <a:xfrm rot="16200000" flipH="1">
            <a:off x="10510231" y="10168782"/>
            <a:ext cx="94076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1" name="TextBox 630">
            <a:extLst>
              <a:ext uri="{FF2B5EF4-FFF2-40B4-BE49-F238E27FC236}">
                <a16:creationId xmlns:a16="http://schemas.microsoft.com/office/drawing/2014/main" id="{EAC93BF7-F11D-59E1-42BF-81914E2AB5C4}"/>
              </a:ext>
            </a:extLst>
          </xdr:cNvPr>
          <xdr:cNvSpPr txBox="1"/>
        </xdr:nvSpPr>
        <xdr:spPr>
          <a:xfrm>
            <a:off x="11107270" y="10637799"/>
            <a:ext cx="179760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solidFill>
                  <a:schemeClr val="tx1"/>
                </a:solidFill>
                <a:effectLst/>
                <a:latin typeface="+mn-lt"/>
                <a:ea typeface="+mn-ea"/>
                <a:cs typeface="+mn-cs"/>
              </a:rPr>
              <a:t>Tạo</a:t>
            </a:r>
            <a:r>
              <a:rPr lang="en-US" sz="1100" b="0" baseline="0">
                <a:solidFill>
                  <a:schemeClr val="tx1"/>
                </a:solidFill>
                <a:effectLst/>
                <a:latin typeface="+mn-lt"/>
                <a:ea typeface="+mn-ea"/>
                <a:cs typeface="+mn-cs"/>
              </a:rPr>
              <a:t> hạt WSS05SB (Sợi ngắn)</a:t>
            </a:r>
            <a:endParaRPr lang="en-US">
              <a:effectLst/>
            </a:endParaRPr>
          </a:p>
        </xdr:txBody>
      </xdr:sp>
      <xdr:sp macro="" textlink="">
        <xdr:nvSpPr>
          <xdr:cNvPr id="632" name="TextBox 631">
            <a:extLst>
              <a:ext uri="{FF2B5EF4-FFF2-40B4-BE49-F238E27FC236}">
                <a16:creationId xmlns:a16="http://schemas.microsoft.com/office/drawing/2014/main" id="{90255E31-4CC5-C4CC-C933-A0AAB1D7DD16}"/>
              </a:ext>
            </a:extLst>
          </xdr:cNvPr>
          <xdr:cNvSpPr txBox="1"/>
        </xdr:nvSpPr>
        <xdr:spPr>
          <a:xfrm>
            <a:off x="13016755" y="10637799"/>
            <a:ext cx="120529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5%</a:t>
            </a:r>
            <a:r>
              <a:rPr lang="en-US" sz="1100" b="0">
                <a:solidFill>
                  <a:schemeClr val="tx1"/>
                </a:solidFill>
                <a:effectLst/>
                <a:latin typeface="+mn-lt"/>
                <a:ea typeface="+mn-ea"/>
                <a:cs typeface="+mn-cs"/>
              </a:rPr>
              <a:t>B5 + 95%B6.2 </a:t>
            </a:r>
            <a:endParaRPr lang="en-US">
              <a:effectLst/>
            </a:endParaRPr>
          </a:p>
        </xdr:txBody>
      </xdr:sp>
      <xdr:cxnSp macro="">
        <xdr:nvCxnSpPr>
          <xdr:cNvPr id="633" name="Straight Connector 632">
            <a:extLst>
              <a:ext uri="{FF2B5EF4-FFF2-40B4-BE49-F238E27FC236}">
                <a16:creationId xmlns:a16="http://schemas.microsoft.com/office/drawing/2014/main" id="{DF9D6799-1EEE-6540-BCBF-D516EBB5E613}"/>
              </a:ext>
            </a:extLst>
          </xdr:cNvPr>
          <xdr:cNvCxnSpPr>
            <a:stCxn id="631" idx="3"/>
            <a:endCxn id="632" idx="1"/>
          </xdr:cNvCxnSpPr>
        </xdr:nvCxnSpPr>
        <xdr:spPr>
          <a:xfrm>
            <a:off x="12904876" y="10765821"/>
            <a:ext cx="1118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4" name="Rectangle: Rounded Corners 633">
            <a:extLst>
              <a:ext uri="{FF2B5EF4-FFF2-40B4-BE49-F238E27FC236}">
                <a16:creationId xmlns:a16="http://schemas.microsoft.com/office/drawing/2014/main" id="{2A7D449C-6606-C7C9-9654-33DC43AF230D}"/>
              </a:ext>
            </a:extLst>
          </xdr:cNvPr>
          <xdr:cNvSpPr/>
        </xdr:nvSpPr>
        <xdr:spPr>
          <a:xfrm>
            <a:off x="7988001" y="1115014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t>
            </a:r>
          </a:p>
          <a:p>
            <a:pPr algn="ctr"/>
            <a:r>
              <a:rPr lang="en-US" sz="1100">
                <a:solidFill>
                  <a:sysClr val="windowText" lastClr="000000"/>
                </a:solidFill>
              </a:rPr>
              <a:t>sau rửa</a:t>
            </a:r>
          </a:p>
        </xdr:txBody>
      </xdr:sp>
      <xdr:sp macro="" textlink="">
        <xdr:nvSpPr>
          <xdr:cNvPr id="635" name="Rectangle: Rounded Corners 634">
            <a:extLst>
              <a:ext uri="{FF2B5EF4-FFF2-40B4-BE49-F238E27FC236}">
                <a16:creationId xmlns:a16="http://schemas.microsoft.com/office/drawing/2014/main" id="{82D56DEA-6ACC-C5CD-3728-8D2C658D621E}"/>
              </a:ext>
            </a:extLst>
          </xdr:cNvPr>
          <xdr:cNvSpPr/>
        </xdr:nvSpPr>
        <xdr:spPr>
          <a:xfrm>
            <a:off x="9244405" y="11267845"/>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Gia</a:t>
            </a:r>
            <a:r>
              <a:rPr lang="en-US" sz="1100" b="1" baseline="0">
                <a:solidFill>
                  <a:schemeClr val="bg1"/>
                </a:solidFill>
              </a:rPr>
              <a:t> công</a:t>
            </a:r>
            <a:endParaRPr lang="en-US" sz="1100" b="1">
              <a:solidFill>
                <a:schemeClr val="bg1"/>
              </a:solidFill>
            </a:endParaRPr>
          </a:p>
        </xdr:txBody>
      </xdr:sp>
      <xdr:sp macro="" textlink="">
        <xdr:nvSpPr>
          <xdr:cNvPr id="636" name="Rectangle: Rounded Corners 635">
            <a:extLst>
              <a:ext uri="{FF2B5EF4-FFF2-40B4-BE49-F238E27FC236}">
                <a16:creationId xmlns:a16="http://schemas.microsoft.com/office/drawing/2014/main" id="{FF3DC0D6-625B-8EE2-15B7-E12DB0364605}"/>
              </a:ext>
            </a:extLst>
          </xdr:cNvPr>
          <xdr:cNvSpPr/>
        </xdr:nvSpPr>
        <xdr:spPr>
          <a:xfrm>
            <a:off x="10347226" y="1121289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Dây</a:t>
            </a:r>
            <a:r>
              <a:rPr lang="en-US" sz="1100" baseline="0">
                <a:solidFill>
                  <a:sysClr val="windowText" lastClr="000000"/>
                </a:solidFill>
              </a:rPr>
              <a:t> đai</a:t>
            </a:r>
            <a:endParaRPr lang="en-US" sz="1100">
              <a:solidFill>
                <a:sysClr val="windowText" lastClr="000000"/>
              </a:solidFill>
            </a:endParaRPr>
          </a:p>
        </xdr:txBody>
      </xdr:sp>
      <xdr:cxnSp macro="">
        <xdr:nvCxnSpPr>
          <xdr:cNvPr id="637" name="Straight Connector 636">
            <a:extLst>
              <a:ext uri="{FF2B5EF4-FFF2-40B4-BE49-F238E27FC236}">
                <a16:creationId xmlns:a16="http://schemas.microsoft.com/office/drawing/2014/main" id="{307B6321-17C0-7466-C2C1-ED1B1E73EF19}"/>
              </a:ext>
            </a:extLst>
          </xdr:cNvPr>
          <xdr:cNvCxnSpPr>
            <a:stCxn id="584" idx="3"/>
            <a:endCxn id="634" idx="1"/>
          </xdr:cNvCxnSpPr>
        </xdr:nvCxnSpPr>
        <xdr:spPr>
          <a:xfrm flipV="1">
            <a:off x="7614621" y="11447994"/>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38" name="Straight Connector 637">
            <a:extLst>
              <a:ext uri="{FF2B5EF4-FFF2-40B4-BE49-F238E27FC236}">
                <a16:creationId xmlns:a16="http://schemas.microsoft.com/office/drawing/2014/main" id="{4C3592EA-BFC1-62E9-6944-4AF6C67DEF86}"/>
              </a:ext>
            </a:extLst>
          </xdr:cNvPr>
          <xdr:cNvCxnSpPr>
            <a:stCxn id="634" idx="3"/>
            <a:endCxn id="635" idx="1"/>
          </xdr:cNvCxnSpPr>
        </xdr:nvCxnSpPr>
        <xdr:spPr>
          <a:xfrm>
            <a:off x="9000565" y="11447994"/>
            <a:ext cx="243841" cy="295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9" name="Straight Connector 638">
            <a:extLst>
              <a:ext uri="{FF2B5EF4-FFF2-40B4-BE49-F238E27FC236}">
                <a16:creationId xmlns:a16="http://schemas.microsoft.com/office/drawing/2014/main" id="{9A90A5B1-2D12-EBFB-9748-8956FEAC189F}"/>
              </a:ext>
            </a:extLst>
          </xdr:cNvPr>
          <xdr:cNvCxnSpPr>
            <a:stCxn id="635" idx="3"/>
            <a:endCxn id="636" idx="1"/>
          </xdr:cNvCxnSpPr>
        </xdr:nvCxnSpPr>
        <xdr:spPr>
          <a:xfrm>
            <a:off x="10074985" y="11450950"/>
            <a:ext cx="272241" cy="40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40" name="Connector: Elbow 639">
            <a:extLst>
              <a:ext uri="{FF2B5EF4-FFF2-40B4-BE49-F238E27FC236}">
                <a16:creationId xmlns:a16="http://schemas.microsoft.com/office/drawing/2014/main" id="{7532FD99-90A5-932A-EF36-90FCE0DFE770}"/>
              </a:ext>
            </a:extLst>
          </xdr:cNvPr>
          <xdr:cNvCxnSpPr>
            <a:stCxn id="576" idx="2"/>
            <a:endCxn id="641" idx="1"/>
          </xdr:cNvCxnSpPr>
        </xdr:nvCxnSpPr>
        <xdr:spPr>
          <a:xfrm rot="16200000" flipH="1">
            <a:off x="5997024" y="9660431"/>
            <a:ext cx="38284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1" name="TextBox 640">
            <a:extLst>
              <a:ext uri="{FF2B5EF4-FFF2-40B4-BE49-F238E27FC236}">
                <a16:creationId xmlns:a16="http://schemas.microsoft.com/office/drawing/2014/main" id="{6038AAA7-1343-3B0F-FEF6-9726B3201CE3}"/>
              </a:ext>
            </a:extLst>
          </xdr:cNvPr>
          <xdr:cNvSpPr txBox="1"/>
        </xdr:nvSpPr>
        <xdr:spPr>
          <a:xfrm>
            <a:off x="6364941" y="9900325"/>
            <a:ext cx="169518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95.96% </a:t>
            </a:r>
            <a:r>
              <a:rPr lang="en-US" sz="1100"/>
              <a:t>Vảy</a:t>
            </a:r>
            <a:r>
              <a:rPr lang="en-US" sz="1100" baseline="0"/>
              <a:t> B2.2 chưa rửa</a:t>
            </a:r>
            <a:endParaRPr lang="en-US" sz="1100"/>
          </a:p>
        </xdr:txBody>
      </xdr:sp>
      <xdr:cxnSp macro="">
        <xdr:nvCxnSpPr>
          <xdr:cNvPr id="642" name="Connector: Elbow 641">
            <a:extLst>
              <a:ext uri="{FF2B5EF4-FFF2-40B4-BE49-F238E27FC236}">
                <a16:creationId xmlns:a16="http://schemas.microsoft.com/office/drawing/2014/main" id="{8132B48B-DAB7-370E-2BF5-0FCB25528D1B}"/>
              </a:ext>
            </a:extLst>
          </xdr:cNvPr>
          <xdr:cNvCxnSpPr>
            <a:stCxn id="576" idx="2"/>
            <a:endCxn id="643" idx="1"/>
          </xdr:cNvCxnSpPr>
        </xdr:nvCxnSpPr>
        <xdr:spPr>
          <a:xfrm rot="16200000" flipH="1">
            <a:off x="5881136" y="9776320"/>
            <a:ext cx="614627"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3" name="TextBox 642">
            <a:extLst>
              <a:ext uri="{FF2B5EF4-FFF2-40B4-BE49-F238E27FC236}">
                <a16:creationId xmlns:a16="http://schemas.microsoft.com/office/drawing/2014/main" id="{AE3C414B-6227-1FA4-36FC-1E5D31980ED7}"/>
              </a:ext>
            </a:extLst>
          </xdr:cNvPr>
          <xdr:cNvSpPr txBox="1"/>
        </xdr:nvSpPr>
        <xdr:spPr>
          <a:xfrm>
            <a:off x="6364942" y="10132104"/>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3.23% </a:t>
            </a:r>
            <a:r>
              <a:rPr lang="en-US" sz="1100"/>
              <a:t>Phó</a:t>
            </a:r>
            <a:r>
              <a:rPr lang="en-US" sz="1100" baseline="0"/>
              <a:t> sản</a:t>
            </a:r>
            <a:endParaRPr lang="en-US" sz="1100"/>
          </a:p>
        </xdr:txBody>
      </xdr:sp>
      <xdr:cxnSp macro="">
        <xdr:nvCxnSpPr>
          <xdr:cNvPr id="644" name="Connector: Elbow 643">
            <a:extLst>
              <a:ext uri="{FF2B5EF4-FFF2-40B4-BE49-F238E27FC236}">
                <a16:creationId xmlns:a16="http://schemas.microsoft.com/office/drawing/2014/main" id="{BA1181F2-5ECD-DB52-8A59-760BA3FB846B}"/>
              </a:ext>
            </a:extLst>
          </xdr:cNvPr>
          <xdr:cNvCxnSpPr>
            <a:stCxn id="576" idx="2"/>
            <a:endCxn id="645" idx="1"/>
          </xdr:cNvCxnSpPr>
        </xdr:nvCxnSpPr>
        <xdr:spPr>
          <a:xfrm rot="16200000" flipH="1">
            <a:off x="5770514" y="9886942"/>
            <a:ext cx="835870"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5" name="TextBox 644">
            <a:extLst>
              <a:ext uri="{FF2B5EF4-FFF2-40B4-BE49-F238E27FC236}">
                <a16:creationId xmlns:a16="http://schemas.microsoft.com/office/drawing/2014/main" id="{A8E545BB-1FF8-D1AB-A2B1-FFFED842D7B3}"/>
              </a:ext>
            </a:extLst>
          </xdr:cNvPr>
          <xdr:cNvSpPr txBox="1"/>
        </xdr:nvSpPr>
        <xdr:spPr>
          <a:xfrm>
            <a:off x="6364942" y="10353347"/>
            <a:ext cx="1440681"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0.81% </a:t>
            </a:r>
            <a:r>
              <a:rPr lang="en-US" sz="1100"/>
              <a:t>Hao hụt khác</a:t>
            </a:r>
          </a:p>
        </xdr:txBody>
      </xdr:sp>
      <xdr:cxnSp macro="">
        <xdr:nvCxnSpPr>
          <xdr:cNvPr id="646" name="Connector: Elbow 645">
            <a:extLst>
              <a:ext uri="{FF2B5EF4-FFF2-40B4-BE49-F238E27FC236}">
                <a16:creationId xmlns:a16="http://schemas.microsoft.com/office/drawing/2014/main" id="{99B395FF-EEE3-7588-D719-151A4DFABF54}"/>
              </a:ext>
            </a:extLst>
          </xdr:cNvPr>
          <xdr:cNvCxnSpPr>
            <a:stCxn id="612" idx="2"/>
            <a:endCxn id="647" idx="1"/>
          </xdr:cNvCxnSpPr>
        </xdr:nvCxnSpPr>
        <xdr:spPr>
          <a:xfrm rot="16200000" flipH="1">
            <a:off x="8459476" y="9673584"/>
            <a:ext cx="38956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7" name="TextBox 646">
            <a:extLst>
              <a:ext uri="{FF2B5EF4-FFF2-40B4-BE49-F238E27FC236}">
                <a16:creationId xmlns:a16="http://schemas.microsoft.com/office/drawing/2014/main" id="{86F9DA8B-4779-DD97-C23A-9290F068C88F}"/>
              </a:ext>
            </a:extLst>
          </xdr:cNvPr>
          <xdr:cNvSpPr txBox="1"/>
        </xdr:nvSpPr>
        <xdr:spPr>
          <a:xfrm>
            <a:off x="8814236" y="990032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97.63% </a:t>
            </a:r>
            <a:r>
              <a:rPr lang="en-US" sz="1100"/>
              <a:t>Vảy</a:t>
            </a:r>
            <a:r>
              <a:rPr lang="en-US" sz="1100" baseline="0"/>
              <a:t> sạch</a:t>
            </a:r>
            <a:endParaRPr lang="en-US" sz="1100"/>
          </a:p>
        </xdr:txBody>
      </xdr:sp>
      <xdr:cxnSp macro="">
        <xdr:nvCxnSpPr>
          <xdr:cNvPr id="648" name="Connector: Elbow 647">
            <a:extLst>
              <a:ext uri="{FF2B5EF4-FFF2-40B4-BE49-F238E27FC236}">
                <a16:creationId xmlns:a16="http://schemas.microsoft.com/office/drawing/2014/main" id="{773EC62C-078D-EC95-A833-526F5A5A07EF}"/>
              </a:ext>
            </a:extLst>
          </xdr:cNvPr>
          <xdr:cNvCxnSpPr>
            <a:stCxn id="612" idx="2"/>
            <a:endCxn id="649" idx="1"/>
          </xdr:cNvCxnSpPr>
        </xdr:nvCxnSpPr>
        <xdr:spPr>
          <a:xfrm rot="16200000" flipH="1">
            <a:off x="8343586" y="9789473"/>
            <a:ext cx="621349"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9" name="TextBox 648">
            <a:extLst>
              <a:ext uri="{FF2B5EF4-FFF2-40B4-BE49-F238E27FC236}">
                <a16:creationId xmlns:a16="http://schemas.microsoft.com/office/drawing/2014/main" id="{B5CDEA49-5239-F41A-CDA9-FD3CDF4D51D3}"/>
              </a:ext>
            </a:extLst>
          </xdr:cNvPr>
          <xdr:cNvSpPr txBox="1"/>
        </xdr:nvSpPr>
        <xdr:spPr>
          <a:xfrm>
            <a:off x="8814237" y="10132103"/>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2.37% </a:t>
            </a:r>
            <a:r>
              <a:rPr lang="en-US" sz="1100"/>
              <a:t>Phó</a:t>
            </a:r>
            <a:r>
              <a:rPr lang="en-US" sz="1100" baseline="0"/>
              <a:t> sản + hao hụt</a:t>
            </a:r>
            <a:endParaRPr lang="en-US" sz="1100"/>
          </a:p>
        </xdr:txBody>
      </xdr:sp>
      <xdr:cxnSp macro="">
        <xdr:nvCxnSpPr>
          <xdr:cNvPr id="650" name="Connector: Elbow 649">
            <a:extLst>
              <a:ext uri="{FF2B5EF4-FFF2-40B4-BE49-F238E27FC236}">
                <a16:creationId xmlns:a16="http://schemas.microsoft.com/office/drawing/2014/main" id="{C2BF34EB-B207-4322-334B-683642513274}"/>
              </a:ext>
            </a:extLst>
          </xdr:cNvPr>
          <xdr:cNvCxnSpPr>
            <a:stCxn id="582" idx="2"/>
            <a:endCxn id="651" idx="1"/>
          </xdr:cNvCxnSpPr>
        </xdr:nvCxnSpPr>
        <xdr:spPr>
          <a:xfrm rot="16200000" flipH="1">
            <a:off x="6033902" y="11720094"/>
            <a:ext cx="30909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1" name="TextBox 650">
            <a:extLst>
              <a:ext uri="{FF2B5EF4-FFF2-40B4-BE49-F238E27FC236}">
                <a16:creationId xmlns:a16="http://schemas.microsoft.com/office/drawing/2014/main" id="{46E7DC0A-D39A-0BF2-4E67-20EF1A0B960B}"/>
              </a:ext>
            </a:extLst>
          </xdr:cNvPr>
          <xdr:cNvSpPr txBox="1"/>
        </xdr:nvSpPr>
        <xdr:spPr>
          <a:xfrm>
            <a:off x="6364942" y="11923112"/>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96.08%</a:t>
            </a:r>
            <a:r>
              <a:rPr lang="en-US" sz="1100" b="1" baseline="0"/>
              <a:t> </a:t>
            </a:r>
            <a:r>
              <a:rPr lang="en-US" sz="1100"/>
              <a:t>Vảy</a:t>
            </a:r>
            <a:r>
              <a:rPr lang="en-US" sz="1100" baseline="0"/>
              <a:t> B4 chưa rửa</a:t>
            </a:r>
            <a:endParaRPr lang="en-US" sz="1100"/>
          </a:p>
        </xdr:txBody>
      </xdr:sp>
      <xdr:cxnSp macro="">
        <xdr:nvCxnSpPr>
          <xdr:cNvPr id="652" name="Connector: Elbow 651">
            <a:extLst>
              <a:ext uri="{FF2B5EF4-FFF2-40B4-BE49-F238E27FC236}">
                <a16:creationId xmlns:a16="http://schemas.microsoft.com/office/drawing/2014/main" id="{A976567C-CCBB-8927-C049-B1CDDEF83ABB}"/>
              </a:ext>
            </a:extLst>
          </xdr:cNvPr>
          <xdr:cNvCxnSpPr>
            <a:stCxn id="582" idx="2"/>
            <a:endCxn id="653" idx="1"/>
          </xdr:cNvCxnSpPr>
        </xdr:nvCxnSpPr>
        <xdr:spPr>
          <a:xfrm rot="16200000" flipH="1">
            <a:off x="5912745" y="11841250"/>
            <a:ext cx="551409"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3" name="TextBox 652">
            <a:extLst>
              <a:ext uri="{FF2B5EF4-FFF2-40B4-BE49-F238E27FC236}">
                <a16:creationId xmlns:a16="http://schemas.microsoft.com/office/drawing/2014/main" id="{C722565E-34FC-A552-34D4-B2C1CE5E4813}"/>
              </a:ext>
            </a:extLst>
          </xdr:cNvPr>
          <xdr:cNvSpPr txBox="1"/>
        </xdr:nvSpPr>
        <xdr:spPr>
          <a:xfrm>
            <a:off x="6364942" y="12165426"/>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3.86% </a:t>
            </a:r>
            <a:r>
              <a:rPr lang="en-US" sz="1100"/>
              <a:t>Phó</a:t>
            </a:r>
            <a:r>
              <a:rPr lang="en-US" sz="1100" baseline="0"/>
              <a:t> sản</a:t>
            </a:r>
            <a:endParaRPr lang="en-US" sz="1100"/>
          </a:p>
        </xdr:txBody>
      </xdr:sp>
      <xdr:cxnSp macro="">
        <xdr:nvCxnSpPr>
          <xdr:cNvPr id="654" name="Connector: Elbow 653">
            <a:extLst>
              <a:ext uri="{FF2B5EF4-FFF2-40B4-BE49-F238E27FC236}">
                <a16:creationId xmlns:a16="http://schemas.microsoft.com/office/drawing/2014/main" id="{F6B219D5-7FA2-5D97-41C9-FAE5442F7084}"/>
              </a:ext>
            </a:extLst>
          </xdr:cNvPr>
          <xdr:cNvCxnSpPr>
            <a:stCxn id="582" idx="2"/>
            <a:endCxn id="655" idx="1"/>
          </xdr:cNvCxnSpPr>
        </xdr:nvCxnSpPr>
        <xdr:spPr>
          <a:xfrm rot="16200000" flipH="1">
            <a:off x="5807391" y="11946604"/>
            <a:ext cx="762117" cy="352987"/>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5" name="TextBox 654">
            <a:extLst>
              <a:ext uri="{FF2B5EF4-FFF2-40B4-BE49-F238E27FC236}">
                <a16:creationId xmlns:a16="http://schemas.microsoft.com/office/drawing/2014/main" id="{BCE1E544-B970-ECFB-4A43-72E1BFD47B6D}"/>
              </a:ext>
            </a:extLst>
          </xdr:cNvPr>
          <xdr:cNvSpPr txBox="1"/>
        </xdr:nvSpPr>
        <xdr:spPr>
          <a:xfrm>
            <a:off x="6364943" y="12376134"/>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0.06% </a:t>
            </a:r>
            <a:r>
              <a:rPr lang="en-US" sz="1100"/>
              <a:t>Hao hụt</a:t>
            </a:r>
            <a:r>
              <a:rPr lang="en-US" sz="1100" baseline="0"/>
              <a:t> khác</a:t>
            </a:r>
            <a:endParaRPr lang="en-US" sz="1100"/>
          </a:p>
        </xdr:txBody>
      </xdr:sp>
      <xdr:cxnSp macro="">
        <xdr:nvCxnSpPr>
          <xdr:cNvPr id="656" name="Connector: Elbow 655">
            <a:extLst>
              <a:ext uri="{FF2B5EF4-FFF2-40B4-BE49-F238E27FC236}">
                <a16:creationId xmlns:a16="http://schemas.microsoft.com/office/drawing/2014/main" id="{A71892A5-0930-FB94-982F-5A5FED1F2D4D}"/>
              </a:ext>
            </a:extLst>
          </xdr:cNvPr>
          <xdr:cNvCxnSpPr>
            <a:stCxn id="634" idx="2"/>
            <a:endCxn id="657" idx="1"/>
          </xdr:cNvCxnSpPr>
        </xdr:nvCxnSpPr>
        <xdr:spPr>
          <a:xfrm rot="16200000" flipH="1">
            <a:off x="8496350" y="11743779"/>
            <a:ext cx="31581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7" name="TextBox 656">
            <a:extLst>
              <a:ext uri="{FF2B5EF4-FFF2-40B4-BE49-F238E27FC236}">
                <a16:creationId xmlns:a16="http://schemas.microsoft.com/office/drawing/2014/main" id="{66CC578D-AE3E-4F6C-5EA3-E2C615323800}"/>
              </a:ext>
            </a:extLst>
          </xdr:cNvPr>
          <xdr:cNvSpPr txBox="1"/>
        </xdr:nvSpPr>
        <xdr:spPr>
          <a:xfrm>
            <a:off x="8814236" y="1193364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98.95% </a:t>
            </a:r>
            <a:r>
              <a:rPr lang="en-US" sz="1100"/>
              <a:t>Vảy</a:t>
            </a:r>
            <a:r>
              <a:rPr lang="en-US" sz="1100" baseline="0"/>
              <a:t> sạch</a:t>
            </a:r>
            <a:endParaRPr lang="en-US" sz="1100"/>
          </a:p>
        </xdr:txBody>
      </xdr:sp>
      <xdr:cxnSp macro="">
        <xdr:nvCxnSpPr>
          <xdr:cNvPr id="658" name="Connector: Elbow 657">
            <a:extLst>
              <a:ext uri="{FF2B5EF4-FFF2-40B4-BE49-F238E27FC236}">
                <a16:creationId xmlns:a16="http://schemas.microsoft.com/office/drawing/2014/main" id="{BB497A07-1A30-71CA-C8FA-D4C2F09DE345}"/>
              </a:ext>
            </a:extLst>
          </xdr:cNvPr>
          <xdr:cNvCxnSpPr>
            <a:stCxn id="634" idx="2"/>
            <a:endCxn id="659" idx="1"/>
          </xdr:cNvCxnSpPr>
        </xdr:nvCxnSpPr>
        <xdr:spPr>
          <a:xfrm rot="16200000" flipH="1">
            <a:off x="8369925" y="11870204"/>
            <a:ext cx="568671"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9" name="TextBox 658">
            <a:extLst>
              <a:ext uri="{FF2B5EF4-FFF2-40B4-BE49-F238E27FC236}">
                <a16:creationId xmlns:a16="http://schemas.microsoft.com/office/drawing/2014/main" id="{88CCF0E4-0583-3F58-18B7-5B772446BB3D}"/>
              </a:ext>
            </a:extLst>
          </xdr:cNvPr>
          <xdr:cNvSpPr txBox="1"/>
        </xdr:nvSpPr>
        <xdr:spPr>
          <a:xfrm>
            <a:off x="8814237" y="12186495"/>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1.05% </a:t>
            </a:r>
            <a:r>
              <a:rPr lang="en-US" sz="1100"/>
              <a:t>Phó</a:t>
            </a:r>
            <a:r>
              <a:rPr lang="en-US" sz="1100" baseline="0"/>
              <a:t> sản + hao hụt</a:t>
            </a:r>
            <a:endParaRPr lang="en-US" sz="1100"/>
          </a:p>
        </xdr:txBody>
      </xdr:sp>
      <xdr:cxnSp macro="">
        <xdr:nvCxnSpPr>
          <xdr:cNvPr id="660" name="Connector: Elbow 659">
            <a:extLst>
              <a:ext uri="{FF2B5EF4-FFF2-40B4-BE49-F238E27FC236}">
                <a16:creationId xmlns:a16="http://schemas.microsoft.com/office/drawing/2014/main" id="{7E4B5520-DC9F-15E7-E5C9-D5A907F526FE}"/>
              </a:ext>
            </a:extLst>
          </xdr:cNvPr>
          <xdr:cNvCxnSpPr>
            <a:stCxn id="614" idx="2"/>
            <a:endCxn id="661" idx="1"/>
          </xdr:cNvCxnSpPr>
        </xdr:nvCxnSpPr>
        <xdr:spPr>
          <a:xfrm rot="16200000" flipH="1">
            <a:off x="10250519" y="10186182"/>
            <a:ext cx="1460189"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61" name="TextBox 660">
            <a:extLst>
              <a:ext uri="{FF2B5EF4-FFF2-40B4-BE49-F238E27FC236}">
                <a16:creationId xmlns:a16="http://schemas.microsoft.com/office/drawing/2014/main" id="{A8699F28-584C-826C-CFF4-519E86108F31}"/>
              </a:ext>
            </a:extLst>
          </xdr:cNvPr>
          <xdr:cNvSpPr txBox="1"/>
        </xdr:nvSpPr>
        <xdr:spPr>
          <a:xfrm>
            <a:off x="11107271" y="10910655"/>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662" name="TextBox 661">
            <a:extLst>
              <a:ext uri="{FF2B5EF4-FFF2-40B4-BE49-F238E27FC236}">
                <a16:creationId xmlns:a16="http://schemas.microsoft.com/office/drawing/2014/main" id="{A9389CB2-7A0F-C494-7466-94B59171D2C2}"/>
              </a:ext>
            </a:extLst>
          </xdr:cNvPr>
          <xdr:cNvSpPr txBox="1"/>
        </xdr:nvSpPr>
        <xdr:spPr>
          <a:xfrm>
            <a:off x="13016755" y="10910655"/>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20%</a:t>
            </a:r>
            <a:r>
              <a:rPr lang="en-US" sz="1100" b="0">
                <a:solidFill>
                  <a:schemeClr val="tx1"/>
                </a:solidFill>
                <a:effectLst/>
                <a:latin typeface="+mn-lt"/>
                <a:ea typeface="+mn-ea"/>
                <a:cs typeface="+mn-cs"/>
              </a:rPr>
              <a:t>B5 + 65%B6.2 + 15%B1 </a:t>
            </a:r>
            <a:endParaRPr lang="en-US">
              <a:solidFill>
                <a:srgbClr val="7030A0"/>
              </a:solidFill>
              <a:effectLst/>
            </a:endParaRPr>
          </a:p>
        </xdr:txBody>
      </xdr:sp>
      <xdr:cxnSp macro="">
        <xdr:nvCxnSpPr>
          <xdr:cNvPr id="663" name="Straight Connector 662">
            <a:extLst>
              <a:ext uri="{FF2B5EF4-FFF2-40B4-BE49-F238E27FC236}">
                <a16:creationId xmlns:a16="http://schemas.microsoft.com/office/drawing/2014/main" id="{FEE6BFAA-49B3-B485-2D32-AD57F65B6DD6}"/>
              </a:ext>
            </a:extLst>
          </xdr:cNvPr>
          <xdr:cNvCxnSpPr>
            <a:stCxn id="661" idx="3"/>
            <a:endCxn id="662" idx="1"/>
          </xdr:cNvCxnSpPr>
        </xdr:nvCxnSpPr>
        <xdr:spPr>
          <a:xfrm>
            <a:off x="12631272" y="11042934"/>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drawings/drawing46.xml><?xml version="1.0" encoding="utf-8"?>
<xdr:wsDr xmlns:xdr="http://schemas.openxmlformats.org/drawingml/2006/spreadsheetDrawing" xmlns:a="http://schemas.openxmlformats.org/drawingml/2006/main">
  <xdr:twoCellAnchor editAs="oneCell">
    <xdr:from>
      <xdr:col>58</xdr:col>
      <xdr:colOff>205443</xdr:colOff>
      <xdr:row>28</xdr:row>
      <xdr:rowOff>114203</xdr:rowOff>
    </xdr:from>
    <xdr:to>
      <xdr:col>72</xdr:col>
      <xdr:colOff>86060</xdr:colOff>
      <xdr:row>41</xdr:row>
      <xdr:rowOff>150159</xdr:rowOff>
    </xdr:to>
    <xdr:pic>
      <xdr:nvPicPr>
        <xdr:cNvPr id="3" name="Picture 2">
          <a:extLst>
            <a:ext uri="{FF2B5EF4-FFF2-40B4-BE49-F238E27FC236}">
              <a16:creationId xmlns:a16="http://schemas.microsoft.com/office/drawing/2014/main" id="{87804299-4C8B-74A9-828D-CA22434E6763}"/>
            </a:ext>
          </a:extLst>
        </xdr:cNvPr>
        <xdr:cNvPicPr>
          <a:picLocks noChangeAspect="1"/>
        </xdr:cNvPicPr>
      </xdr:nvPicPr>
      <xdr:blipFill>
        <a:blip xmlns:r="http://schemas.openxmlformats.org/officeDocument/2006/relationships" r:embed="rId1"/>
        <a:stretch>
          <a:fillRect/>
        </a:stretch>
      </xdr:blipFill>
      <xdr:spPr>
        <a:xfrm>
          <a:off x="25446693" y="5594253"/>
          <a:ext cx="9453802" cy="2429906"/>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59</xdr:col>
      <xdr:colOff>313393</xdr:colOff>
      <xdr:row>31</xdr:row>
      <xdr:rowOff>95153</xdr:rowOff>
    </xdr:from>
    <xdr:to>
      <xdr:col>82</xdr:col>
      <xdr:colOff>89421</xdr:colOff>
      <xdr:row>44</xdr:row>
      <xdr:rowOff>131107</xdr:rowOff>
    </xdr:to>
    <xdr:pic>
      <xdr:nvPicPr>
        <xdr:cNvPr id="2" name="Picture 1">
          <a:extLst>
            <a:ext uri="{FF2B5EF4-FFF2-40B4-BE49-F238E27FC236}">
              <a16:creationId xmlns:a16="http://schemas.microsoft.com/office/drawing/2014/main" id="{80B64E79-4EA8-41D4-B68A-CFC947A42ECC}"/>
            </a:ext>
          </a:extLst>
        </xdr:cNvPr>
        <xdr:cNvPicPr>
          <a:picLocks noChangeAspect="1"/>
        </xdr:cNvPicPr>
      </xdr:nvPicPr>
      <xdr:blipFill>
        <a:blip xmlns:r="http://schemas.openxmlformats.org/officeDocument/2006/relationships" r:embed="rId1"/>
        <a:stretch>
          <a:fillRect/>
        </a:stretch>
      </xdr:blipFill>
      <xdr:spPr>
        <a:xfrm>
          <a:off x="26151543" y="5448203"/>
          <a:ext cx="9450066" cy="2429906"/>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59</xdr:col>
      <xdr:colOff>313393</xdr:colOff>
      <xdr:row>31</xdr:row>
      <xdr:rowOff>95153</xdr:rowOff>
    </xdr:from>
    <xdr:to>
      <xdr:col>82</xdr:col>
      <xdr:colOff>89421</xdr:colOff>
      <xdr:row>44</xdr:row>
      <xdr:rowOff>131107</xdr:rowOff>
    </xdr:to>
    <xdr:pic>
      <xdr:nvPicPr>
        <xdr:cNvPr id="2" name="Picture 1">
          <a:extLst>
            <a:ext uri="{FF2B5EF4-FFF2-40B4-BE49-F238E27FC236}">
              <a16:creationId xmlns:a16="http://schemas.microsoft.com/office/drawing/2014/main" id="{C711EACC-67D1-47D4-A0E1-748FF145B7CA}"/>
            </a:ext>
          </a:extLst>
        </xdr:cNvPr>
        <xdr:cNvPicPr>
          <a:picLocks noChangeAspect="1"/>
        </xdr:cNvPicPr>
      </xdr:nvPicPr>
      <xdr:blipFill>
        <a:blip xmlns:r="http://schemas.openxmlformats.org/officeDocument/2006/relationships" r:embed="rId1"/>
        <a:stretch>
          <a:fillRect/>
        </a:stretch>
      </xdr:blipFill>
      <xdr:spPr>
        <a:xfrm>
          <a:off x="14651693" y="4864003"/>
          <a:ext cx="9447078" cy="2429904"/>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1</xdr:col>
      <xdr:colOff>71786</xdr:colOff>
      <xdr:row>3</xdr:row>
      <xdr:rowOff>104913</xdr:rowOff>
    </xdr:from>
    <xdr:to>
      <xdr:col>2</xdr:col>
      <xdr:colOff>563217</xdr:colOff>
      <xdr:row>3</xdr:row>
      <xdr:rowOff>110436</xdr:rowOff>
    </xdr:to>
    <xdr:cxnSp macro="">
      <xdr:nvCxnSpPr>
        <xdr:cNvPr id="3" name="Straight Arrow Connector 2">
          <a:extLst>
            <a:ext uri="{FF2B5EF4-FFF2-40B4-BE49-F238E27FC236}">
              <a16:creationId xmlns:a16="http://schemas.microsoft.com/office/drawing/2014/main" id="{8DE8F631-1FC4-F3C3-2FEC-3C54D0BA9272}"/>
            </a:ext>
          </a:extLst>
        </xdr:cNvPr>
        <xdr:cNvCxnSpPr/>
      </xdr:nvCxnSpPr>
      <xdr:spPr>
        <a:xfrm flipV="1">
          <a:off x="679177" y="651565"/>
          <a:ext cx="2981736" cy="552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60739</xdr:colOff>
      <xdr:row>3</xdr:row>
      <xdr:rowOff>93870</xdr:rowOff>
    </xdr:from>
    <xdr:to>
      <xdr:col>9</xdr:col>
      <xdr:colOff>557696</xdr:colOff>
      <xdr:row>3</xdr:row>
      <xdr:rowOff>104913</xdr:rowOff>
    </xdr:to>
    <xdr:cxnSp macro="">
      <xdr:nvCxnSpPr>
        <xdr:cNvPr id="6" name="Straight Arrow Connector 5">
          <a:extLst>
            <a:ext uri="{FF2B5EF4-FFF2-40B4-BE49-F238E27FC236}">
              <a16:creationId xmlns:a16="http://schemas.microsoft.com/office/drawing/2014/main" id="{EAE7BC3D-8C6B-4030-B940-6F7443B9FD70}"/>
            </a:ext>
          </a:extLst>
        </xdr:cNvPr>
        <xdr:cNvCxnSpPr/>
      </xdr:nvCxnSpPr>
      <xdr:spPr>
        <a:xfrm flipV="1">
          <a:off x="5035826" y="640522"/>
          <a:ext cx="2319131" cy="110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21</xdr:col>
      <xdr:colOff>412749</xdr:colOff>
      <xdr:row>2</xdr:row>
      <xdr:rowOff>158750</xdr:rowOff>
    </xdr:from>
    <xdr:to>
      <xdr:col>40</xdr:col>
      <xdr:colOff>294680</xdr:colOff>
      <xdr:row>30</xdr:row>
      <xdr:rowOff>15875</xdr:rowOff>
    </xdr:to>
    <xdr:pic>
      <xdr:nvPicPr>
        <xdr:cNvPr id="2" name="Picture 1">
          <a:extLst>
            <a:ext uri="{FF2B5EF4-FFF2-40B4-BE49-F238E27FC236}">
              <a16:creationId xmlns:a16="http://schemas.microsoft.com/office/drawing/2014/main" id="{6560C7AC-F856-39F6-0455-9A1BBB865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8374" y="539750"/>
          <a:ext cx="11343680" cy="619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opy%20of%20Chi%20phi%20c&#244;ng%20&#273;o&#7841;n%20SX_0_Update%20Nh&#226;m%20Data.xlsx" TargetMode="External"/><Relationship Id="rId1" Type="http://schemas.openxmlformats.org/officeDocument/2006/relationships/externalLinkPath" Target="Copy%20of%20Chi%20phi%20c&#244;ng%20&#273;o&#7841;n%20SX_0_Update%20Nh&#226;m%20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esktop/01.%20C&#417;%20c&#7845;u%20th&#224;nh%20ph&#7849;m%20sau%20ph&#226;n%20lo&#7841;i%20-%203%20Tr&#7841;m.xlsx" TargetMode="External"/><Relationship Id="rId1" Type="http://schemas.openxmlformats.org/officeDocument/2006/relationships/externalLinkPath" Target="https://dtg-my.sharepoint.com/personal/culh_duytanrecycling_com/Documents/Desktop/01.%20C&#417;%20c&#7845;u%20th&#224;nh%20ph&#7849;m%20sau%20ph&#226;n%20lo&#7841;i%20-%203%20Tr&#7841;m.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culh/AppData/Local/Temp/MicrosoftEdgeDownloads/35ac35b4-ef3a-4b3b-b6b0-4429c38e398b/01-Bao%20Cao%20Hoat%20Dong%20Kinh%20Doanh%20Tram.xlsx" TargetMode="External"/><Relationship Id="rId2" Type="http://schemas.openxmlformats.org/officeDocument/2006/relationships/externalLinkPath" Target="file:///C:\Users\culh\AppData\Local\Temp\MicrosoftEdgeDownloads\35ac35b4-ef3a-4b3b-b6b0-4429c38e398b\01-Bao%20Cao%20Hoat%20Dong%20Kinh%20Doanh%20Tram.xlsx" TargetMode="External"/><Relationship Id="rId1" Type="http://schemas.openxmlformats.org/officeDocument/2006/relationships/externalLinkPath" Target="/Users/culh/AppData/Local/Temp/MicrosoftEdgeDownloads/35ac35b4-ef3a-4b3b-b6b0-4429c38e398b/01-Bao%20Cao%20Hoat%20Dong%20Kinh%20Doanh%20Tram.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B&#225;o%20c&#225;o%20Consolidate/H&#7907;p%20nh&#7845;t/Nh&#243;m%20T&#225;i%20Ch&#7871;_2026/FS_DTRG_T0426%20(TNHH).xlsx" TargetMode="External"/><Relationship Id="rId2" Type="http://schemas.openxmlformats.org/officeDocument/2006/relationships/externalLinkPath" Target="file:///C:\Data\G&#272;%20T&#224;i%20ch&#237;nh\B&#225;o%20c&#225;o%20Consolidate\H&#7907;p%20nh&#7845;t\Nh&#243;m%20T&#225;i%20Ch&#7871;_2026\FS_DTRG_T0426%20(TNHH).xlsx" TargetMode="External"/><Relationship Id="rId1" Type="http://schemas.openxmlformats.org/officeDocument/2006/relationships/externalLinkPath" Target="/Data/G&#272;%20T&#224;i%20ch&#237;nh/B&#225;o%20c&#225;o%20Consolidate/H&#7907;p%20nh&#7845;t/Nh&#243;m%20T&#225;i%20Ch&#7871;_2026/FS_DTRG_T0426%20(TNHH).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huan%20hoa%20SAP%20Dai%20Loc\T&#237;nh%20gi&#225;%20b&#225;n%20v&#234;%20DTR%20t&#7915;%20tr&#7841;m\Bang%20Tinh%20Settlement%20rule%20BOM%20-%20Routing%20-T53.2026%20-Tuy&#7875;n%20xo=%20B1,%20B6.2,%20N&#7855;p.xlsx" TargetMode="External"/><Relationship Id="rId1" Type="http://schemas.openxmlformats.org/officeDocument/2006/relationships/externalLinkPath" Target="Chuan%20hoa%20SAP%20Dai%20Loc/T&#237;nh%20gi&#225;%20b&#225;n%20v&#234;%20DTR%20t&#7915;%20tr&#7841;m/Bang%20Tinh%20Settlement%20rule%20BOM%20-%20Routing%20-T53.2026%20-Tuy&#7875;n%20xo=%20B1,%20B6.2,%20N&#7855;p.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esktop/01.%20C&#417;%20c&#7845;u%20th&#224;nh%20ph&#7849;m%20sau%20ph&#226;n%20lo&#7841;i%20-%203%20Tr&#7841;m%20nnn.xlsx" TargetMode="External"/><Relationship Id="rId1" Type="http://schemas.openxmlformats.org/officeDocument/2006/relationships/externalLinkPath" Target="https://dtg-my.sharepoint.com/personal/culh_duytanrecycling_com/Documents/Desktop/01.%20C&#417;%20c&#7845;u%20th&#224;nh%20ph&#7849;m%20sau%20ph&#226;n%20lo&#7841;i%20-%203%20Tr&#7841;m%20nnn.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huan%20hoa%20SAP%20Dai%20Loc\Bang%20Tinh%20Settlement%20rule%20BOM%20-%20Routing%20-%20Copy_T3.2026.xlsx" TargetMode="External"/><Relationship Id="rId1" Type="http://schemas.openxmlformats.org/officeDocument/2006/relationships/externalLinkPath" Target="Chuan%20hoa%20SAP%20Dai%20Loc/Bang%20Tinh%20Settlement%20rule%20BOM%20-%20Routing%20-%20Copy_T3.2026.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Gi&#225;%20th&#224;nh%20K&#7871;%20ho&#7841;ch%20th&#225;ng%202026/Th&#225;ng%201/01.%20Gia%20thanh%20k&#7871;%20ho&#7841;ch%20hat%20rPET%20T01.2026%20-%20gi&#7843;m%2040%20USD.xlsx" TargetMode="External"/><Relationship Id="rId2" Type="http://schemas.openxmlformats.org/officeDocument/2006/relationships/externalLinkPath" Target="file:///C:\Data\G&#272;%20T&#224;i%20ch&#237;nh\Cost%20Controlling\Gi&#225;%20th&#224;nh%20K&#7871;%20ho&#7841;ch%20th&#225;ng%202026\Th&#225;ng%201\01.%20Gia%20thanh%20k&#7871;%20ho&#7841;ch%20hat%20rPET%20T01.2026%20-%20gi&#7843;m%2040%20USD.xlsx" TargetMode="External"/><Relationship Id="rId1" Type="http://schemas.openxmlformats.org/officeDocument/2006/relationships/externalLinkPath" Target="/Data/G&#272;%20T&#224;i%20ch&#237;nh/Cost%20Controlling/Gi&#225;%20th&#224;nh%20K&#7871;%20ho&#7841;ch%20th&#225;ng%202026/Th&#225;ng%201/01.%20Gia%20thanh%20k&#7871;%20ho&#7841;ch%20hat%20rPET%20T01.2026%20-%20gi&#7843;m%2040%20USD.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u%20lieu%20tinh%20KPI%202026/KPI_Thuc%20hien%202026/Kho&#7843;n%20m&#7909;c%20ph&#237;/KHOAN%20MUC%20PHI-%20T3.xlsx" TargetMode="External"/><Relationship Id="rId1" Type="http://schemas.openxmlformats.org/officeDocument/2006/relationships/externalLinkPath" Target="https://dtg-my.sharepoint.com/personal/culh_duytanrecycling_com/Documents/Du%20lieu%20tinh%20KPI%202026/KPI_Thuc%20hien%202026/Kho&#7843;n%20m&#7909;c%20ph&#237;/KHOAN%20MUC%20PHI-%20T3.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B&#225;o%20c&#225;o%20Consolidate/Ph&#226;n%20t&#237;ch%20l&#7843;i%20g&#7897;p/DTR%20-%20KTQT%20-%20260404%20-%20%20Chi%20ph&#237;%20l&#432;u%20kho%2031.03.26%20(ch&#7889;t).xlsx" TargetMode="External"/><Relationship Id="rId2" Type="http://schemas.openxmlformats.org/officeDocument/2006/relationships/externalLinkPath" Target="file:///C:\Data\G&#272;%20T&#224;i%20ch&#237;nh\B&#225;o%20c&#225;o%20Consolidate\Ph&#226;n%20t&#237;ch%20l&#7843;i%20g&#7897;p\DTR%20-%20KTQT%20-%20260404%20-%20%20Chi%20ph&#237;%20l&#432;u%20kho%2031.03.26%20(ch&#7889;t).xlsx" TargetMode="External"/><Relationship Id="rId1" Type="http://schemas.openxmlformats.org/officeDocument/2006/relationships/externalLinkPath" Target="/Data/G&#272;%20T&#224;i%20ch&#237;nh/B&#225;o%20c&#225;o%20Consolidate/Ph&#226;n%20t&#237;ch%20l&#7843;i%20g&#7897;p/DTR%20-%20KTQT%20-%20260404%20-%20%20Chi%20ph&#237;%20l&#432;u%20kho%2031.03.26%20(ch&#7889;t).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B&#225;o%20CT%20_Model\Gi&#225;%20b&#225;n%20th&#7921;c%20t&#7871;%20Act%202024,2025,YTD0325-.xlsx" TargetMode="External"/><Relationship Id="rId1" Type="http://schemas.openxmlformats.org/officeDocument/2006/relationships/externalLinkPath" Target="B&#225;o%20CT%20_Model/Gi&#225;%20b&#225;n%20th&#7921;c%20t&#7871;%20Act%202024,2025,YTD03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
      <sheetName val="TH (2)"/>
      <sheetName val="Băm "/>
      <sheetName val="Rửa"/>
      <sheetName val="Rửa -Vảy cty"/>
      <sheetName val="Rửa vảy mua ngoài"/>
      <sheetName val="Tạo hạt"/>
      <sheetName val="Nâng IV"/>
      <sheetName val="Sheet6"/>
    </sheetNames>
    <sheetDataSet>
      <sheetData sheetId="0">
        <row r="6">
          <cell r="O6">
            <v>1864.9499828812825</v>
          </cell>
          <cell r="Q6">
            <v>3240.9192930660097</v>
          </cell>
        </row>
        <row r="7">
          <cell r="O7">
            <v>1273.8558498087386</v>
          </cell>
          <cell r="Q7">
            <v>2013.5603276057439</v>
          </cell>
        </row>
        <row r="10">
          <cell r="O10">
            <v>2000.939404729972</v>
          </cell>
          <cell r="Q10">
            <v>2796.8565141477497</v>
          </cell>
        </row>
        <row r="11">
          <cell r="O11">
            <v>1376.0623421472308</v>
          </cell>
          <cell r="Q11">
            <v>2064.9528218457522</v>
          </cell>
        </row>
        <row r="12">
          <cell r="O12">
            <v>2332</v>
          </cell>
          <cell r="Q12">
            <v>2634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Danh mục"/>
      <sheetName val="Báo cáo &gt;&gt;"/>
      <sheetName val="1. Đại Lộc"/>
      <sheetName val="2. Khánh Nga"/>
      <sheetName val="3. Đồng Lâm"/>
      <sheetName val="4. 3 Trạm"/>
      <sheetName val="5. Giá bán theo cơ cấu (TT) (2)"/>
      <sheetName val="5. Giá bán theo cơ cấu (TT)"/>
      <sheetName val="5. Giá bán theo cơ cấu (BOM)"/>
      <sheetName val="data &gt;&gt;"/>
      <sheetName val="DLOC"/>
      <sheetName val="KNGA"/>
      <sheetName val="DLAM"/>
      <sheetName val="3TRAM"/>
      <sheetName val="check_simpson"/>
      <sheetName val="data"/>
      <sheetName val="data_to_chart"/>
      <sheetName val="config"/>
      <sheetName val="md"/>
    </sheetNames>
    <sheetDataSet>
      <sheetData sheetId="0"/>
      <sheetData sheetId="1"/>
      <sheetData sheetId="2">
        <row r="327">
          <cell r="B327" t="str">
            <v>% Chai B1</v>
          </cell>
          <cell r="O327">
            <v>0.65050165177150054</v>
          </cell>
        </row>
        <row r="328">
          <cell r="B328" t="str">
            <v>% Chai B2.2</v>
          </cell>
          <cell r="O328">
            <v>5.3561787013188056E-3</v>
          </cell>
        </row>
        <row r="329">
          <cell r="B329" t="str">
            <v>% Chai B6.2</v>
          </cell>
          <cell r="O329">
            <v>0.19170632228257908</v>
          </cell>
        </row>
        <row r="334">
          <cell r="O334">
            <v>0.10096034348805652</v>
          </cell>
        </row>
      </sheetData>
      <sheetData sheetId="3">
        <row r="32">
          <cell r="B32" t="str">
            <v>% Chai B1</v>
          </cell>
          <cell r="O32">
            <v>0.52583539606738805</v>
          </cell>
        </row>
        <row r="33">
          <cell r="B33" t="str">
            <v>% Chai B2.2</v>
          </cell>
          <cell r="O33">
            <v>7.8724377212196814E-2</v>
          </cell>
        </row>
        <row r="34">
          <cell r="B34" t="str">
            <v>% Chai B6.2</v>
          </cell>
          <cell r="O34">
            <v>0.23118716545900386</v>
          </cell>
        </row>
        <row r="35">
          <cell r="B35" t="str">
            <v>% Chai B4</v>
          </cell>
          <cell r="O35">
            <v>1.4912633842699981E-2</v>
          </cell>
        </row>
        <row r="36">
          <cell r="B36" t="str">
            <v>% Chai B5</v>
          </cell>
          <cell r="O36">
            <v>1.9802358600751371E-2</v>
          </cell>
        </row>
        <row r="37">
          <cell r="B37" t="str">
            <v>% Nắp</v>
          </cell>
          <cell r="O37">
            <v>3.1786114872826871E-2</v>
          </cell>
        </row>
        <row r="38">
          <cell r="B38" t="str">
            <v>% Chai B7.2</v>
          </cell>
          <cell r="O38">
            <v>1.8427270405582469E-5</v>
          </cell>
        </row>
        <row r="39">
          <cell r="O39">
            <v>9.7733526674727331E-2</v>
          </cell>
        </row>
      </sheetData>
      <sheetData sheetId="4">
        <row r="337">
          <cell r="B337" t="str">
            <v>% Chai B1</v>
          </cell>
          <cell r="O337">
            <v>0.50053442897045786</v>
          </cell>
        </row>
        <row r="338">
          <cell r="B338" t="str">
            <v>% Chai B2.2</v>
          </cell>
          <cell r="O338">
            <v>8.3560339784929882E-2</v>
          </cell>
        </row>
        <row r="339">
          <cell r="B339" t="str">
            <v>% Chai B6.2</v>
          </cell>
          <cell r="O339">
            <v>0.2675725318949379</v>
          </cell>
        </row>
        <row r="340">
          <cell r="B340" t="str">
            <v>% Chai B4</v>
          </cell>
          <cell r="O340">
            <v>1.9139602152341485E-2</v>
          </cell>
        </row>
        <row r="341">
          <cell r="B341" t="str">
            <v>% Chai B5</v>
          </cell>
          <cell r="O341">
            <v>1.0656981591639593E-2</v>
          </cell>
        </row>
        <row r="342">
          <cell r="B342" t="str">
            <v>% Nắp</v>
          </cell>
          <cell r="O342">
            <v>2.9470813123704601E-3</v>
          </cell>
        </row>
        <row r="343">
          <cell r="B343" t="str">
            <v>% Phó sản</v>
          </cell>
          <cell r="O343">
            <v>8.9157794488867737E-3</v>
          </cell>
        </row>
        <row r="344">
          <cell r="O344">
            <v>0.10667325484443603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0-Danh mục"/>
      <sheetName val="Báo cáo ==&gt;"/>
      <sheetName val="1.TH 3 TRAM"/>
      <sheetName val="2.CT 3 TRAM"/>
      <sheetName val="3.CP_TAN"/>
      <sheetName val="4.THONG TIN KHAC"/>
      <sheetName val="5.DAI LOC"/>
      <sheetName val="6.KHANH NGA"/>
      <sheetName val="7.DONG LAM"/>
      <sheetName val="Đại Lộc ==&gt;"/>
      <sheetName val="DLOC KQKD thang"/>
      <sheetName val="DLOC KQKD chi tiet"/>
      <sheetName val="DLOC Thong tin san xuat"/>
      <sheetName val="DLOC chi phi don vi"/>
      <sheetName val="DLOC hieu suat may"/>
      <sheetName val="DLOC mua hang"/>
      <sheetName val="Khánh Nga ==&gt;"/>
      <sheetName val="KNGA KQKD thang"/>
      <sheetName val="KNGA KQKD chi tiet"/>
      <sheetName val="KNGA Thong tin san xuat"/>
      <sheetName val="KNGA chi phi don vi"/>
      <sheetName val="KNGA hieu suat may"/>
      <sheetName val="KNGA mua hang"/>
      <sheetName val="Đồng Lâm ==&gt;"/>
      <sheetName val="DLAM KQKD thang"/>
      <sheetName val="DLAM KQKD chi tiet"/>
      <sheetName val="DLAM Thong tin san xuat"/>
      <sheetName val="DLAM chi phi don vi"/>
      <sheetName val="DLAM hieu suat may"/>
      <sheetName val="DLAM mua hang"/>
      <sheetName val="3 Trạm ==&gt;"/>
      <sheetName val="1-TH 3 TRAM"/>
      <sheetName val="KQKD CT 3 Tram"/>
      <sheetName val="TH 3 TRAM"/>
      <sheetName val="2-CP_TAN"/>
      <sheetName val="2-CP_KG"/>
      <sheetName val="HSM 3TRAM"/>
      <sheetName val="Mua hang 3 Tram"/>
      <sheetName val="TON KHO"/>
      <sheetName val="data ==&gt;"/>
      <sheetName val="data_3Tram"/>
      <sheetName val="data_DLOC"/>
      <sheetName val="data_KNGA"/>
      <sheetName val="data_DLAM"/>
      <sheetName val="config"/>
      <sheetName val="md"/>
      <sheetName val="md_02"/>
    </sheetNames>
    <sheetDataSet>
      <sheetData sheetId="0"/>
      <sheetData sheetId="1"/>
      <sheetData sheetId="2"/>
      <sheetData sheetId="3"/>
      <sheetData sheetId="4">
        <row r="78">
          <cell r="Q78">
            <v>3684.4010838335184</v>
          </cell>
          <cell r="R78">
            <v>2894.8842505347179</v>
          </cell>
          <cell r="S78">
            <v>2609.6553352190908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ol PL Breakdown-DTRG-T04.26"/>
      <sheetName val="PL-DB"/>
      <sheetName val="PL-BD-DTR"/>
      <sheetName val="PL-BD-DongLam"/>
      <sheetName val="PL-BD-KhanhNga"/>
      <sheetName val="PL-BD-DaiLoc"/>
      <sheetName val="PL-BD-TanDaiPhat"/>
      <sheetName val="PL-BD-DTRVL"/>
      <sheetName val="&gt;&gt;Consol FS-DTRG"/>
      <sheetName val="Consol PL-DTRG-T04.26"/>
      <sheetName val="Consol BS-DTRG-T04.26"/>
      <sheetName val="Consol CF-DTRG-T04.26"/>
      <sheetName val="Adj."/>
      <sheetName val="&gt;&gt;Working"/>
      <sheetName val="URP"/>
      <sheetName val="PL-T04.26"/>
      <sheetName val="BS-04.26"/>
      <sheetName val="CF-04.26"/>
      <sheetName val="PL-DTR"/>
      <sheetName val="PL-DongLam"/>
      <sheetName val="PL-KhanhNga"/>
      <sheetName val="PL-DaiLoc"/>
      <sheetName val="PL-TanDaiPhat"/>
      <sheetName val="PL-DTRVL"/>
      <sheetName val="BS-DTR"/>
      <sheetName val="BS-DongLam"/>
      <sheetName val="BS-KhanhNga"/>
      <sheetName val="BS-DaiLoc"/>
      <sheetName val="BS-TanDaiPhat"/>
      <sheetName val="BS-DTRVL"/>
      <sheetName val="CF-DTR"/>
      <sheetName val="CF-DongLam"/>
      <sheetName val="CF-KhanhNga"/>
      <sheetName val="CF-DaiLoc"/>
      <sheetName val="CF-TanDaiPhat"/>
      <sheetName val="CF-DTRVL"/>
      <sheetName val="GDNB-DTR"/>
      <sheetName val="GDNB-DongLam"/>
      <sheetName val="GDNB-KhanhNga"/>
      <sheetName val="GDNB-DaiLoc"/>
      <sheetName val="GDNB-TanDaiPhat"/>
      <sheetName val="GDNB-DTRVL"/>
      <sheetName val="|"/>
      <sheetName val="KE30-DTR"/>
      <sheetName val="KE30-DongLam"/>
      <sheetName val="KE30-DaiLoc"/>
      <sheetName val="KE30-KhanhNga"/>
      <sheetName val="TK511-DTR"/>
      <sheetName val="TK511-DongLam"/>
      <sheetName val="TK511-KhanhNga"/>
      <sheetName val="TK511-DaiLoc"/>
      <sheetName val="TK521-DTR"/>
      <sheetName val="TK521-DongLam"/>
      <sheetName val="TK521-KhanhNga"/>
      <sheetName val="TK521-DaiLoc"/>
      <sheetName val="Check-632"/>
      <sheetName val="TK632-DTR"/>
      <sheetName val="TK632-DongLam"/>
      <sheetName val="TK632-KhanhNga"/>
      <sheetName val="TK632-DaiLoc"/>
      <sheetName val="MD-Customer"/>
      <sheetName val="Mapping SKU"/>
      <sheetName val="Sheet14"/>
    </sheetNames>
    <sheetDataSet>
      <sheetData sheetId="0"/>
      <sheetData sheetId="1"/>
      <sheetData sheetId="2"/>
      <sheetData sheetId="3"/>
      <sheetData sheetId="4"/>
      <sheetData sheetId="5"/>
      <sheetData sheetId="6"/>
      <sheetData sheetId="7"/>
      <sheetData sheetId="8"/>
      <sheetData sheetId="9">
        <row r="4">
          <cell r="D4">
            <v>493.24</v>
          </cell>
          <cell r="E4">
            <v>641.11400000000003</v>
          </cell>
          <cell r="F4">
            <v>915.41700000000003</v>
          </cell>
        </row>
      </sheetData>
      <sheetData sheetId="10"/>
      <sheetData sheetId="11"/>
      <sheetData sheetId="12"/>
      <sheetData sheetId="13"/>
      <sheetData sheetId="14"/>
      <sheetData sheetId="15"/>
      <sheetData sheetId="16"/>
      <sheetData sheetId="17"/>
      <sheetData sheetId="18"/>
      <sheetData sheetId="19">
        <row r="14">
          <cell r="BO14">
            <v>195300000</v>
          </cell>
        </row>
        <row r="15">
          <cell r="BO15">
            <v>271909211</v>
          </cell>
        </row>
      </sheetData>
      <sheetData sheetId="20">
        <row r="14">
          <cell r="BO14">
            <v>114800000</v>
          </cell>
        </row>
        <row r="15">
          <cell r="BO15">
            <v>408169527</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2">
          <cell r="K2">
            <v>7009495222</v>
          </cell>
          <cell r="AJ2">
            <v>6103584508</v>
          </cell>
          <cell r="AK2">
            <v>905910714</v>
          </cell>
        </row>
        <row r="4">
          <cell r="AL4">
            <v>234531</v>
          </cell>
        </row>
        <row r="5">
          <cell r="AL5">
            <v>29966</v>
          </cell>
        </row>
        <row r="6">
          <cell r="I6">
            <v>51840</v>
          </cell>
        </row>
        <row r="7">
          <cell r="I7">
            <v>6563</v>
          </cell>
        </row>
        <row r="8">
          <cell r="I8">
            <v>3401</v>
          </cell>
        </row>
        <row r="9">
          <cell r="I9">
            <v>127949</v>
          </cell>
        </row>
        <row r="10">
          <cell r="I10">
            <v>7244</v>
          </cell>
        </row>
      </sheetData>
      <sheetData sheetId="45"/>
      <sheetData sheetId="46">
        <row r="2">
          <cell r="AK2">
            <v>1108265483</v>
          </cell>
        </row>
        <row r="4">
          <cell r="I4">
            <v>282452</v>
          </cell>
        </row>
        <row r="5">
          <cell r="I5">
            <v>124775</v>
          </cell>
        </row>
        <row r="6">
          <cell r="I6">
            <v>47471</v>
          </cell>
        </row>
        <row r="7">
          <cell r="I7">
            <v>12220</v>
          </cell>
        </row>
        <row r="8">
          <cell r="I8">
            <v>20768</v>
          </cell>
        </row>
        <row r="9">
          <cell r="I9">
            <v>147022</v>
          </cell>
        </row>
        <row r="10">
          <cell r="I10">
            <v>6406</v>
          </cell>
        </row>
        <row r="11">
          <cell r="K11">
            <v>78728160</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ính sách mua hàng"/>
      <sheetName val="GAP_14500"/>
      <sheetName val="GAP_15000"/>
      <sheetName val="GAP_14000 (TX)"/>
      <sheetName val="BOM"/>
      <sheetName val="ROUTING"/>
      <sheetName val="BOM (2.4)"/>
      <sheetName val="BOM (Long)"/>
      <sheetName val="BOM (3NS26)"/>
      <sheetName val="BOM (DLoc)"/>
      <sheetName val="BOM (DLoc) (18.05)"/>
      <sheetName val="BOM (DLoc) (18.05) (2)"/>
      <sheetName val="BOM (KN)"/>
      <sheetName val="BOM (Dlam)"/>
      <sheetName val="Bản giá mua từ trạm 02.26"/>
      <sheetName val="Bản giá mua từ trạm 03.26"/>
    </sheetNames>
    <sheetDataSet>
      <sheetData sheetId="0"/>
      <sheetData sheetId="1"/>
      <sheetData sheetId="2"/>
      <sheetData sheetId="3"/>
      <sheetData sheetId="4"/>
      <sheetData sheetId="5"/>
      <sheetData sheetId="6"/>
      <sheetData sheetId="7"/>
      <sheetData sheetId="8"/>
      <sheetData sheetId="9"/>
      <sheetData sheetId="10">
        <row r="7">
          <cell r="M7">
            <v>17100</v>
          </cell>
        </row>
        <row r="13">
          <cell r="M13">
            <v>14100</v>
          </cell>
        </row>
        <row r="14">
          <cell r="M14">
            <v>7300</v>
          </cell>
        </row>
      </sheetData>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Danh mục"/>
      <sheetName val="Báo cáo &gt;&gt;"/>
      <sheetName val="1. Đại Lộc"/>
      <sheetName val="2. Khánh Nga"/>
      <sheetName val="3. Đồng Lâm"/>
      <sheetName val="4. 3 Trạm"/>
      <sheetName val="5. So sánh 3 Trạm"/>
      <sheetName val="6. Giá bán theo cơ cấu"/>
      <sheetName val="Bảng tính &gt;&gt;"/>
      <sheetName val="DLOC"/>
      <sheetName val="KNGA"/>
      <sheetName val="DLAM"/>
      <sheetName val="3TRAM"/>
      <sheetName val="data_to_chart"/>
      <sheetName val="2026 &gt;&gt;"/>
      <sheetName val="DLOC_2026"/>
      <sheetName val="KNGA_2026"/>
      <sheetName val="DLAM_2026"/>
      <sheetName val="data &gt;&gt;"/>
      <sheetName val="data_config"/>
      <sheetName val="data_DLOC"/>
      <sheetName val="data_KNGA"/>
      <sheetName val="data_DLAM"/>
      <sheetName val="data_export"/>
      <sheetName val="config"/>
      <sheetName val="md"/>
      <sheetName val="md2"/>
    </sheetNames>
    <sheetDataSet>
      <sheetData sheetId="0"/>
      <sheetData sheetId="1"/>
      <sheetData sheetId="2"/>
      <sheetData sheetId="3"/>
      <sheetData sheetId="4"/>
      <sheetData sheetId="5">
        <row r="89">
          <cell r="S89">
            <v>467032</v>
          </cell>
          <cell r="T89">
            <v>299036</v>
          </cell>
          <cell r="U89">
            <v>848224</v>
          </cell>
          <cell r="V89">
            <v>446897</v>
          </cell>
        </row>
        <row r="90">
          <cell r="S90">
            <v>45769</v>
          </cell>
          <cell r="T90">
            <v>23322</v>
          </cell>
          <cell r="U90">
            <v>88500</v>
          </cell>
          <cell r="V90">
            <v>31654</v>
          </cell>
        </row>
        <row r="91">
          <cell r="S91">
            <v>275166</v>
          </cell>
          <cell r="T91">
            <v>202466</v>
          </cell>
          <cell r="U91">
            <v>526884</v>
          </cell>
          <cell r="V91">
            <v>278043</v>
          </cell>
        </row>
        <row r="92">
          <cell r="S92">
            <v>14995</v>
          </cell>
          <cell r="T92">
            <v>10167</v>
          </cell>
          <cell r="U92">
            <v>28617</v>
          </cell>
          <cell r="V92">
            <v>14779</v>
          </cell>
        </row>
        <row r="93">
          <cell r="S93">
            <v>12807</v>
          </cell>
          <cell r="T93">
            <v>8490</v>
          </cell>
          <cell r="U93">
            <v>22312</v>
          </cell>
          <cell r="V93">
            <v>12733</v>
          </cell>
        </row>
        <row r="94">
          <cell r="S94">
            <v>13231</v>
          </cell>
          <cell r="T94">
            <v>9601</v>
          </cell>
          <cell r="U94">
            <v>28372</v>
          </cell>
          <cell r="V94">
            <v>21393</v>
          </cell>
        </row>
        <row r="95">
          <cell r="S95">
            <v>0</v>
          </cell>
          <cell r="T95">
            <v>0</v>
          </cell>
          <cell r="U95">
            <v>0</v>
          </cell>
          <cell r="V95">
            <v>200.61099999999965</v>
          </cell>
        </row>
        <row r="97">
          <cell r="S97">
            <v>117019</v>
          </cell>
          <cell r="T97">
            <v>77982</v>
          </cell>
          <cell r="U97">
            <v>205626</v>
          </cell>
          <cell r="V97">
            <v>92319.388999999966</v>
          </cell>
        </row>
        <row r="334">
          <cell r="S334">
            <v>0.51133536259282808</v>
          </cell>
          <cell r="T334">
            <v>0.49706416331589559</v>
          </cell>
          <cell r="U334">
            <v>0.50434738700552417</v>
          </cell>
          <cell r="V334">
            <v>0.51736864881993272</v>
          </cell>
        </row>
        <row r="335">
          <cell r="S335">
            <v>6.4970641388642225E-2</v>
          </cell>
          <cell r="T335">
            <v>5.8399136842366708E-2</v>
          </cell>
          <cell r="U335">
            <v>5.5507957307370223E-2</v>
          </cell>
          <cell r="V335">
            <v>4.4495103812786721E-2</v>
          </cell>
        </row>
        <row r="336">
          <cell r="S336">
            <v>0.26768431439746443</v>
          </cell>
          <cell r="T336">
            <v>0.29014887216136792</v>
          </cell>
          <cell r="U336">
            <v>0.27717466249673295</v>
          </cell>
          <cell r="V336">
            <v>0.27679036383741662</v>
          </cell>
        </row>
        <row r="337">
          <cell r="S337">
            <v>1.5890206111695566E-2</v>
          </cell>
          <cell r="T337">
            <v>1.6398176315514271E-2</v>
          </cell>
          <cell r="U337">
            <v>1.571854014390894E-2</v>
          </cell>
          <cell r="V337">
            <v>1.5093887507831869E-2</v>
          </cell>
        </row>
        <row r="338">
          <cell r="S338">
            <v>1.6100854377153202E-2</v>
          </cell>
          <cell r="T338">
            <v>1.5470359223063121E-2</v>
          </cell>
          <cell r="U338">
            <v>1.547886970853728E-2</v>
          </cell>
          <cell r="V338">
            <v>1.5516824853526845E-2</v>
          </cell>
        </row>
        <row r="339">
          <cell r="S339">
            <v>1.5679732296147216E-2</v>
          </cell>
          <cell r="T339">
            <v>1.8909498676781628E-2</v>
          </cell>
          <cell r="U339">
            <v>1.8094122207030449E-2</v>
          </cell>
          <cell r="V339">
            <v>2.3950693100032536E-2</v>
          </cell>
        </row>
        <row r="341">
          <cell r="S341">
            <v>3.8483649987539918E-3</v>
          </cell>
          <cell r="T341">
            <v>4.0771833612101467E-3</v>
          </cell>
          <cell r="U341">
            <v>7.6438511554141868E-3</v>
          </cell>
          <cell r="V341">
            <v>4.2130059126117168E-3</v>
          </cell>
        </row>
        <row r="342">
          <cell r="S342">
            <v>0.10316976357414369</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ính sách mua hàng"/>
      <sheetName val="GAP_14500"/>
      <sheetName val="GAP_15000"/>
      <sheetName val="BOM"/>
      <sheetName val="ROUTING"/>
      <sheetName val="BOM (2.4)"/>
      <sheetName val="BOM (Long)"/>
      <sheetName val="BOM (3NS26)"/>
      <sheetName val="BOM (DLoc)"/>
      <sheetName val="BOM (KN)"/>
      <sheetName val="BOM (Dlam)"/>
      <sheetName val="Bản giá mua từ trạm 02.26"/>
      <sheetName val="Bản giá mua từ trạm 03.26"/>
    </sheetNames>
    <sheetDataSet>
      <sheetData sheetId="0"/>
      <sheetData sheetId="1"/>
      <sheetData sheetId="2"/>
      <sheetData sheetId="3"/>
      <sheetData sheetId="4"/>
      <sheetData sheetId="5"/>
      <sheetData sheetId="6">
        <row r="7">
          <cell r="P7">
            <v>11536.63177925785</v>
          </cell>
        </row>
        <row r="9">
          <cell r="P9">
            <v>10152.23596574691</v>
          </cell>
        </row>
        <row r="10">
          <cell r="P10">
            <v>9229.3054234062802</v>
          </cell>
        </row>
        <row r="11">
          <cell r="P11">
            <v>9229.3054234062802</v>
          </cell>
        </row>
        <row r="13">
          <cell r="P13">
            <v>10152.235965746908</v>
          </cell>
        </row>
        <row r="14">
          <cell r="P14">
            <v>5537.5832540437677</v>
          </cell>
        </row>
      </sheetData>
      <sheetData sheetId="7"/>
      <sheetData sheetId="8"/>
      <sheetData sheetId="9"/>
      <sheetData sheetId="10"/>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ÔNG TIN CHUNG"/>
      <sheetName val="Danh mục"/>
      <sheetName val="Giá thành"/>
      <sheetName val="Giá thành (2)"/>
      <sheetName val="Bìa"/>
      <sheetName val="BC Giá bán_ A Thạch"/>
      <sheetName val="TH Giá bán"/>
      <sheetName val="CP Công đoạn"/>
      <sheetName val="1.1.Tính giá NVL"/>
      <sheetName val="CP Công đoạn (2)"/>
      <sheetName val="CP Công đoạn (3)"/>
      <sheetName val="1. Đơn giá NVL"/>
      <sheetName val="2. Hiệu suất máy"/>
      <sheetName val="3. Tỷ lệ hao hụt"/>
      <sheetName val="4. Chi phí"/>
      <sheetName val="4.1 Data chi phí"/>
      <sheetName val="4.2 Trừ tiền thuê máy"/>
      <sheetName val="4.2 Phân bổ khấu hao"/>
      <sheetName val="5. Tiêu thức phân bổ"/>
      <sheetName val="Từ chai ra hạt WSS01-iSS01 (2)"/>
      <sheetName val="10. 100% chai-&gt;hạt WSS01-iSS01"/>
      <sheetName val="11. 100% chai-&gt;hạt iSS01084G"/>
      <sheetName val="10-11. Chart 100% chai"/>
      <sheetName val="12. 100% vảy-&gt;hạt WSS01-iSS01"/>
      <sheetName val="13. 100% vảy-&gt;hạt iSS01084G"/>
      <sheetName val="12-13. Chart_100% vảy"/>
      <sheetName val="14. 50%chai+50%vảy-&gt;WSS01-iSS01"/>
      <sheetName val="15. 50%chai+50%vảy-&gt;ISS01084G"/>
      <sheetName val="14-15. Chart_50% chai + 50% vảy"/>
      <sheetName val="14-15. Chart_50chai + 50vảy B0"/>
      <sheetName val="16. Hạt ISS01L"/>
      <sheetName val="16.1 Rửa vảy B7"/>
      <sheetName val="16. Chart_ISS01L"/>
      <sheetName val="17. Hạt WSS01G-L"/>
      <sheetName val="17. Hạt WSS01"/>
      <sheetName val="18. Hạt WSS01L"/>
      <sheetName val="18. Vảy B5"/>
      <sheetName val="19. ISS01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6">
          <cell r="CJ6">
            <v>2321.0309940637335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21">
          <cell r="I21">
            <v>2321.0309940637335</v>
          </cell>
        </row>
        <row r="37">
          <cell r="I37">
            <v>2395.6123104173425</v>
          </cell>
        </row>
      </sheetData>
      <sheetData sheetId="21">
        <row r="83">
          <cell r="I83">
            <v>2331.8861025668875</v>
          </cell>
        </row>
      </sheetData>
      <sheetData sheetId="22" refreshError="1"/>
      <sheetData sheetId="23">
        <row r="10">
          <cell r="I10">
            <v>1636.9775154230633</v>
          </cell>
        </row>
      </sheetData>
      <sheetData sheetId="24" refreshError="1"/>
      <sheetData sheetId="25" refreshError="1"/>
      <sheetData sheetId="26" refreshError="1"/>
      <sheetData sheetId="27">
        <row r="108">
          <cell r="I108">
            <v>2634.078632970256</v>
          </cell>
        </row>
      </sheetData>
      <sheetData sheetId="28" refreshError="1"/>
      <sheetData sheetId="29" refreshError="1"/>
      <sheetData sheetId="30" refreshError="1"/>
      <sheetData sheetId="31">
        <row r="9">
          <cell r="I9">
            <v>7971.0144927536239</v>
          </cell>
        </row>
        <row r="10">
          <cell r="I10">
            <v>84.555434657824762</v>
          </cell>
        </row>
        <row r="48">
          <cell r="I48">
            <v>14341.250211551116</v>
          </cell>
        </row>
      </sheetData>
      <sheetData sheetId="32" refreshError="1"/>
      <sheetData sheetId="33" refreshError="1"/>
      <sheetData sheetId="34" refreshError="1"/>
      <sheetData sheetId="35" refreshError="1"/>
      <sheetData sheetId="36">
        <row r="10">
          <cell r="I10">
            <v>411.68039840493083</v>
          </cell>
        </row>
      </sheetData>
      <sheetData sheetId="3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ụp hình"/>
      <sheetName val="Chụp hình-2"/>
      <sheetName val="Phương Phương"/>
      <sheetName val="18 KMP- Tháng (Tâm)"/>
      <sheetName val="18 KMP- Tháng (Tâm) (3)"/>
      <sheetName val="Chart - Tâm"/>
      <sheetName val="KMP- PET"/>
      <sheetName val="KMP- HDPE"/>
      <sheetName val="18 KMP- Tháng"/>
      <sheetName val="48 KMP -Tháng"/>
      <sheetName val="Thuế TNDN"/>
    </sheetNames>
    <sheetDataSet>
      <sheetData sheetId="0">
        <row r="37">
          <cell r="L37">
            <v>0.69131808646801118</v>
          </cell>
        </row>
        <row r="38">
          <cell r="L38">
            <v>0.16237096173973625</v>
          </cell>
        </row>
        <row r="39">
          <cell r="L39">
            <v>0.86899982645691332</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hân tích-Nhâm"/>
      <sheetName val="DThu"/>
      <sheetName val="KE30"/>
      <sheetName val="ZCOR0019-02.25"/>
      <sheetName val="ZCOR0019-03.25"/>
      <sheetName val="ZCOR0019-04.25"/>
      <sheetName val="MB5B-20.03"/>
      <sheetName val="HTK CLC-10.01"/>
      <sheetName val="HTK CLC-24.03"/>
      <sheetName val="HTK CLC-31.03"/>
      <sheetName val="HTK CLC-15.05"/>
      <sheetName val="ZCOR0019-05.25"/>
      <sheetName val="ZCOR0019-03.26"/>
      <sheetName val="HTK CLC-24.06"/>
      <sheetName val="HTK CLC-17.07"/>
      <sheetName val="HTK CLC-31.03.26"/>
      <sheetName val="HTK CLC-28.03"/>
      <sheetName val="HTK CLC-28.02.26"/>
      <sheetName val="Vảy"/>
      <sheetName val="Du lieu bieu do"/>
      <sheetName val="Dinh muc"/>
      <sheetName val="Bieu do"/>
      <sheetName val="Báo cáo 24.06"/>
      <sheetName val="PET-HD-PP"/>
      <sheetName val="Báo cáo 17.07"/>
      <sheetName val="Báo cáo 31.03"/>
      <sheetName val="Assumption"/>
      <sheetName val="Result"/>
      <sheetName val="SL-HTK-Gom mã"/>
      <sheetName val="GT-HTK-Gom mã"/>
      <sheetName val="GT-HTK-13M-Gom mã "/>
      <sheetName val="GVHB"/>
      <sheetName val="DOI"/>
      <sheetName val="|"/>
      <sheetName val="Ghi chú"/>
      <sheetName val="PV-KE30"/>
      <sheetName val="GL_HTK"/>
      <sheetName val="SL-HTK"/>
      <sheetName val="GT-HTK"/>
      <sheetName val="GT-HTK-13M"/>
      <sheetName val="ĐG-HTK"/>
      <sheetName val="||"/>
      <sheetName val="Nháp"/>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5">
          <cell r="AZ25">
            <v>721384</v>
          </cell>
          <cell r="BA25">
            <v>0.12892607275073253</v>
          </cell>
        </row>
        <row r="26">
          <cell r="AZ26">
            <v>441079.35</v>
          </cell>
          <cell r="BA26">
            <v>7.882989970244117E-2</v>
          </cell>
        </row>
        <row r="27">
          <cell r="AZ27">
            <v>1306522.75</v>
          </cell>
          <cell r="BA27">
            <v>0.23350233317759631</v>
          </cell>
        </row>
        <row r="28">
          <cell r="AZ28">
            <v>1696930.8</v>
          </cell>
          <cell r="BA28">
            <v>0.30327623536668236</v>
          </cell>
        </row>
        <row r="66">
          <cell r="AZ66">
            <v>449148.6</v>
          </cell>
          <cell r="BA66">
            <v>8.0272039689665509E-2</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ta-Cũ"/>
      <sheetName val="Tóm tắt"/>
      <sheetName val="Chart"/>
      <sheetName val="Chart FC"/>
      <sheetName val="Chart SL"/>
      <sheetName val="Chart 1"/>
      <sheetName val="Chart 2_Thi truong"/>
      <sheetName val="Chart 2_KTQT"/>
      <sheetName val="Chart 2_TT&amp;KTQT"/>
      <sheetName val="Chart 3_TT5&amp;FC7_ByProduct_Cus"/>
      <sheetName val="Chart 3_TT5&amp;FC7_ByCustomer-Pro"/>
      <sheetName val="Sheet3"/>
    </sheetNames>
    <sheetDataSet>
      <sheetData sheetId="0" refreshError="1"/>
      <sheetData sheetId="1" refreshError="1"/>
      <sheetData sheetId="2" refreshError="1"/>
      <sheetData sheetId="3">
        <row r="4">
          <cell r="AV4">
            <v>2666400</v>
          </cell>
        </row>
        <row r="5">
          <cell r="AV5">
            <v>1687500</v>
          </cell>
        </row>
        <row r="6">
          <cell r="AV6">
            <v>8529600</v>
          </cell>
        </row>
        <row r="7">
          <cell r="AV7">
            <v>1246450</v>
          </cell>
        </row>
        <row r="8">
          <cell r="AV8">
            <v>902000</v>
          </cell>
        </row>
        <row r="9">
          <cell r="AV9">
            <v>681800</v>
          </cell>
        </row>
        <row r="10">
          <cell r="AV10">
            <v>660000</v>
          </cell>
        </row>
        <row r="11">
          <cell r="AV11">
            <v>155600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persons/person.xml><?xml version="1.0" encoding="utf-8"?>
<personList xmlns="http://schemas.microsoft.com/office/spreadsheetml/2018/threadedcomments" xmlns:x="http://schemas.openxmlformats.org/spreadsheetml/2006/main">
  <person displayName="Cư, Lê Hoành" id="{DD614513-59EA-458A-9CE0-D0E3FC9DA721}" userId="S::CuLH@duytanrecycling.com::8040f1d9-fc08-4340-919f-e31835b096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C7" dT="2026-01-28T15:55:49.68" personId="{00000000-0000-0000-0000-000000000000}" id="{4D2BEC0C-6EF1-43DE-9358-5C72DFA0952B}">
    <text>B1.2</text>
  </threadedComment>
</ThreadedComments>
</file>

<file path=xl/threadedComments/threadedComment2.xml><?xml version="1.0" encoding="utf-8"?>
<ThreadedComments xmlns="http://schemas.microsoft.com/office/spreadsheetml/2018/threadedcomments" xmlns:x="http://schemas.openxmlformats.org/spreadsheetml/2006/main">
  <threadedComment ref="AC7" dT="2026-01-28T15:55:49.68" personId="{00000000-0000-0000-0000-000000000000}" id="{3B1A59DE-4E19-45F6-A79D-7B2371D059DB}">
    <text>B1.2</text>
  </threadedComment>
</ThreadedComments>
</file>

<file path=xl/threadedComments/threadedComment3.xml><?xml version="1.0" encoding="utf-8"?>
<ThreadedComments xmlns="http://schemas.microsoft.com/office/spreadsheetml/2018/threadedcomments" xmlns:x="http://schemas.openxmlformats.org/spreadsheetml/2006/main">
  <threadedComment ref="AC7" dT="2026-01-28T15:55:49.68" personId="{00000000-0000-0000-0000-000000000000}" id="{F7062EF5-4859-4543-9D10-D625134162B5}">
    <text>B1.2</text>
  </threadedComment>
</ThreadedComments>
</file>

<file path=xl/threadedComments/threadedComment4.xml><?xml version="1.0" encoding="utf-8"?>
<ThreadedComments xmlns="http://schemas.microsoft.com/office/spreadsheetml/2018/threadedcomments" xmlns:x="http://schemas.openxmlformats.org/spreadsheetml/2006/main">
  <threadedComment ref="BB15" dT="2026-04-18T08:07:35.71" personId="{DD614513-59EA-458A-9CE0-D0E3FC9DA721}" id="{E5B21380-B344-465F-9A22-6D283F722CC0}">
    <text>Xem xét gán NBV như thế nào khi phát sinh hàng PL?</text>
  </threadedComment>
  <threadedComment ref="BS41" dT="2026-04-20T07:59:28.03" personId="{DD614513-59EA-458A-9CE0-D0E3FC9DA721}" id="{430DC1FF-2453-4B1B-8AE8-44BDF87209F2}">
    <text>Chạy máy YPET</text>
  </threadedComment>
  <threadedComment ref="BB194" dT="2026-04-18T08:06:41.45" personId="{DD614513-59EA-458A-9CE0-D0E3FC9DA721}" id="{79A89EE3-AF88-46AC-B889-AA8B4ECC1797}">
    <text xml:space="preserve">Nếu chĩ tạo ra 1 sp thì gán NBV =1
</text>
  </threadedComment>
  <threadedComment ref="BB216" dT="2026-04-18T08:06:21.87" personId="{DD614513-59EA-458A-9CE0-D0E3FC9DA721}" id="{5F0FD47F-2154-4DA6-BDD9-2877E7411820}">
    <text>Nếu chĩ tạo ra 1 sp thì gán NBV =1</text>
  </threadedComment>
  <threadedComment ref="BB237" dT="2026-04-18T08:06:41.45" personId="{DD614513-59EA-458A-9CE0-D0E3FC9DA721}" id="{E35E6E2C-7F5D-4315-8162-631466E0D1A9}">
    <text xml:space="preserve">Nếu chĩ tạo ra 1 sp thì gán NBV =1
</text>
  </threadedComment>
</ThreadedComments>
</file>

<file path=xl/threadedComments/threadedComment5.xml><?xml version="1.0" encoding="utf-8"?>
<ThreadedComments xmlns="http://schemas.microsoft.com/office/spreadsheetml/2018/threadedcomments" xmlns:x="http://schemas.openxmlformats.org/spreadsheetml/2006/main">
  <threadedComment ref="DW4" dT="2026-05-22T13:09:00.43" personId="{DD614513-59EA-458A-9CE0-D0E3FC9DA721}" id="{C77DB523-6F65-4A20-A7DB-DD4BBCD1FFE6}">
    <text>CF Băm +CF Rữa</text>
  </threadedComment>
  <threadedComment ref="EL4" dT="2026-05-07T04:20:22.61" personId="{DD614513-59EA-458A-9CE0-D0E3FC9DA721}" id="{29864EA2-964D-4363-AF28-96016D8974CE}">
    <text>Theo dữ liệu tính GT KH _Ngành PET</text>
  </threadedComment>
  <threadedComment ref="EL6" dT="2026-05-07T04:20:45.64" personId="{DD614513-59EA-458A-9CE0-D0E3FC9DA721}" id="{3237BE16-5289-479B-B08D-272D9E9E05CC}">
    <text>Theo thống kê và báo cáo chi phí tấn thực tế-Cả 3 ngành</text>
  </threadedComment>
  <threadedComment ref="BB15" dT="2026-04-18T08:07:35.71" personId="{DD614513-59EA-458A-9CE0-D0E3FC9DA721}" id="{0DAFFAED-BD02-49D6-B993-AFDB0D57D1CF}">
    <text>Xem xét gán NBV như thế nào khi phát sinh hàng PL?</text>
  </threadedComment>
  <threadedComment ref="DP43" dT="2026-04-20T07:59:28.03" personId="{DD614513-59EA-458A-9CE0-D0E3FC9DA721}" id="{3EB92E0F-B739-4DBD-95F6-0BC7719FBB75}">
    <text>Chạy máy YPET</text>
  </threadedComment>
  <threadedComment ref="DP54" dT="2026-04-20T07:59:28.03" personId="{DD614513-59EA-458A-9CE0-D0E3FC9DA721}" id="{F6785D6C-B37F-45D5-8E7A-9DE24362549D}">
    <text>Chạy máy YPET</text>
  </threadedComment>
  <threadedComment ref="BB211" dT="2026-04-18T08:06:41.45" personId="{DD614513-59EA-458A-9CE0-D0E3FC9DA721}" id="{206B1CCA-0348-4478-B46D-9EDAC8CE93D4}">
    <text xml:space="preserve">Nếu chĩ tạo ra 1 sp thì gán NBV =1
</text>
  </threadedComment>
  <threadedComment ref="BB226" dT="2026-04-18T08:06:21.87" personId="{DD614513-59EA-458A-9CE0-D0E3FC9DA721}" id="{8E0C2894-89FE-4DCA-B78F-554FBCC2E685}">
    <text>Nếu chĩ tạo ra 1 sp thì gán NBV =1</text>
  </threadedComment>
  <threadedComment ref="BB242" dT="2026-04-18T08:06:41.45" personId="{DD614513-59EA-458A-9CE0-D0E3FC9DA721}" id="{80984C3F-DE23-4AC3-BD50-A280DAB4A358}">
    <text xml:space="preserve">Nếu chĩ tạo ra 1 sp thì gán NBV =1
</text>
  </threadedComment>
  <threadedComment ref="BB258" dT="2026-04-18T08:06:21.87" personId="{DD614513-59EA-458A-9CE0-D0E3FC9DA721}" id="{F1AB0345-3FCE-4BCD-8B94-CFD66B2D1D05}">
    <text>Nếu chĩ tạo ra 1 sp thì gán NBV =1</text>
  </threadedComment>
  <threadedComment ref="BB275" dT="2026-04-18T08:06:41.45" personId="{DD614513-59EA-458A-9CE0-D0E3FC9DA721}" id="{06274102-4C9F-44BC-A03E-1725A919625F}">
    <text xml:space="preserve">Nếu chĩ tạo ra 1 sp thì gán NBV =1
</text>
  </threadedComment>
  <threadedComment ref="BB306" dT="2026-04-18T08:06:41.45" personId="{DD614513-59EA-458A-9CE0-D0E3FC9DA721}" id="{84CA91DE-484D-4CD7-94D3-CF1A0D50BAB3}">
    <text xml:space="preserve">Nếu chĩ tạo ra 1 sp thì gán NBV =1
</text>
  </threadedComment>
  <threadedComment ref="BB321" dT="2026-04-18T08:06:41.45" personId="{DD614513-59EA-458A-9CE0-D0E3FC9DA721}" id="{9D775091-5872-410D-93B1-C0D492ED8A0F}">
    <text xml:space="preserve">Nếu chĩ tạo ra 1 sp thì gán NBV =1
</text>
  </threadedComment>
  <threadedComment ref="BB338" dT="2026-04-18T08:06:41.45" personId="{DD614513-59EA-458A-9CE0-D0E3FC9DA721}" id="{3C977F00-FD30-4E6F-8462-C8C9AD265A75}">
    <text xml:space="preserve">Nếu chĩ tạo ra 1 sp thì gán NBV =1
</text>
  </threadedComment>
  <threadedComment ref="BB355" dT="2026-04-18T08:06:41.45" personId="{DD614513-59EA-458A-9CE0-D0E3FC9DA721}" id="{E599F224-C854-4D57-A02D-3DEFED07C03A}">
    <text xml:space="preserve">Nếu chĩ tạo ra 1 sp thì gán NBV =1
</text>
  </threadedComment>
  <threadedComment ref="BB372" dT="2026-04-18T08:06:41.45" personId="{DD614513-59EA-458A-9CE0-D0E3FC9DA721}" id="{7A22EE61-D2C1-4682-912B-F6CD7F242581}">
    <text xml:space="preserve">Nếu chĩ tạo ra 1 sp thì gán NBV =1
</text>
  </threadedComment>
  <threadedComment ref="BB388" dT="2026-04-18T08:06:41.45" personId="{DD614513-59EA-458A-9CE0-D0E3FC9DA721}" id="{707D2225-F01B-43F8-BD7A-2F662AE30DF4}">
    <text xml:space="preserve">Nếu chĩ tạo ra 1 sp thì gán NBV =1
</text>
  </threadedComment>
</ThreadedComments>
</file>

<file path=xl/threadedComments/threadedComment6.xml><?xml version="1.0" encoding="utf-8"?>
<ThreadedComments xmlns="http://schemas.microsoft.com/office/spreadsheetml/2018/threadedcomments" xmlns:x="http://schemas.openxmlformats.org/spreadsheetml/2006/main">
  <threadedComment ref="AN1" dT="2026-03-05T04:34:06.74" personId="{DD614513-59EA-458A-9CE0-D0E3FC9DA721}" id="{2351B217-16D6-458A-A3F1-D5A5C3699F68}">
    <text>CF Hao hụt chai vảy : 1.250</text>
  </threadedComment>
  <threadedComment ref="AS1" dT="2026-03-05T05:03:11.97" personId="{DD614513-59EA-458A-9CE0-D0E3FC9DA721}" id="{0F0D71B3-E502-4A1F-A7AA-9BE82400AE3D}">
    <text>Giá mua tuần 11.t3.2026: 8.333</text>
  </threadedComment>
  <threadedComment ref="AM2" dT="2026-03-05T04:39:32.33" personId="{DD614513-59EA-458A-9CE0-D0E3FC9DA721}" id="{22A75346-901B-47DE-B494-684903A66BF5}">
    <text>Vảy mua ngoài 16.000</text>
  </threadedComment>
  <threadedComment ref="AN2" dT="2026-03-05T04:40:26.11" personId="{DD614513-59EA-458A-9CE0-D0E3FC9DA721}" id="{8B267FAD-B48F-41D1-9A82-729677361E5C}">
    <text xml:space="preserve">CF Hao hụt chai- vảy: 0 
CF rữa tách kim loại: 1.637 </text>
  </threadedComment>
  <threadedComment ref="AN3" dT="2026-03-05T04:34:14.47" personId="{DD614513-59EA-458A-9CE0-D0E3FC9DA721}" id="{827C0572-0322-4994-80FF-FF017C88DA5D}">
    <text>CFSX: 4.717 (sx vảy từ chai)
CF Băm chai=&gt; vảy : 2.321
CF rữa tách kim loại: 2.396 
CFSX : Vảy từ mua vảy ngoài 1.637
CL: 3.080</text>
  </threadedComment>
</ThreadedComments>
</file>

<file path=xl/threadedComments/threadedComment7.xml><?xml version="1.0" encoding="utf-8"?>
<ThreadedComments xmlns="http://schemas.microsoft.com/office/spreadsheetml/2018/threadedcomments" xmlns:x="http://schemas.openxmlformats.org/spreadsheetml/2006/main">
  <threadedComment ref="X1" dT="2026-03-05T04:34:06.74" personId="{DD614513-59EA-458A-9CE0-D0E3FC9DA721}" id="{1493C8D0-A250-46C4-9457-4EA7145ABFE2}">
    <text>CF Hao hụt chai vảy : 1.250</text>
  </threadedComment>
  <threadedComment ref="AC1" dT="2026-03-05T05:03:11.97" personId="{DD614513-59EA-458A-9CE0-D0E3FC9DA721}" id="{458C66BD-50EC-47DE-8066-12A96B654326}">
    <text>Giá mua tuần 11.t3.2026: 8.333</text>
  </threadedComment>
  <threadedComment ref="W2" dT="2026-03-05T04:39:32.33" personId="{DD614513-59EA-458A-9CE0-D0E3FC9DA721}" id="{2800527E-DC1B-468C-A936-17AB9194AE63}">
    <text>Vảy mua ngoài 16.000</text>
  </threadedComment>
  <threadedComment ref="X2" dT="2026-03-05T04:40:26.11" personId="{DD614513-59EA-458A-9CE0-D0E3FC9DA721}" id="{0B4A1F93-539A-41A0-A224-6ED109BF0B6B}">
    <text xml:space="preserve">CF Hao hụt chai- vảy: 0 
CF rữa tách kim loại: 1.637 </text>
  </threadedComment>
  <threadedComment ref="BI2" dT="2026-04-23T15:18:28.54" personId="{DD614513-59EA-458A-9CE0-D0E3FC9DA721}" id="{D17812C2-A378-4EE2-AF61-AB21C7203EFE}">
    <text>Giá tháng 5 :silde 1033</text>
  </threadedComment>
  <threadedComment ref="CJ2" dT="2026-04-20T02:32:56.41" personId="{DD614513-59EA-458A-9CE0-D0E3FC9DA721}" id="{91F8E64B-2205-4701-9785-22CA779F957E}">
    <text>Giá file KTQT</text>
  </threadedComment>
  <threadedComment ref="X3" dT="2026-03-05T04:34:14.47" personId="{DD614513-59EA-458A-9CE0-D0E3FC9DA721}" id="{5453A160-B375-4183-BFEE-AB9DFBB4377C}">
    <text>CFSX: 4.717 (sx vảy từ chai)
CF Băm chai=&gt; vảy : 2.321
CF rữa tách kim loại: 2.396 
CFSX : Vảy từ mua vảy ngoài 1.637
CL: 3.080</text>
  </threadedComment>
  <threadedComment ref="BI4" dT="2026-04-23T13:10:50.64" personId="{DD614513-59EA-458A-9CE0-D0E3FC9DA721}" id="{9C7C3CD2-BACD-472D-9D1F-837518BDE8E3}">
    <text>Giá tháng 5 : Slide 5: W01g 1012 diff 60</text>
  </threadedComment>
  <threadedComment ref="BN5" dT="2026-04-23T09:24:32.69" personId="{DD614513-59EA-458A-9CE0-D0E3FC9DA721}" id="{ED591AF0-7D03-4A65-9157-9570A500D0BB}">
    <text>IV 0.76</text>
  </threadedComment>
  <threadedComment ref="AM10" dT="2026-04-23T04:25:22.97" personId="{DD614513-59EA-458A-9CE0-D0E3FC9DA721}" id="{86AC77DA-84D7-4B9A-9937-DF6B8D663730}">
    <text>Hảo cần Check lại -BOM hiện đang dùng vảy Mix B6.2~89%, B5~11%
=&gt; Dư B6.2</text>
  </threadedComment>
  <threadedComment ref="BZ10" dT="2026-04-21T07:25:12.95" personId="{DD614513-59EA-458A-9CE0-D0E3FC9DA721}" id="{C3AAA03B-EA29-49AF-93B4-828D34704635}">
    <text>Check %LNST</text>
  </threadedComment>
  <threadedComment ref="BI12" dT="2026-04-21T07:01:13.55" personId="{DD614513-59EA-458A-9CE0-D0E3FC9DA721}" id="{48C32081-3A72-474D-B6BF-CF6EF74346FF}">
    <text>Báo cáo giá thành tháng 3, Tâm bq3 tháng ~998USD/tấn; CPQLBHTC~144USD/T</text>
  </threadedComment>
  <threadedComment ref="BC37" dT="2026-04-03T09:47:28.36" personId="{DD614513-59EA-458A-9CE0-D0E3FC9DA721}" id="{297E2849-6910-492E-B6C4-88E62DFAAD8D}">
    <text>Vảy nắp HD ép</text>
  </threadedComment>
</ThreadedComments>
</file>

<file path=xl/threadedComments/threadedComment8.xml><?xml version="1.0" encoding="utf-8"?>
<ThreadedComments xmlns="http://schemas.microsoft.com/office/spreadsheetml/2018/threadedcomments" xmlns:x="http://schemas.openxmlformats.org/spreadsheetml/2006/main">
  <threadedComment ref="X1" dT="2026-03-05T04:34:06.74" personId="{DD614513-59EA-458A-9CE0-D0E3FC9DA721}" id="{8064FE97-EACF-4A1A-A887-8277724DDE80}">
    <text>CF Hao hụt chai vảy : 1.250</text>
  </threadedComment>
  <threadedComment ref="AC1" dT="2026-03-05T05:03:11.97" personId="{DD614513-59EA-458A-9CE0-D0E3FC9DA721}" id="{208E280E-34F7-4484-B208-96087272936A}">
    <text>Giá mua tuần 11.t3.2026: 8.333</text>
  </threadedComment>
  <threadedComment ref="AK1" dT="2026-04-27T14:04:35.34" personId="{DD614513-59EA-458A-9CE0-D0E3FC9DA721}" id="{5E4BB06F-AD84-4B69-837E-2CCA1979EFBC}">
    <text>Nếu mua ngoài vậy cân bằng SL dư cảu B1 ? Hay dùng nhiều B1 làm giá thành tăng</text>
  </threadedComment>
  <threadedComment ref="W2" dT="2026-03-05T04:39:32.33" personId="{DD614513-59EA-458A-9CE0-D0E3FC9DA721}" id="{B75802E9-32F9-46BC-9F43-2FE126EA830D}">
    <text>Vảy mua ngoài 16.000</text>
  </threadedComment>
  <threadedComment ref="X2" dT="2026-03-05T04:40:26.11" personId="{DD614513-59EA-458A-9CE0-D0E3FC9DA721}" id="{B1143B78-52A1-4669-910E-53464A311404}">
    <text xml:space="preserve">CF Hao hụt chai- vảy: 0 
CF rữa tách kim loại: 1.637 </text>
  </threadedComment>
  <threadedComment ref="BI2" dT="2026-04-23T15:18:28.54" personId="{DD614513-59EA-458A-9CE0-D0E3FC9DA721}" id="{C42B29F1-E519-48BA-B032-CA74611B25CD}">
    <text>Giá tháng 5 :silde 1033</text>
  </threadedComment>
  <threadedComment ref="CP2" dT="2026-04-20T02:32:56.41" personId="{DD614513-59EA-458A-9CE0-D0E3FC9DA721}" id="{08D87B1E-89B9-41EF-8622-A7AA2BCF630E}">
    <text>Giá file KTQT</text>
  </threadedComment>
  <threadedComment ref="DN2" dT="2026-04-20T02:32:56.41" personId="{DD614513-59EA-458A-9CE0-D0E3FC9DA721}" id="{3FC1D0C0-6DAD-467E-913A-CC340CDA1F46}">
    <text>Giá file KTQT</text>
  </threadedComment>
  <threadedComment ref="X3" dT="2026-03-05T04:34:14.47" personId="{DD614513-59EA-458A-9CE0-D0E3FC9DA721}" id="{4417D15B-3C57-4530-B02F-907BE69A1C02}">
    <text>CFSX: 4.717 (sx vảy từ chai)
CF Băm chai=&gt; vảy : 2.321
CF rữa tách kim loại: 2.396 
CFSX : Vảy từ mua vảy ngoài 1.637
CL: 3.080</text>
  </threadedComment>
  <threadedComment ref="BI4" dT="2026-04-23T13:10:50.64" personId="{DD614513-59EA-458A-9CE0-D0E3FC9DA721}" id="{92186AF8-2746-4175-A1A7-325336B5025E}">
    <text>Trình giá giá tháng 5 : Slide 7: W01g 1012 diff 45</text>
  </threadedComment>
  <threadedComment ref="BN5" dT="2026-04-23T09:24:32.69" personId="{DD614513-59EA-458A-9CE0-D0E3FC9DA721}" id="{E95CB83B-3CCE-48CD-A68E-924378EC76D0}">
    <text>IV 0.76</text>
  </threadedComment>
  <threadedComment ref="CZ5" dT="2026-04-23T09:24:32.69" personId="{DD614513-59EA-458A-9CE0-D0E3FC9DA721}" id="{D119A275-4B0D-48AD-93B3-B07A95724303}">
    <text>IV 0.76</text>
  </threadedComment>
  <threadedComment ref="AM10" dT="2026-04-23T04:25:22.97" personId="{DD614513-59EA-458A-9CE0-D0E3FC9DA721}" id="{F44EB845-9841-48D8-AD82-9EC37B8393C8}">
    <text>Hảo cần Check lại -BOM hiện đang dùng vảy Mix B6.2~89%, B5~11%
=&gt; Dư B6.2</text>
  </threadedComment>
  <threadedComment ref="CF10" dT="2026-04-21T07:25:12.95" personId="{DD614513-59EA-458A-9CE0-D0E3FC9DA721}" id="{072C248E-E00D-4648-9B53-C7DBA7D950B8}">
    <text>Check %LNST</text>
  </threadedComment>
  <threadedComment ref="BI12" dT="2026-04-21T07:01:13.55" personId="{DD614513-59EA-458A-9CE0-D0E3FC9DA721}" id="{E3F4553C-3D88-487A-9062-4FACD74E7DAE}">
    <text>Báo cáo giá thành tháng 3, Tâm bq3 tháng ~998USD/tấn; CPQLBHTC~144USD/T</text>
  </threadedComment>
  <threadedComment ref="BC37" dT="2026-04-03T09:47:28.36" personId="{DD614513-59EA-458A-9CE0-D0E3FC9DA721}" id="{1D5958A4-8879-40CB-B7AC-5CBB2BBEACA0}">
    <text>Vảy nắp HD ép</text>
  </threadedComment>
</ThreadedComments>
</file>

<file path=xl/threadedComments/threadedComment9.xml><?xml version="1.0" encoding="utf-8"?>
<ThreadedComments xmlns="http://schemas.microsoft.com/office/spreadsheetml/2018/threadedcomments" xmlns:x="http://schemas.openxmlformats.org/spreadsheetml/2006/main">
  <threadedComment ref="X1" dT="2026-03-05T04:34:06.74" personId="{DD614513-59EA-458A-9CE0-D0E3FC9DA721}" id="{AB160744-1F4F-40F1-9F66-CDADD27C3DBB}">
    <text>CF Hao hụt chai vảy : 1.250</text>
  </threadedComment>
  <threadedComment ref="AC1" dT="2026-03-05T05:03:11.97" personId="{DD614513-59EA-458A-9CE0-D0E3FC9DA721}" id="{FD0D1EF3-BFDE-418E-8E88-9A77E479AE3A}">
    <text>Giá mua tuần 11.t3.2026: 8.333</text>
  </threadedComment>
  <threadedComment ref="AK1" dT="2026-04-27T14:04:35.34" personId="{DD614513-59EA-458A-9CE0-D0E3FC9DA721}" id="{DEE29882-683F-444F-91F6-42828693BC91}">
    <text>Nếu mua ngoài vậy cân bằng SL dư cảu B1 ? Hay dùng nhiều B1 làm giá thành tăng</text>
  </threadedComment>
  <threadedComment ref="W2" dT="2026-03-05T04:39:32.33" personId="{DD614513-59EA-458A-9CE0-D0E3FC9DA721}" id="{72206207-941F-4262-A131-D44FB30683F1}">
    <text>Vảy mua ngoài 16.000</text>
  </threadedComment>
  <threadedComment ref="X2" dT="2026-03-05T04:40:26.11" personId="{DD614513-59EA-458A-9CE0-D0E3FC9DA721}" id="{174E023E-D6C6-4A9C-86B5-8506E2226FC6}">
    <text xml:space="preserve">CF Hao hụt chai- vảy: 0 
CF rữa tách kim loại: 1.637 </text>
  </threadedComment>
  <threadedComment ref="BI2" dT="2026-04-23T15:18:28.54" personId="{DD614513-59EA-458A-9CE0-D0E3FC9DA721}" id="{A66E5D5F-086E-4141-9FD8-0190C9EFE534}">
    <text>Giá tháng 5 :silde 1033</text>
  </threadedComment>
  <threadedComment ref="CP2" dT="2026-04-20T02:32:56.41" personId="{DD614513-59EA-458A-9CE0-D0E3FC9DA721}" id="{9F464CC1-DCC2-45D1-9961-D99DA7494792}">
    <text>Giá file KTQT</text>
  </threadedComment>
  <threadedComment ref="DN2" dT="2026-04-20T02:32:56.41" personId="{DD614513-59EA-458A-9CE0-D0E3FC9DA721}" id="{B25F48F0-2DF7-4CE5-9D9A-96C8B30AEB98}">
    <text>Giá file KTQT</text>
  </threadedComment>
  <threadedComment ref="X3" dT="2026-03-05T04:34:14.47" personId="{DD614513-59EA-458A-9CE0-D0E3FC9DA721}" id="{C31B63E2-CFEC-4E4B-83B7-DC4DD85F3B2A}">
    <text>CFSX: 4.717 (sx vảy từ chai)
CF Băm chai=&gt; vảy : 2.321
CF rữa tách kim loại: 2.396 
CFSX : Vảy từ mua vảy ngoài 1.637
CL: 3.080</text>
  </threadedComment>
  <threadedComment ref="BI4" dT="2026-04-23T13:10:50.64" personId="{DD614513-59EA-458A-9CE0-D0E3FC9DA721}" id="{1FB698FF-71DD-47CF-8CED-9985B30DE34F}">
    <text>Trình giá giá tháng 5 : Slide 7: W01g 1012 diff 17</text>
  </threadedComment>
  <threadedComment ref="BN5" dT="2026-04-23T09:24:32.69" personId="{DD614513-59EA-458A-9CE0-D0E3FC9DA721}" id="{272DA99A-56A8-461B-9095-2E60A2FFB1BE}">
    <text>IV 0.76</text>
  </threadedComment>
  <threadedComment ref="CZ5" dT="2026-04-23T09:24:32.69" personId="{DD614513-59EA-458A-9CE0-D0E3FC9DA721}" id="{A3BEB023-2747-45A4-84CF-CAE82C8CAF2B}">
    <text>IV 0.76</text>
  </threadedComment>
  <threadedComment ref="AM10" dT="2026-04-23T04:25:22.97" personId="{DD614513-59EA-458A-9CE0-D0E3FC9DA721}" id="{15F78BF3-D5E6-4561-A4D0-D94B26885A32}">
    <text>Hảo cần Check lại -BOM hiện đang dùng vảy Mix B6.2~89%, B5~11%
=&gt; Dư B6.2</text>
  </threadedComment>
  <threadedComment ref="CF10" dT="2026-04-21T07:25:12.95" personId="{DD614513-59EA-458A-9CE0-D0E3FC9DA721}" id="{911A08A8-9FE6-439C-B233-E7D551F03296}">
    <text>Check %LNST</text>
  </threadedComment>
  <threadedComment ref="BI12" dT="2026-04-21T07:01:13.55" personId="{DD614513-59EA-458A-9CE0-D0E3FC9DA721}" id="{F342B117-4FBD-43E2-B7E5-FECC5A967A54}">
    <text>Báo cáo giá thành tháng 3, Tâm bq3 tháng ~998USD/tấn; CPQLBHTC~144USD/T</text>
  </threadedComment>
  <threadedComment ref="BC37" dT="2026-04-03T09:47:28.36" personId="{DD614513-59EA-458A-9CE0-D0E3FC9DA721}" id="{8A9A0ED3-73EB-4D7B-99DF-3BE3CB2851EF}">
    <text>Vảy nắp HD ép</text>
  </threadedComment>
</ThreadedComments>
</file>

<file path=xl/threadedComments/threadedComment10.xml><?xml version="1.0" encoding="utf-8"?>
<ThreadedComments xmlns="http://schemas.microsoft.com/office/spreadsheetml/2018/threadedcomments" xmlns:x="http://schemas.openxmlformats.org/spreadsheetml/2006/main">
  <threadedComment ref="X1" dT="2026-03-05T04:34:06.74" personId="{DD614513-59EA-458A-9CE0-D0E3FC9DA721}" id="{AE6A4A60-B1AC-4B1D-A5F1-0BEFC4C578E1}">
    <text>CF Hao hụt chai vảy : 1.250</text>
  </threadedComment>
  <threadedComment ref="AC1" dT="2026-03-05T05:03:11.97" personId="{DD614513-59EA-458A-9CE0-D0E3FC9DA721}" id="{9624C44C-782C-4708-8BB1-6633AFA41D27}">
    <text>Giá mua tuần 11.t3.2026: 8.333</text>
  </threadedComment>
  <threadedComment ref="W2" dT="2026-03-05T04:39:32.33" personId="{DD614513-59EA-458A-9CE0-D0E3FC9DA721}" id="{CAA31876-D9DE-48C7-B2B0-A1A6DBD5584F}">
    <text>Vảy mua ngoài 16.000</text>
  </threadedComment>
  <threadedComment ref="X2" dT="2026-03-05T04:40:26.11" personId="{DD614513-59EA-458A-9CE0-D0E3FC9DA721}" id="{F98FD181-F889-4732-8507-820D48CE45C8}">
    <text xml:space="preserve">CF Hao hụt chai- vảy: 0 
CF rữa tách kim loại: 1.637 </text>
  </threadedComment>
  <threadedComment ref="X3" dT="2026-03-05T04:34:14.47" personId="{DD614513-59EA-458A-9CE0-D0E3FC9DA721}" id="{AFDE2B07-F916-4CAE-A7A0-70AC46F2DC9E}">
    <text>CFSX: 4.717 (sx vảy từ chai)
CF Băm chai=&gt; vảy : 2.321
CF rữa tách kim loại: 2.396 
CFSX : Vảy từ mua vảy ngoài 1.637
CL: 3.080</text>
  </threadedComment>
  <threadedComment ref="AD3" dT="2026-03-05T05:03:43.65" personId="{DD614513-59EA-458A-9CE0-D0E3FC9DA721}" id="{1A75ECED-028A-41F7-B5F2-F79BFAFDA375}">
    <text>Hiệu suất máy 25%. CS : 350kg/h</text>
  </threadedComment>
</ThreadedComments>
</file>

<file path=xl/threadedComments/threadedComment11.xml><?xml version="1.0" encoding="utf-8"?>
<ThreadedComments xmlns="http://schemas.microsoft.com/office/spreadsheetml/2018/threadedcomments" xmlns:x="http://schemas.openxmlformats.org/spreadsheetml/2006/main">
  <threadedComment ref="X1" dT="2026-03-05T04:34:06.74" personId="{DD614513-59EA-458A-9CE0-D0E3FC9DA721}" id="{6D747270-A6D3-4D44-9D2A-0FEBCC1710EE}">
    <text>CF Hao hụt chai vảy : 1.250</text>
  </threadedComment>
  <threadedComment ref="AC1" dT="2026-03-05T05:03:11.97" personId="{DD614513-59EA-458A-9CE0-D0E3FC9DA721}" id="{1F72E1B9-880C-4BB6-9ACE-2A994A2A9502}">
    <text>Giá mua tuần 11.t3.2026: 8.333</text>
  </threadedComment>
  <threadedComment ref="W2" dT="2026-03-05T04:39:32.33" personId="{DD614513-59EA-458A-9CE0-D0E3FC9DA721}" id="{F38D2B84-1C08-467B-BB92-79696299D323}">
    <text>Vảy mua ngoài 16.000</text>
  </threadedComment>
  <threadedComment ref="X2" dT="2026-03-05T04:40:26.11" personId="{DD614513-59EA-458A-9CE0-D0E3FC9DA721}" id="{A700A905-3CC6-4AA1-9D88-0BA452F916EB}">
    <text xml:space="preserve">CF Hao hụt chai- vảy: 0 
CF rữa tách kim loại: 1.637 </text>
  </threadedComment>
  <threadedComment ref="X3" dT="2026-03-05T04:34:14.47" personId="{DD614513-59EA-458A-9CE0-D0E3FC9DA721}" id="{A4BC62AC-BCE4-484C-8046-6E25FF8EDA7A}">
    <text>CFSX: 4.717 (sx vảy từ chai)
CF Băm chai=&gt; vảy : 2.321
CF rữa tách kim loại: 2.396 
CFSX : Vảy từ mua vảy ngoài 1.637
CL: 3.080</text>
  </threadedComment>
  <threadedComment ref="AD3" dT="2026-03-05T05:03:43.65" personId="{DD614513-59EA-458A-9CE0-D0E3FC9DA721}" id="{650D5BED-EF72-424C-B52C-2F2F835BE356}">
    <text>Hiệu suất máy 25%. CS : 350kg/h</text>
  </threadedComment>
  <threadedComment ref="AN29" dT="2026-03-06T01:06:30.75" personId="{DD614513-59EA-458A-9CE0-D0E3FC9DA721}" id="{9DBD5DE7-9D97-4A34-9944-3242BFF54357}">
    <text>Outerrinho 1000 ton/thang</text>
  </threadedComment>
</ThreadedComments>
</file>

<file path=xl/threadedComments/threadedComment12.xml><?xml version="1.0" encoding="utf-8"?>
<ThreadedComments xmlns="http://schemas.microsoft.com/office/spreadsheetml/2018/threadedcomments" xmlns:x="http://schemas.openxmlformats.org/spreadsheetml/2006/main">
  <threadedComment ref="X1" dT="2026-03-05T04:34:06.74" personId="{DD614513-59EA-458A-9CE0-D0E3FC9DA721}" id="{BCE78AA8-2B36-47A7-88DF-304DC1231B1F}">
    <text>CF Hao hụt chai vảy : 1.250</text>
  </threadedComment>
  <threadedComment ref="AC1" dT="2026-03-05T05:03:11.97" personId="{DD614513-59EA-458A-9CE0-D0E3FC9DA721}" id="{FB6A854D-B904-40D5-ACD8-B441CA54058C}">
    <text>Giá mua tuần 11.t3.2026: 8.333</text>
  </threadedComment>
  <threadedComment ref="V2" dT="2026-03-05T04:39:32.33" personId="{DD614513-59EA-458A-9CE0-D0E3FC9DA721}" id="{2B11E8AF-31D8-4A4A-A68D-024CB50310F4}">
    <text>Vảy mua ngoài 16.000</text>
  </threadedComment>
  <threadedComment ref="W2" dT="2026-03-05T04:39:32.33" personId="{DD614513-59EA-458A-9CE0-D0E3FC9DA721}" id="{B975E80B-7A29-4A50-93F4-DC685EA20A4D}">
    <text>Vảy mua ngoài 16.000</text>
  </threadedComment>
  <threadedComment ref="X2" dT="2026-03-05T04:40:26.11" personId="{DD614513-59EA-458A-9CE0-D0E3FC9DA721}" id="{B3EBEE92-3645-4D55-93A1-A2C02699AA45}">
    <text xml:space="preserve">CF Hao hụt chai- vảy: 0 
CF rữa tách kim loại: 1.637 </text>
  </threadedComment>
  <threadedComment ref="X3" dT="2026-03-05T04:34:14.47" personId="{DD614513-59EA-458A-9CE0-D0E3FC9DA721}" id="{E2D28AE4-F2C1-46E5-B9E1-D21CCF46DB11}">
    <text>CFSX: 4.717 (sx vảy từ chai)
CF Băm chai=&gt; vảy : 2.321
CF rữa tách kim loại: 2.396 
CFSX : Vảy từ mua vảy ngoài 1.637
CL: 3.080</text>
  </threadedComment>
  <threadedComment ref="AD3" dT="2026-03-05T05:03:43.65" personId="{DD614513-59EA-458A-9CE0-D0E3FC9DA721}" id="{D0403DE0-E30D-49F6-90A0-D14CECFBBD01}">
    <text>Hiệu suất máy 25%. CS : 350kg/h</text>
  </threadedComment>
  <threadedComment ref="AQ11" dT="2026-03-06T01:06:30.75" personId="{DD614513-59EA-458A-9CE0-D0E3FC9DA721}" id="{5AD5B935-BB63-4AF9-A579-89926C4F14A9}">
    <text>Outerrinho 1000 ton/thang</text>
  </threadedComment>
  <threadedComment ref="AQ29" dT="2026-03-06T01:06:30.75" personId="{DD614513-59EA-458A-9CE0-D0E3FC9DA721}" id="{B69830D4-8C16-4633-BD64-D0CBC85F9DEA}">
    <text>Outerrinho 1000 ton/thang</text>
  </threadedComment>
  <threadedComment ref="AL37" dT="2026-04-06T15:08:55.95" personId="{DD614513-59EA-458A-9CE0-D0E3FC9DA721}" id="{CAB671AE-7334-48B0-B0A5-A46CD5D2E034}">
    <text>Lưu ý chi phí SX HDPE, PP khác</text>
  </threadedComment>
  <threadedComment ref="AQ41" dT="2026-03-06T01:06:30.75" personId="{DD614513-59EA-458A-9CE0-D0E3FC9DA721}" id="{3CF45EED-0570-464A-AEE3-156BA07C7996}">
    <text>Outerrinho 1000 ton/thang</text>
  </threadedComment>
</ThreadedComments>
</file>

<file path=xl/threadedComments/threadedComment13.xml><?xml version="1.0" encoding="utf-8"?>
<ThreadedComments xmlns="http://schemas.microsoft.com/office/spreadsheetml/2018/threadedcomments" xmlns:x="http://schemas.openxmlformats.org/spreadsheetml/2006/main">
  <threadedComment ref="X1" dT="2026-03-05T04:34:06.74" personId="{DD614513-59EA-458A-9CE0-D0E3FC9DA721}" id="{91A61D56-8F9C-4CCE-9C5C-A233A17EFE85}">
    <text>CF Hao hụt chai vảy : 1.250</text>
  </threadedComment>
  <threadedComment ref="AC1" dT="2026-03-05T05:03:11.97" personId="{DD614513-59EA-458A-9CE0-D0E3FC9DA721}" id="{A632C9DD-4635-490E-BDAD-59B63016F44E}">
    <text>Giá mua tuần 11.t3.2026: 8.333</text>
  </threadedComment>
  <threadedComment ref="V2" dT="2026-03-05T04:39:32.33" personId="{DD614513-59EA-458A-9CE0-D0E3FC9DA721}" id="{15CB52BA-5143-4D2B-823F-69D91F18761B}">
    <text>Vảy mua ngoài 18.300</text>
  </threadedComment>
  <threadedComment ref="W2" dT="2026-03-05T04:39:32.33" personId="{DD614513-59EA-458A-9CE0-D0E3FC9DA721}" id="{80EFA925-67C7-4549-B76F-FAA043D9BB02}">
    <text>Vảy mua ngoài 16.000</text>
  </threadedComment>
  <threadedComment ref="X2" dT="2026-03-05T04:40:26.11" personId="{DD614513-59EA-458A-9CE0-D0E3FC9DA721}" id="{26005B0B-902E-4422-80ED-601364B8BECF}">
    <text xml:space="preserve">CF Hao hụt chai- vảy: 0 
CF rữa tách kim loại: 1.637 </text>
  </threadedComment>
  <threadedComment ref="X3" dT="2026-03-05T04:34:14.47" personId="{DD614513-59EA-458A-9CE0-D0E3FC9DA721}" id="{6520395E-3BEB-43B5-BCA3-1E229F8DE29F}">
    <text>CFSX: 4.717 (sx vảy từ chai)
CF Băm chai=&gt; vảy : 2.321
CF rữa tách kim loại: 2.396 
CFSX : Vảy từ mua vảy ngoài 1.637
CL: 3.080</text>
  </threadedComment>
  <threadedComment ref="AD3" dT="2026-03-05T05:03:43.65" personId="{DD614513-59EA-458A-9CE0-D0E3FC9DA721}" id="{BC979D25-39AC-4A2D-9B3D-3B7DC2581C04}">
    <text>Hiệu suất máy 25%. CS : 350kg/h</text>
  </threadedComment>
  <threadedComment ref="AQ29" dT="2026-03-06T01:06:30.75" personId="{DD614513-59EA-458A-9CE0-D0E3FC9DA721}" id="{D5E5B7D7-1B24-44AB-94A1-ACBC62FD8FFA}">
    <text>Outerrinho 1000 ton/thang</text>
  </threadedComment>
</ThreadedComments>
</file>

<file path=xl/threadedComments/threadedComment14.xml><?xml version="1.0" encoding="utf-8"?>
<ThreadedComments xmlns="http://schemas.microsoft.com/office/spreadsheetml/2018/threadedcomments" xmlns:x="http://schemas.openxmlformats.org/spreadsheetml/2006/main">
  <threadedComment ref="X1" dT="2026-03-05T04:34:06.74" personId="{DD614513-59EA-458A-9CE0-D0E3FC9DA721}" id="{2FAE976D-6DB0-45A5-8DA1-8DCB6FE9A821}">
    <text>CF Hao hụt chai vảy : 1.250</text>
  </threadedComment>
  <threadedComment ref="AC1" dT="2026-03-05T05:03:11.97" personId="{DD614513-59EA-458A-9CE0-D0E3FC9DA721}" id="{810296C4-2C9F-4C0B-955B-60E9E75CBCD9}">
    <text>Giá mua tuần 11.t3.2026: 8.333</text>
  </threadedComment>
  <threadedComment ref="V2" dT="2026-03-05T04:39:32.33" personId="{DD614513-59EA-458A-9CE0-D0E3FC9DA721}" id="{444D1E5E-A95F-4FA4-85E4-F4E3C82209F6}">
    <text>Vảy mua ngoài 16.000</text>
  </threadedComment>
  <threadedComment ref="W2" dT="2026-03-05T04:39:32.33" personId="{DD614513-59EA-458A-9CE0-D0E3FC9DA721}" id="{33B2AD2C-DCFA-4C67-A9D7-76F836E6BD7A}">
    <text>Vảy mua ngoài 16.000</text>
  </threadedComment>
  <threadedComment ref="X2" dT="2026-03-05T04:40:26.11" personId="{DD614513-59EA-458A-9CE0-D0E3FC9DA721}" id="{C68B0352-0531-44B5-AAAF-1723D00E5A53}">
    <text xml:space="preserve">CF Hao hụt chai- vảy: 0 
CF rữa tách kim loại: 1.637 </text>
  </threadedComment>
  <threadedComment ref="X3" dT="2026-03-05T04:34:14.47" personId="{DD614513-59EA-458A-9CE0-D0E3FC9DA721}" id="{F488DC82-5A85-4177-A33D-85428B06154F}">
    <text>CFSX: 4.717 (sx vảy từ chai)
CF Băm chai=&gt; vảy : 2.321
CF rữa tách kim loại: 2.396 
CFSX : Vảy từ mua vảy ngoài 1.637
CL: 3.080</text>
  </threadedComment>
  <threadedComment ref="AD3" dT="2026-03-05T05:03:43.65" personId="{DD614513-59EA-458A-9CE0-D0E3FC9DA721}" id="{3A01E4B6-D293-4BA9-BF75-39BD9A0DA5A9}">
    <text>Hiệu suất máy 25%. CS : 350kg/h</text>
  </threadedComment>
  <threadedComment ref="AQ29" dT="2026-03-06T01:06:30.75" personId="{DD614513-59EA-458A-9CE0-D0E3FC9DA721}" id="{EC68B563-C70C-4DD9-AA88-CA8453F00717}">
    <text>Outerrinho 1000 ton/thang, 720 trước t4</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B&#225;o%20CT%20_Model\PET_FULL_CFO_OPTIMIZATION.xlsx"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1.vml"/><Relationship Id="rId1" Type="http://schemas.openxmlformats.org/officeDocument/2006/relationships/printerSettings" Target="../printerSettings/printerSettings1.bin"/><Relationship Id="rId4" Type="http://schemas.microsoft.com/office/2017/10/relationships/threadedComment" Target="../threadedComments/threadedComment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12.vml"/><Relationship Id="rId1" Type="http://schemas.openxmlformats.org/officeDocument/2006/relationships/drawing" Target="../drawings/drawing45.xml"/><Relationship Id="rId4" Type="http://schemas.microsoft.com/office/2017/10/relationships/threadedComment" Target="../threadedComments/threadedComment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46.xml"/><Relationship Id="rId1" Type="http://schemas.openxmlformats.org/officeDocument/2006/relationships/hyperlink" Target="mailto:20@" TargetMode="External"/><Relationship Id="rId5" Type="http://schemas.microsoft.com/office/2017/10/relationships/threadedComment" Target="../threadedComments/threadedComment7.xml"/><Relationship Id="rId4" Type="http://schemas.openxmlformats.org/officeDocument/2006/relationships/comments" Target="../comments8.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2.bin"/><Relationship Id="rId1" Type="http://schemas.openxmlformats.org/officeDocument/2006/relationships/hyperlink" Target="mailto:20@" TargetMode="External"/><Relationship Id="rId6" Type="http://schemas.microsoft.com/office/2017/10/relationships/threadedComment" Target="../threadedComments/threadedComment8.xml"/><Relationship Id="rId5" Type="http://schemas.openxmlformats.org/officeDocument/2006/relationships/comments" Target="../comments9.xml"/><Relationship Id="rId4"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3.bin"/><Relationship Id="rId1" Type="http://schemas.openxmlformats.org/officeDocument/2006/relationships/hyperlink" Target="mailto:20@" TargetMode="External"/><Relationship Id="rId6" Type="http://schemas.microsoft.com/office/2017/10/relationships/threadedComment" Target="../threadedComments/threadedComment9.xml"/><Relationship Id="rId5" Type="http://schemas.openxmlformats.org/officeDocument/2006/relationships/comments" Target="../comments10.xml"/><Relationship Id="rId4"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2.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3.xml"/><Relationship Id="rId1" Type="http://schemas.openxmlformats.org/officeDocument/2006/relationships/vmlDrawing" Target="../drawings/vmlDrawing18.v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4.xml"/><Relationship Id="rId1"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5.xml"/><Relationship Id="rId1" Type="http://schemas.openxmlformats.org/officeDocument/2006/relationships/vmlDrawing" Target="../drawings/vmlDrawing20.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2FC5-0B6C-4DA2-A989-7528B45758F8}">
  <dimension ref="B2:F30"/>
  <sheetViews>
    <sheetView workbookViewId="0">
      <selection activeCell="D14" sqref="D14"/>
    </sheetView>
  </sheetViews>
  <sheetFormatPr defaultRowHeight="14.5" x14ac:dyDescent="0.35"/>
  <cols>
    <col min="2" max="2" width="14.7265625" customWidth="1"/>
    <col min="3" max="3" width="33.54296875" customWidth="1"/>
    <col min="4" max="4" width="13.08984375" customWidth="1"/>
    <col min="5" max="5" width="9.6328125" customWidth="1"/>
    <col min="6" max="6" width="17.6328125" bestFit="1" customWidth="1"/>
  </cols>
  <sheetData>
    <row r="2" spans="2:6" x14ac:dyDescent="0.35">
      <c r="B2" s="75" t="s">
        <v>969</v>
      </c>
    </row>
    <row r="3" spans="2:6" x14ac:dyDescent="0.35">
      <c r="B3" t="s">
        <v>943</v>
      </c>
    </row>
    <row r="4" spans="2:6" x14ac:dyDescent="0.35">
      <c r="B4" t="s">
        <v>944</v>
      </c>
    </row>
    <row r="5" spans="2:6" x14ac:dyDescent="0.35">
      <c r="B5" t="s">
        <v>945</v>
      </c>
    </row>
    <row r="6" spans="2:6" x14ac:dyDescent="0.35">
      <c r="B6" t="s">
        <v>963</v>
      </c>
    </row>
    <row r="7" spans="2:6" x14ac:dyDescent="0.35">
      <c r="B7" t="s">
        <v>964</v>
      </c>
    </row>
    <row r="8" spans="2:6" x14ac:dyDescent="0.35">
      <c r="B8" t="s">
        <v>965</v>
      </c>
    </row>
    <row r="9" spans="2:6" x14ac:dyDescent="0.35">
      <c r="B9" s="75" t="s">
        <v>976</v>
      </c>
    </row>
    <row r="11" spans="2:6" x14ac:dyDescent="0.35">
      <c r="B11" s="998" t="s">
        <v>947</v>
      </c>
      <c r="C11" s="65"/>
      <c r="D11" s="65"/>
      <c r="E11" s="65"/>
    </row>
    <row r="12" spans="2:6" ht="27" customHeight="1" x14ac:dyDescent="0.35">
      <c r="B12" t="s">
        <v>926</v>
      </c>
      <c r="D12" s="74" t="s">
        <v>966</v>
      </c>
      <c r="E12" s="74"/>
      <c r="F12" s="74" t="s">
        <v>967</v>
      </c>
    </row>
    <row r="13" spans="2:6" x14ac:dyDescent="0.35">
      <c r="B13">
        <v>1</v>
      </c>
      <c r="C13" t="s">
        <v>927</v>
      </c>
      <c r="D13">
        <f>2700-3000</f>
        <v>-300</v>
      </c>
    </row>
    <row r="14" spans="2:6" x14ac:dyDescent="0.35">
      <c r="B14" s="181">
        <v>2</v>
      </c>
      <c r="C14" s="181" t="s">
        <v>928</v>
      </c>
      <c r="D14" s="111">
        <v>-200</v>
      </c>
      <c r="F14" s="109">
        <f>5000+D14+D13</f>
        <v>4500</v>
      </c>
    </row>
    <row r="16" spans="2:6" x14ac:dyDescent="0.35">
      <c r="B16" s="1103" t="s">
        <v>931</v>
      </c>
      <c r="C16" s="1103"/>
      <c r="D16" s="1103"/>
      <c r="E16" s="997"/>
    </row>
    <row r="17" spans="2:6" x14ac:dyDescent="0.35">
      <c r="D17" t="s">
        <v>929</v>
      </c>
      <c r="F17" t="s">
        <v>930</v>
      </c>
    </row>
    <row r="18" spans="2:6" x14ac:dyDescent="0.35">
      <c r="C18" s="181" t="s">
        <v>932</v>
      </c>
      <c r="D18" s="181">
        <v>-300</v>
      </c>
      <c r="E18" s="181"/>
    </row>
    <row r="19" spans="2:6" x14ac:dyDescent="0.35">
      <c r="C19" s="181" t="s">
        <v>928</v>
      </c>
      <c r="D19" s="181">
        <v>-200</v>
      </c>
      <c r="E19" s="181"/>
      <c r="F19" s="109">
        <f>5000+D18+D19</f>
        <v>4500</v>
      </c>
    </row>
    <row r="23" spans="2:6" x14ac:dyDescent="0.35">
      <c r="B23" s="1103" t="s">
        <v>933</v>
      </c>
      <c r="C23" s="1103"/>
      <c r="D23" s="1103"/>
      <c r="E23" s="997"/>
    </row>
    <row r="24" spans="2:6" x14ac:dyDescent="0.35">
      <c r="C24" s="864">
        <f>990-915</f>
        <v>75</v>
      </c>
      <c r="D24" t="s">
        <v>929</v>
      </c>
      <c r="F24" t="s">
        <v>930</v>
      </c>
    </row>
    <row r="25" spans="2:6" x14ac:dyDescent="0.35">
      <c r="C25" s="280" t="s">
        <v>934</v>
      </c>
      <c r="D25" s="280">
        <v>0</v>
      </c>
      <c r="E25" s="280"/>
    </row>
    <row r="26" spans="2:6" x14ac:dyDescent="0.35">
      <c r="C26" s="181" t="s">
        <v>975</v>
      </c>
      <c r="D26" s="181"/>
      <c r="E26" s="181"/>
      <c r="F26" s="109">
        <v>5000</v>
      </c>
    </row>
    <row r="28" spans="2:6" ht="29" x14ac:dyDescent="0.35">
      <c r="C28" s="999" t="s">
        <v>968</v>
      </c>
      <c r="D28" s="280">
        <v>400</v>
      </c>
    </row>
    <row r="29" spans="2:6" x14ac:dyDescent="0.35">
      <c r="C29" s="109" t="s">
        <v>936</v>
      </c>
    </row>
    <row r="30" spans="2:6" x14ac:dyDescent="0.35">
      <c r="C30" t="s">
        <v>937</v>
      </c>
    </row>
  </sheetData>
  <mergeCells count="2">
    <mergeCell ref="B16:D16"/>
    <mergeCell ref="B23:D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C95D2-E901-4387-BA9E-9C715E36FD63}">
  <sheetPr>
    <tabColor rgb="FFFFC000"/>
  </sheetPr>
  <dimension ref="B3:I33"/>
  <sheetViews>
    <sheetView topLeftCell="A14" workbookViewId="0">
      <selection activeCell="C9" sqref="C9:F33"/>
    </sheetView>
  </sheetViews>
  <sheetFormatPr defaultRowHeight="14.5" x14ac:dyDescent="0.35"/>
  <cols>
    <col min="3" max="3" width="20.36328125" customWidth="1"/>
    <col min="4" max="4" width="32.08984375" customWidth="1"/>
    <col min="5" max="5" width="13" customWidth="1"/>
    <col min="6" max="6" width="12.1796875" bestFit="1" customWidth="1"/>
    <col min="7" max="8" width="12.90625" bestFit="1" customWidth="1"/>
    <col min="11" max="11" width="14.81640625" bestFit="1" customWidth="1"/>
    <col min="12" max="12" width="12.90625" bestFit="1" customWidth="1"/>
    <col min="15" max="15" width="32.81640625" bestFit="1" customWidth="1"/>
    <col min="18" max="18" width="14.81640625" bestFit="1" customWidth="1"/>
    <col min="19" max="19" width="12.90625" bestFit="1" customWidth="1"/>
  </cols>
  <sheetData>
    <row r="3" spans="2:6" x14ac:dyDescent="0.35">
      <c r="B3" s="516" t="s">
        <v>687</v>
      </c>
    </row>
    <row r="5" spans="2:6" x14ac:dyDescent="0.35">
      <c r="B5" t="s">
        <v>508</v>
      </c>
      <c r="C5" t="s">
        <v>507</v>
      </c>
    </row>
    <row r="6" spans="2:6" x14ac:dyDescent="0.35">
      <c r="B6" t="s">
        <v>509</v>
      </c>
      <c r="C6" t="s">
        <v>510</v>
      </c>
    </row>
    <row r="7" spans="2:6" x14ac:dyDescent="0.35">
      <c r="B7" t="s">
        <v>509</v>
      </c>
      <c r="C7" t="s">
        <v>511</v>
      </c>
    </row>
    <row r="9" spans="2:6" x14ac:dyDescent="0.35">
      <c r="C9" t="s">
        <v>943</v>
      </c>
    </row>
    <row r="10" spans="2:6" x14ac:dyDescent="0.35">
      <c r="C10" t="s">
        <v>944</v>
      </c>
    </row>
    <row r="11" spans="2:6" x14ac:dyDescent="0.35">
      <c r="C11" t="s">
        <v>945</v>
      </c>
    </row>
    <row r="12" spans="2:6" x14ac:dyDescent="0.35">
      <c r="C12" t="s">
        <v>946</v>
      </c>
    </row>
    <row r="14" spans="2:6" x14ac:dyDescent="0.35">
      <c r="C14" s="998" t="s">
        <v>947</v>
      </c>
      <c r="D14" s="65"/>
      <c r="E14" s="65"/>
    </row>
    <row r="15" spans="2:6" x14ac:dyDescent="0.35">
      <c r="C15" t="s">
        <v>926</v>
      </c>
      <c r="E15" t="s">
        <v>929</v>
      </c>
      <c r="F15" t="s">
        <v>930</v>
      </c>
    </row>
    <row r="16" spans="2:6" x14ac:dyDescent="0.35">
      <c r="C16">
        <v>1</v>
      </c>
      <c r="D16" t="s">
        <v>927</v>
      </c>
    </row>
    <row r="17" spans="3:9" x14ac:dyDescent="0.35">
      <c r="C17" s="181">
        <v>2</v>
      </c>
      <c r="D17" s="181" t="s">
        <v>928</v>
      </c>
      <c r="E17" s="111">
        <v>-200</v>
      </c>
      <c r="F17">
        <f>-11300*2%</f>
        <v>-226</v>
      </c>
    </row>
    <row r="19" spans="3:9" x14ac:dyDescent="0.35">
      <c r="C19" s="1103" t="s">
        <v>931</v>
      </c>
      <c r="D19" s="1103"/>
      <c r="E19" s="1103"/>
    </row>
    <row r="20" spans="3:9" x14ac:dyDescent="0.35">
      <c r="E20" t="s">
        <v>929</v>
      </c>
      <c r="F20" t="s">
        <v>930</v>
      </c>
    </row>
    <row r="21" spans="3:9" x14ac:dyDescent="0.35">
      <c r="D21" s="181" t="s">
        <v>932</v>
      </c>
      <c r="E21" s="181">
        <v>-300</v>
      </c>
      <c r="G21" s="109">
        <v>150000000</v>
      </c>
      <c r="H21" s="109">
        <v>500000</v>
      </c>
      <c r="I21">
        <f>G21/H21</f>
        <v>300</v>
      </c>
    </row>
    <row r="22" spans="3:9" x14ac:dyDescent="0.35">
      <c r="D22" s="181" t="s">
        <v>928</v>
      </c>
      <c r="E22" s="181">
        <v>-200</v>
      </c>
      <c r="F22">
        <f>-11300*4%</f>
        <v>-452</v>
      </c>
      <c r="H22" s="130">
        <f>H21*E21</f>
        <v>-150000000</v>
      </c>
    </row>
    <row r="23" spans="3:9" x14ac:dyDescent="0.35">
      <c r="H23" s="130">
        <f>H21*E22</f>
        <v>-100000000</v>
      </c>
    </row>
    <row r="24" spans="3:9" x14ac:dyDescent="0.35">
      <c r="H24" s="130">
        <f>H23+H22</f>
        <v>-250000000</v>
      </c>
    </row>
    <row r="26" spans="3:9" x14ac:dyDescent="0.35">
      <c r="C26" s="1103" t="s">
        <v>933</v>
      </c>
      <c r="D26" s="1103"/>
      <c r="E26" s="1103"/>
    </row>
    <row r="27" spans="3:9" x14ac:dyDescent="0.35">
      <c r="D27">
        <f>990-915</f>
        <v>75</v>
      </c>
      <c r="E27" t="s">
        <v>929</v>
      </c>
      <c r="F27" t="s">
        <v>930</v>
      </c>
      <c r="G27">
        <v>990</v>
      </c>
      <c r="H27">
        <v>1000000</v>
      </c>
    </row>
    <row r="28" spans="3:9" x14ac:dyDescent="0.35">
      <c r="D28" s="280" t="s">
        <v>934</v>
      </c>
      <c r="E28" s="280">
        <v>400</v>
      </c>
      <c r="G28" s="199">
        <f>E28*1000*990</f>
        <v>396000000</v>
      </c>
      <c r="H28" s="874">
        <f>G28/H27</f>
        <v>396</v>
      </c>
    </row>
    <row r="29" spans="3:9" x14ac:dyDescent="0.35">
      <c r="D29" s="181" t="s">
        <v>935</v>
      </c>
      <c r="E29" s="181"/>
      <c r="H29" s="130"/>
    </row>
    <row r="30" spans="3:9" x14ac:dyDescent="0.35">
      <c r="G30" s="109">
        <f>G27*113*1000</f>
        <v>111870000</v>
      </c>
      <c r="H30" s="130"/>
    </row>
    <row r="31" spans="3:9" x14ac:dyDescent="0.35">
      <c r="G31" s="130"/>
    </row>
    <row r="32" spans="3:9" x14ac:dyDescent="0.35">
      <c r="D32" s="109" t="s">
        <v>936</v>
      </c>
    </row>
    <row r="33" spans="4:4" x14ac:dyDescent="0.35">
      <c r="D33" t="s">
        <v>937</v>
      </c>
    </row>
  </sheetData>
  <mergeCells count="2">
    <mergeCell ref="C19:E19"/>
    <mergeCell ref="C26:E26"/>
  </mergeCells>
  <hyperlinks>
    <hyperlink ref="B3" r:id="rId1" xr:uid="{A9448F77-90D9-4940-947E-8808F2780F8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E4D0-6A91-4227-B557-1777845C1B7B}">
  <dimension ref="B2:AF33"/>
  <sheetViews>
    <sheetView topLeftCell="D1" zoomScale="70" zoomScaleNormal="70" workbookViewId="0">
      <selection activeCell="Q6" sqref="Q6"/>
    </sheetView>
  </sheetViews>
  <sheetFormatPr defaultColWidth="8.7265625" defaultRowHeight="12.5" outlineLevelRow="1" outlineLevelCol="1" x14ac:dyDescent="0.35"/>
  <cols>
    <col min="1" max="1" width="3.54296875" style="586" customWidth="1"/>
    <col min="2" max="2" width="11" style="586" customWidth="1"/>
    <col min="3" max="3" width="27.453125" style="586" customWidth="1"/>
    <col min="4" max="5" width="10.81640625" style="586" customWidth="1"/>
    <col min="6" max="6" width="12.54296875" style="586" customWidth="1"/>
    <col min="7" max="8" width="13.1796875" style="586" customWidth="1"/>
    <col min="9" max="9" width="15.26953125" style="586" customWidth="1"/>
    <col min="10" max="10" width="14" style="586" customWidth="1"/>
    <col min="11" max="11" width="13.54296875" style="586" customWidth="1"/>
    <col min="12" max="12" width="23" style="586" customWidth="1"/>
    <col min="13" max="13" width="11.453125" style="587" customWidth="1" outlineLevel="1"/>
    <col min="14" max="14" width="8.7265625" style="587" outlineLevel="1"/>
    <col min="15" max="15" width="10.81640625" style="587" customWidth="1"/>
    <col min="16" max="16" width="8.7265625" style="587"/>
    <col min="17" max="17" width="9.1796875" style="586" bestFit="1" customWidth="1"/>
    <col min="18" max="18" width="11" style="586" bestFit="1" customWidth="1"/>
    <col min="19" max="20" width="8.7265625" style="586"/>
    <col min="21" max="21" width="11.36328125" style="586" customWidth="1"/>
    <col min="22" max="22" width="9.1796875" style="586" bestFit="1" customWidth="1"/>
    <col min="23" max="23" width="11.90625" style="586" customWidth="1"/>
    <col min="24" max="24" width="9.1796875" style="586" bestFit="1" customWidth="1"/>
    <col min="25" max="25" width="11.7265625" style="586" customWidth="1"/>
    <col min="26" max="26" width="9.1796875" style="586" bestFit="1" customWidth="1"/>
    <col min="27" max="27" width="4.7265625" style="586" customWidth="1"/>
    <col min="28" max="28" width="12" style="586" bestFit="1" customWidth="1"/>
    <col min="29" max="29" width="10.1796875" style="586" bestFit="1" customWidth="1"/>
    <col min="30" max="30" width="8.7265625" style="586"/>
    <col min="31" max="31" width="20.1796875" style="586" bestFit="1" customWidth="1"/>
    <col min="32" max="32" width="9.1796875" style="586" bestFit="1" customWidth="1"/>
    <col min="33" max="16384" width="8.7265625" style="586"/>
  </cols>
  <sheetData>
    <row r="2" spans="2:32" ht="20" x14ac:dyDescent="0.35">
      <c r="B2" s="588" t="s">
        <v>754</v>
      </c>
      <c r="C2" s="588"/>
      <c r="D2" s="588"/>
      <c r="E2" s="588"/>
      <c r="F2" s="588"/>
      <c r="G2" s="588"/>
      <c r="H2" s="588"/>
      <c r="I2" s="588"/>
      <c r="J2" s="588"/>
      <c r="K2" s="588"/>
      <c r="L2" s="588"/>
    </row>
    <row r="3" spans="2:32" ht="13" x14ac:dyDescent="0.35">
      <c r="D3" s="1106"/>
      <c r="E3" s="1106"/>
      <c r="F3" s="589"/>
      <c r="G3" s="589"/>
      <c r="H3" s="589"/>
      <c r="I3" s="589"/>
      <c r="J3" s="1107"/>
      <c r="K3" s="1107"/>
      <c r="M3" s="1108" t="s">
        <v>755</v>
      </c>
      <c r="N3" s="1108"/>
      <c r="P3" s="645" t="s">
        <v>800</v>
      </c>
    </row>
    <row r="4" spans="2:32" s="597" customFormat="1" ht="52" x14ac:dyDescent="0.35">
      <c r="B4" s="591" t="s">
        <v>756</v>
      </c>
      <c r="C4" s="592" t="s">
        <v>757</v>
      </c>
      <c r="D4" s="1109" t="s">
        <v>758</v>
      </c>
      <c r="E4" s="1109"/>
      <c r="F4" s="593" t="s">
        <v>759</v>
      </c>
      <c r="G4" s="593" t="s">
        <v>760</v>
      </c>
      <c r="H4" s="593" t="s">
        <v>761</v>
      </c>
      <c r="I4" s="593" t="s">
        <v>762</v>
      </c>
      <c r="J4" s="594" t="s">
        <v>763</v>
      </c>
      <c r="K4" s="594" t="s">
        <v>764</v>
      </c>
      <c r="L4" s="594" t="s">
        <v>16</v>
      </c>
      <c r="M4" s="595" t="s">
        <v>765</v>
      </c>
      <c r="N4" s="596" t="s">
        <v>766</v>
      </c>
      <c r="O4" s="595" t="s">
        <v>483</v>
      </c>
      <c r="P4" s="646" t="s">
        <v>767</v>
      </c>
      <c r="Q4" s="597" t="s">
        <v>768</v>
      </c>
      <c r="R4" s="597" t="s">
        <v>769</v>
      </c>
      <c r="S4" s="597" t="s">
        <v>454</v>
      </c>
      <c r="T4" s="597" t="s">
        <v>455</v>
      </c>
      <c r="V4" s="597" t="s">
        <v>801</v>
      </c>
      <c r="X4" s="597" t="s">
        <v>802</v>
      </c>
      <c r="Z4" s="597" t="s">
        <v>803</v>
      </c>
      <c r="AB4" s="597" t="s">
        <v>804</v>
      </c>
    </row>
    <row r="5" spans="2:32" ht="13" x14ac:dyDescent="0.3">
      <c r="B5" s="598"/>
      <c r="C5" s="599"/>
      <c r="D5" s="600" t="s">
        <v>770</v>
      </c>
      <c r="E5" s="600" t="s">
        <v>486</v>
      </c>
      <c r="F5" s="601" t="s">
        <v>771</v>
      </c>
      <c r="G5" s="601" t="s">
        <v>772</v>
      </c>
      <c r="H5" s="601" t="s">
        <v>773</v>
      </c>
      <c r="I5" s="601" t="s">
        <v>774</v>
      </c>
      <c r="J5" s="600" t="s">
        <v>486</v>
      </c>
      <c r="K5" s="600" t="s">
        <v>486</v>
      </c>
      <c r="L5" s="602"/>
      <c r="M5" s="647">
        <f>MAX(V5,X5,Z5)</f>
        <v>0.10667325484443603</v>
      </c>
      <c r="N5" s="603"/>
      <c r="U5" s="586" t="s">
        <v>482</v>
      </c>
      <c r="V5" s="647">
        <f>'[2]1. Đại Lộc'!$O$334</f>
        <v>0.10096034348805652</v>
      </c>
      <c r="X5" s="647">
        <f>'[2]2. Khánh Nga'!$O$39</f>
        <v>9.7733526674727331E-2</v>
      </c>
      <c r="Z5" s="647">
        <f>'[2]3. Đồng Lâm'!$O$344</f>
        <v>0.10667325484443603</v>
      </c>
    </row>
    <row r="6" spans="2:32" ht="13" outlineLevel="1" x14ac:dyDescent="0.35">
      <c r="B6" s="604" t="s">
        <v>775</v>
      </c>
      <c r="C6" s="605" t="s">
        <v>776</v>
      </c>
      <c r="D6" s="606">
        <v>1000</v>
      </c>
      <c r="E6" s="607">
        <f>SUM(E7:E20)</f>
        <v>1.0000000000000002</v>
      </c>
      <c r="F6" s="607"/>
      <c r="G6" s="608"/>
      <c r="H6" s="608"/>
      <c r="I6" s="606">
        <f>D6*$M$6</f>
        <v>11300000</v>
      </c>
      <c r="J6" s="607">
        <f>SUM(J7:J19)</f>
        <v>0.99999999999999989</v>
      </c>
      <c r="K6" s="607">
        <f>SUM(K7:K19)</f>
        <v>0.99999999999999989</v>
      </c>
      <c r="L6" s="607"/>
      <c r="M6" s="648">
        <v>11300</v>
      </c>
      <c r="N6" s="603"/>
      <c r="Q6" s="649">
        <v>3000</v>
      </c>
      <c r="V6" s="650">
        <f>'[3]3.CP_TAN'!$Q$78</f>
        <v>3684.4010838335184</v>
      </c>
      <c r="W6" s="650"/>
      <c r="X6" s="650">
        <f>'[3]3.CP_TAN'!$R$78</f>
        <v>2894.8842505347179</v>
      </c>
      <c r="Y6" s="650"/>
      <c r="Z6" s="650">
        <f>'[3]3.CP_TAN'!$S$78</f>
        <v>2609.6553352190908</v>
      </c>
      <c r="AB6" s="587">
        <v>10000</v>
      </c>
    </row>
    <row r="7" spans="2:32" outlineLevel="1" x14ac:dyDescent="0.35">
      <c r="B7" s="609" t="s">
        <v>777</v>
      </c>
      <c r="C7" s="610" t="s">
        <v>503</v>
      </c>
      <c r="D7" s="611">
        <v>540</v>
      </c>
      <c r="E7" s="612">
        <v>0.54</v>
      </c>
      <c r="F7" s="611">
        <f>D7</f>
        <v>540</v>
      </c>
      <c r="G7" s="613">
        <v>1.25</v>
      </c>
      <c r="H7" s="613">
        <f t="shared" ref="H7:H14" si="0">F7*G7</f>
        <v>675</v>
      </c>
      <c r="I7" s="611">
        <f t="shared" ref="I7:I14" si="1">$I$6/$H$21*H7</f>
        <v>7257373.929590866</v>
      </c>
      <c r="J7" s="612">
        <f t="shared" ref="J7:J14" si="2">I7/$I$6</f>
        <v>0.64224548049476693</v>
      </c>
      <c r="K7" s="614">
        <f>J7</f>
        <v>0.64224548049476693</v>
      </c>
      <c r="L7" s="1110" t="s">
        <v>778</v>
      </c>
      <c r="M7" s="587">
        <f>ROUND($M$6+$M$6*$M$5+O7,-2)</f>
        <v>16400</v>
      </c>
      <c r="N7" s="615">
        <f>M7/$M$21</f>
        <v>1.247148288973384</v>
      </c>
      <c r="O7" s="651">
        <v>3900</v>
      </c>
      <c r="P7" s="652">
        <f>I7/F7</f>
        <v>13439.581351094197</v>
      </c>
      <c r="Q7" s="587">
        <f>$Q$6*K7</f>
        <v>1926.7364414843007</v>
      </c>
      <c r="R7" s="616">
        <f>P7+Q7</f>
        <v>15366.317792578498</v>
      </c>
      <c r="S7" s="616">
        <f>M7-R7</f>
        <v>1033.6822074215015</v>
      </c>
      <c r="T7" s="617">
        <f>S7/M7</f>
        <v>6.3029402891554967E-2</v>
      </c>
      <c r="U7" s="586" t="str">
        <f>'[2]1. Đại Lộc'!B327</f>
        <v>% Chai B1</v>
      </c>
      <c r="V7" s="653">
        <f>'[2]1. Đại Lộc'!O327</f>
        <v>0.65050165177150054</v>
      </c>
      <c r="W7" s="586" t="str">
        <f>'[2]2. Khánh Nga'!B32</f>
        <v>% Chai B1</v>
      </c>
      <c r="X7" s="653">
        <f>'[2]2. Khánh Nga'!O32</f>
        <v>0.52583539606738805</v>
      </c>
      <c r="Y7" s="586" t="str">
        <f>'[2]3. Đồng Lâm'!B337</f>
        <v>% Chai B1</v>
      </c>
      <c r="Z7" s="653">
        <f>'[2]3. Đồng Lâm'!O337</f>
        <v>0.50053442897045786</v>
      </c>
      <c r="AB7" s="587">
        <v>14500</v>
      </c>
      <c r="AC7" s="587">
        <v>11200</v>
      </c>
      <c r="AE7" s="654">
        <f>T7*V7</f>
        <v>4.1000730691127897E-2</v>
      </c>
      <c r="AF7" s="587">
        <f>ROUND($M$6+$M$6*$M$5,-2)</f>
        <v>12500</v>
      </c>
    </row>
    <row r="8" spans="2:32" outlineLevel="1" x14ac:dyDescent="0.35">
      <c r="B8" s="609" t="s">
        <v>779</v>
      </c>
      <c r="C8" s="610" t="s">
        <v>50</v>
      </c>
      <c r="D8" s="611"/>
      <c r="E8" s="612"/>
      <c r="F8" s="611">
        <f>D8</f>
        <v>0</v>
      </c>
      <c r="G8" s="613"/>
      <c r="H8" s="613">
        <f t="shared" si="0"/>
        <v>0</v>
      </c>
      <c r="I8" s="611">
        <f t="shared" si="1"/>
        <v>0</v>
      </c>
      <c r="J8" s="612">
        <f t="shared" si="2"/>
        <v>0</v>
      </c>
      <c r="K8" s="614">
        <f t="shared" ref="K8:K14" si="3">J8</f>
        <v>0</v>
      </c>
      <c r="L8" s="1111"/>
      <c r="N8" s="615">
        <f t="shared" ref="N8:N12" si="4">M8/$M$21</f>
        <v>0</v>
      </c>
      <c r="O8" s="587">
        <f>O7</f>
        <v>3900</v>
      </c>
      <c r="P8" s="652" t="e">
        <f t="shared" ref="P8:P21" si="5">I8/F8</f>
        <v>#DIV/0!</v>
      </c>
      <c r="Q8" s="587">
        <f t="shared" ref="Q8:Q20" si="6">$Q$6*K8</f>
        <v>0</v>
      </c>
      <c r="R8" s="616" t="e">
        <f t="shared" ref="R8:R20" si="7">P8+Q8</f>
        <v>#DIV/0!</v>
      </c>
      <c r="S8" s="616" t="e">
        <f t="shared" ref="S8:S20" si="8">M8-R8</f>
        <v>#DIV/0!</v>
      </c>
      <c r="T8" s="617" t="e">
        <f t="shared" ref="T8:T21" si="9">S8/M8</f>
        <v>#DIV/0!</v>
      </c>
      <c r="V8" s="653"/>
      <c r="X8" s="653"/>
      <c r="Z8" s="653"/>
      <c r="AE8" s="654" t="e">
        <f t="shared" ref="AE8:AE15" si="10">T8*V8</f>
        <v>#DIV/0!</v>
      </c>
    </row>
    <row r="9" spans="2:32" outlineLevel="1" x14ac:dyDescent="0.35">
      <c r="B9" s="609" t="s">
        <v>780</v>
      </c>
      <c r="C9" s="610" t="s">
        <v>22</v>
      </c>
      <c r="D9" s="611">
        <v>30</v>
      </c>
      <c r="E9" s="612">
        <v>0.03</v>
      </c>
      <c r="F9" s="611">
        <f t="shared" ref="F9:F14" si="11">D9</f>
        <v>30</v>
      </c>
      <c r="G9" s="613">
        <v>1.1000000000000001</v>
      </c>
      <c r="H9" s="613">
        <f t="shared" si="0"/>
        <v>33</v>
      </c>
      <c r="I9" s="611">
        <f t="shared" si="1"/>
        <v>354804.94766888674</v>
      </c>
      <c r="J9" s="612">
        <f t="shared" si="2"/>
        <v>3.1398667935299711E-2</v>
      </c>
      <c r="K9" s="614">
        <f t="shared" si="3"/>
        <v>3.1398667935299711E-2</v>
      </c>
      <c r="L9" s="1111"/>
      <c r="M9" s="587">
        <f>ROUND($M$6+$M$6*$M$5+O9,-2)</f>
        <v>14500</v>
      </c>
      <c r="N9" s="615">
        <f>M9/$M$21</f>
        <v>1.102661596958175</v>
      </c>
      <c r="O9" s="587">
        <v>2000</v>
      </c>
      <c r="P9" s="652">
        <f t="shared" si="5"/>
        <v>11826.831588962892</v>
      </c>
      <c r="Q9" s="587">
        <f t="shared" si="6"/>
        <v>94.196003805899139</v>
      </c>
      <c r="R9" s="616">
        <f t="shared" si="7"/>
        <v>11921.027592768791</v>
      </c>
      <c r="S9" s="616">
        <f t="shared" si="8"/>
        <v>2578.9724072312092</v>
      </c>
      <c r="T9" s="617">
        <f t="shared" si="9"/>
        <v>0.17786016601594545</v>
      </c>
      <c r="U9" s="586" t="str">
        <f>'[2]1. Đại Lộc'!B328</f>
        <v>% Chai B2.2</v>
      </c>
      <c r="V9" s="653">
        <f>'[2]1. Đại Lộc'!O328</f>
        <v>5.3561787013188056E-3</v>
      </c>
      <c r="W9" s="586" t="str">
        <f>'[2]2. Khánh Nga'!B33</f>
        <v>% Chai B2.2</v>
      </c>
      <c r="X9" s="653">
        <f>'[2]2. Khánh Nga'!O33</f>
        <v>7.8724377212196814E-2</v>
      </c>
      <c r="Y9" s="586" t="str">
        <f>'[2]3. Đồng Lâm'!B338</f>
        <v>% Chai B2.2</v>
      </c>
      <c r="Z9" s="653">
        <f>'[2]3. Đồng Lâm'!O338</f>
        <v>8.3560339784929882E-2</v>
      </c>
      <c r="AE9" s="654">
        <f>T9*V9</f>
        <v>9.5265083302763383E-4</v>
      </c>
    </row>
    <row r="10" spans="2:32" outlineLevel="1" x14ac:dyDescent="0.35">
      <c r="B10" s="609" t="s">
        <v>781</v>
      </c>
      <c r="C10" s="610" t="s">
        <v>27</v>
      </c>
      <c r="D10" s="611">
        <v>20</v>
      </c>
      <c r="E10" s="612">
        <v>0.02</v>
      </c>
      <c r="F10" s="611">
        <f>D10</f>
        <v>20</v>
      </c>
      <c r="G10" s="613">
        <v>1</v>
      </c>
      <c r="H10" s="613">
        <f t="shared" si="0"/>
        <v>20</v>
      </c>
      <c r="I10" s="611">
        <f t="shared" si="1"/>
        <v>215033.30161750712</v>
      </c>
      <c r="J10" s="612">
        <f t="shared" si="2"/>
        <v>1.9029495718363463E-2</v>
      </c>
      <c r="K10" s="614">
        <f t="shared" si="3"/>
        <v>1.9029495718363463E-2</v>
      </c>
      <c r="L10" s="1111"/>
      <c r="M10" s="587">
        <f>ROUND($M$6+$M$6*$M$5+O10,-2)</f>
        <v>13000</v>
      </c>
      <c r="N10" s="615">
        <f>M10/$M$21</f>
        <v>0.98859315589353614</v>
      </c>
      <c r="O10" s="587">
        <v>500</v>
      </c>
      <c r="P10" s="652">
        <f t="shared" si="5"/>
        <v>10751.665080875357</v>
      </c>
      <c r="Q10" s="587">
        <f t="shared" si="6"/>
        <v>57.088487155090391</v>
      </c>
      <c r="R10" s="616">
        <f t="shared" si="7"/>
        <v>10808.753568030446</v>
      </c>
      <c r="S10" s="616">
        <f t="shared" si="8"/>
        <v>2191.2464319695537</v>
      </c>
      <c r="T10" s="617">
        <f t="shared" si="9"/>
        <v>0.16855741784381181</v>
      </c>
      <c r="U10" s="586" t="str">
        <f>'[2]2. Khánh Nga'!B35</f>
        <v>% Chai B4</v>
      </c>
      <c r="V10" s="653">
        <f>'[2]2. Khánh Nga'!O35</f>
        <v>1.4912633842699981E-2</v>
      </c>
      <c r="W10" s="586" t="str">
        <f>'[2]2. Khánh Nga'!B35</f>
        <v>% Chai B4</v>
      </c>
      <c r="X10" s="653">
        <f>'[2]2. Khánh Nga'!O35</f>
        <v>1.4912633842699981E-2</v>
      </c>
      <c r="Y10" s="586" t="str">
        <f>'[2]3. Đồng Lâm'!B340</f>
        <v>% Chai B4</v>
      </c>
      <c r="Z10" s="653">
        <f>'[2]3. Đồng Lâm'!O340</f>
        <v>1.9139602152341485E-2</v>
      </c>
      <c r="AE10" s="654">
        <f t="shared" si="10"/>
        <v>2.5136350537757497E-3</v>
      </c>
    </row>
    <row r="11" spans="2:32" outlineLevel="1" x14ac:dyDescent="0.35">
      <c r="B11" s="609" t="s">
        <v>782</v>
      </c>
      <c r="C11" s="610" t="s">
        <v>29</v>
      </c>
      <c r="D11" s="611">
        <v>20</v>
      </c>
      <c r="E11" s="612">
        <v>0.02</v>
      </c>
      <c r="F11" s="611">
        <f t="shared" si="11"/>
        <v>20</v>
      </c>
      <c r="G11" s="613">
        <v>1</v>
      </c>
      <c r="H11" s="613">
        <f t="shared" si="0"/>
        <v>20</v>
      </c>
      <c r="I11" s="611">
        <f t="shared" si="1"/>
        <v>215033.30161750712</v>
      </c>
      <c r="J11" s="612">
        <f t="shared" si="2"/>
        <v>1.9029495718363463E-2</v>
      </c>
      <c r="K11" s="614">
        <f t="shared" si="3"/>
        <v>1.9029495718363463E-2</v>
      </c>
      <c r="L11" s="1111"/>
      <c r="M11" s="587">
        <f>ROUND($M$6+$M$6*$M$5+O11,-2)</f>
        <v>13000</v>
      </c>
      <c r="N11" s="615">
        <f>M11/$M$21</f>
        <v>0.98859315589353614</v>
      </c>
      <c r="O11" s="587">
        <f>O10</f>
        <v>500</v>
      </c>
      <c r="P11" s="652">
        <f t="shared" si="5"/>
        <v>10751.665080875357</v>
      </c>
      <c r="Q11" s="587">
        <f t="shared" si="6"/>
        <v>57.088487155090391</v>
      </c>
      <c r="R11" s="616">
        <f t="shared" si="7"/>
        <v>10808.753568030446</v>
      </c>
      <c r="S11" s="616">
        <f t="shared" si="8"/>
        <v>2191.2464319695537</v>
      </c>
      <c r="T11" s="617">
        <f t="shared" si="9"/>
        <v>0.16855741784381181</v>
      </c>
      <c r="U11" s="586" t="str">
        <f>'[2]2. Khánh Nga'!B36</f>
        <v>% Chai B5</v>
      </c>
      <c r="V11" s="653">
        <f>'[2]2. Khánh Nga'!O36</f>
        <v>1.9802358600751371E-2</v>
      </c>
      <c r="W11" s="586" t="str">
        <f>'[2]2. Khánh Nga'!B36</f>
        <v>% Chai B5</v>
      </c>
      <c r="X11" s="653">
        <f>'[2]2. Khánh Nga'!O36</f>
        <v>1.9802358600751371E-2</v>
      </c>
      <c r="Y11" s="586" t="str">
        <f>'[2]3. Đồng Lâm'!B341</f>
        <v>% Chai B5</v>
      </c>
      <c r="Z11" s="653">
        <f>'[2]3. Đồng Lâm'!O341</f>
        <v>1.0656981591639593E-2</v>
      </c>
      <c r="AE11" s="654">
        <f t="shared" si="10"/>
        <v>3.3378344329598494E-3</v>
      </c>
    </row>
    <row r="12" spans="2:32" outlineLevel="1" x14ac:dyDescent="0.35">
      <c r="B12" s="609"/>
      <c r="C12" s="610" t="s">
        <v>32</v>
      </c>
      <c r="D12" s="611"/>
      <c r="E12" s="612"/>
      <c r="F12" s="611">
        <f t="shared" si="11"/>
        <v>0</v>
      </c>
      <c r="G12" s="613"/>
      <c r="H12" s="613">
        <f t="shared" si="0"/>
        <v>0</v>
      </c>
      <c r="I12" s="611">
        <f t="shared" si="1"/>
        <v>0</v>
      </c>
      <c r="J12" s="612">
        <f t="shared" si="2"/>
        <v>0</v>
      </c>
      <c r="K12" s="614">
        <f t="shared" si="3"/>
        <v>0</v>
      </c>
      <c r="L12" s="1111"/>
      <c r="N12" s="615">
        <f t="shared" si="4"/>
        <v>0</v>
      </c>
      <c r="O12" s="587">
        <f>O8</f>
        <v>3900</v>
      </c>
      <c r="P12" s="652" t="e">
        <f t="shared" si="5"/>
        <v>#DIV/0!</v>
      </c>
      <c r="Q12" s="587">
        <f t="shared" si="6"/>
        <v>0</v>
      </c>
      <c r="R12" s="616" t="e">
        <f t="shared" si="7"/>
        <v>#DIV/0!</v>
      </c>
      <c r="S12" s="616" t="e">
        <f t="shared" si="8"/>
        <v>#DIV/0!</v>
      </c>
      <c r="T12" s="617" t="e">
        <f t="shared" si="9"/>
        <v>#DIV/0!</v>
      </c>
      <c r="V12" s="653"/>
      <c r="X12" s="653"/>
      <c r="Z12" s="653"/>
      <c r="AE12" s="654" t="e">
        <f t="shared" si="10"/>
        <v>#DIV/0!</v>
      </c>
    </row>
    <row r="13" spans="2:32" outlineLevel="1" x14ac:dyDescent="0.35">
      <c r="B13" s="609" t="s">
        <v>783</v>
      </c>
      <c r="C13" s="610" t="s">
        <v>19</v>
      </c>
      <c r="D13" s="611">
        <v>270</v>
      </c>
      <c r="E13" s="612">
        <v>0.27</v>
      </c>
      <c r="F13" s="611">
        <f t="shared" si="11"/>
        <v>270</v>
      </c>
      <c r="G13" s="613">
        <v>1.1000000000000001</v>
      </c>
      <c r="H13" s="613">
        <f t="shared" si="0"/>
        <v>297</v>
      </c>
      <c r="I13" s="611">
        <f t="shared" si="1"/>
        <v>3193244.5290199807</v>
      </c>
      <c r="J13" s="612">
        <f t="shared" si="2"/>
        <v>0.2825880114176974</v>
      </c>
      <c r="K13" s="614">
        <f t="shared" si="3"/>
        <v>0.2825880114176974</v>
      </c>
      <c r="L13" s="1111"/>
      <c r="M13" s="587">
        <f>ROUND($M$6+$M$6*$M$5+O13,-2)</f>
        <v>14500</v>
      </c>
      <c r="N13" s="615">
        <f>M13/$M$21</f>
        <v>1.102661596958175</v>
      </c>
      <c r="O13" s="587">
        <f>O9</f>
        <v>2000</v>
      </c>
      <c r="P13" s="652">
        <f t="shared" si="5"/>
        <v>11826.831588962892</v>
      </c>
      <c r="Q13" s="587">
        <f t="shared" si="6"/>
        <v>847.76403425309218</v>
      </c>
      <c r="R13" s="616">
        <f t="shared" si="7"/>
        <v>12674.595623215984</v>
      </c>
      <c r="S13" s="616">
        <f t="shared" si="8"/>
        <v>1825.4043767840158</v>
      </c>
      <c r="T13" s="617">
        <f t="shared" si="9"/>
        <v>0.1258899570195873</v>
      </c>
      <c r="U13" s="586" t="str">
        <f>'[2]1. Đại Lộc'!B329</f>
        <v>% Chai B6.2</v>
      </c>
      <c r="V13" s="653">
        <f>'[2]1. Đại Lộc'!O329</f>
        <v>0.19170632228257908</v>
      </c>
      <c r="W13" s="586" t="str">
        <f>'[2]2. Khánh Nga'!B34</f>
        <v>% Chai B6.2</v>
      </c>
      <c r="X13" s="653">
        <f>'[2]2. Khánh Nga'!O34</f>
        <v>0.23118716545900386</v>
      </c>
      <c r="Y13" s="586" t="str">
        <f>'[2]3. Đồng Lâm'!B339</f>
        <v>% Chai B6.2</v>
      </c>
      <c r="Z13" s="653">
        <f>'[2]3. Đồng Lâm'!O339</f>
        <v>0.2675725318949379</v>
      </c>
      <c r="AE13" s="654">
        <f t="shared" si="10"/>
        <v>2.4133900672537033E-2</v>
      </c>
    </row>
    <row r="14" spans="2:32" outlineLevel="1" x14ac:dyDescent="0.35">
      <c r="B14" s="609" t="s">
        <v>784</v>
      </c>
      <c r="C14" s="610" t="s">
        <v>80</v>
      </c>
      <c r="D14" s="611">
        <v>10</v>
      </c>
      <c r="E14" s="612">
        <v>0.01</v>
      </c>
      <c r="F14" s="611">
        <f t="shared" si="11"/>
        <v>10</v>
      </c>
      <c r="G14" s="613">
        <v>0.6</v>
      </c>
      <c r="H14" s="613">
        <f t="shared" si="0"/>
        <v>6</v>
      </c>
      <c r="I14" s="611">
        <f t="shared" si="1"/>
        <v>64509.990485252143</v>
      </c>
      <c r="J14" s="612">
        <f t="shared" si="2"/>
        <v>5.708848715509039E-3</v>
      </c>
      <c r="K14" s="614">
        <f t="shared" si="3"/>
        <v>5.708848715509039E-3</v>
      </c>
      <c r="L14" s="1112"/>
      <c r="M14" s="587">
        <f>ROUND($M$6+$M$6*$M$5+O14,-2)</f>
        <v>7500</v>
      </c>
      <c r="N14" s="615">
        <f>M14/$M$21</f>
        <v>0.57034220532319391</v>
      </c>
      <c r="O14" s="587">
        <v>-5000</v>
      </c>
      <c r="P14" s="652">
        <f t="shared" si="5"/>
        <v>6450.9990485252147</v>
      </c>
      <c r="Q14" s="587">
        <f t="shared" si="6"/>
        <v>17.126546146527119</v>
      </c>
      <c r="R14" s="616">
        <f t="shared" si="7"/>
        <v>6468.125594671742</v>
      </c>
      <c r="S14" s="616">
        <f t="shared" si="8"/>
        <v>1031.874405328258</v>
      </c>
      <c r="T14" s="617">
        <f t="shared" si="9"/>
        <v>0.13758325404376773</v>
      </c>
      <c r="U14" s="586" t="str">
        <f>'[2]2. Khánh Nga'!B37</f>
        <v>% Nắp</v>
      </c>
      <c r="V14" s="653">
        <f>'[2]2. Khánh Nga'!O37</f>
        <v>3.1786114872826871E-2</v>
      </c>
      <c r="W14" s="586" t="str">
        <f>'[2]2. Khánh Nga'!B37</f>
        <v>% Nắp</v>
      </c>
      <c r="X14" s="653">
        <f>'[2]2. Khánh Nga'!O37</f>
        <v>3.1786114872826871E-2</v>
      </c>
      <c r="Y14" s="586" t="str">
        <f>'[2]3. Đồng Lâm'!B342</f>
        <v>% Nắp</v>
      </c>
      <c r="Z14" s="653">
        <f>'[2]3. Đồng Lâm'!O342</f>
        <v>2.9470813123704601E-3</v>
      </c>
      <c r="AE14" s="654">
        <f t="shared" si="10"/>
        <v>4.3732371176125233E-3</v>
      </c>
    </row>
    <row r="15" spans="2:32" outlineLevel="1" x14ac:dyDescent="0.35">
      <c r="B15" s="609"/>
      <c r="C15" s="610" t="s">
        <v>35</v>
      </c>
      <c r="D15" s="611"/>
      <c r="E15" s="612">
        <v>0</v>
      </c>
      <c r="F15" s="611"/>
      <c r="G15" s="613"/>
      <c r="H15" s="613"/>
      <c r="I15" s="611"/>
      <c r="J15" s="614"/>
      <c r="K15" s="614"/>
      <c r="L15" s="614"/>
      <c r="N15" s="615">
        <f>M15/$M$21</f>
        <v>0</v>
      </c>
      <c r="P15" s="652" t="e">
        <f t="shared" si="5"/>
        <v>#DIV/0!</v>
      </c>
      <c r="Q15" s="587">
        <f t="shared" si="6"/>
        <v>0</v>
      </c>
      <c r="R15" s="616" t="e">
        <f t="shared" si="7"/>
        <v>#DIV/0!</v>
      </c>
      <c r="S15" s="616" t="e">
        <f t="shared" si="8"/>
        <v>#DIV/0!</v>
      </c>
      <c r="T15" s="617" t="e">
        <f t="shared" si="9"/>
        <v>#DIV/0!</v>
      </c>
      <c r="V15" s="653"/>
      <c r="X15" s="653"/>
      <c r="Z15" s="653"/>
      <c r="AE15" s="654" t="e">
        <f t="shared" si="10"/>
        <v>#DIV/0!</v>
      </c>
    </row>
    <row r="16" spans="2:32" outlineLevel="1" x14ac:dyDescent="0.35">
      <c r="B16" s="609" t="s">
        <v>785</v>
      </c>
      <c r="C16" s="610" t="s">
        <v>261</v>
      </c>
      <c r="D16" s="611"/>
      <c r="E16" s="612">
        <v>0</v>
      </c>
      <c r="F16" s="611"/>
      <c r="G16" s="613"/>
      <c r="H16" s="613"/>
      <c r="I16" s="611"/>
      <c r="J16" s="614"/>
      <c r="K16" s="614"/>
      <c r="L16" s="614"/>
      <c r="N16" s="615">
        <f>M16/$M$21</f>
        <v>0</v>
      </c>
      <c r="O16" s="587">
        <v>-1000</v>
      </c>
      <c r="P16" s="652" t="e">
        <f t="shared" si="5"/>
        <v>#DIV/0!</v>
      </c>
      <c r="Q16" s="587">
        <f t="shared" si="6"/>
        <v>0</v>
      </c>
      <c r="R16" s="616" t="e">
        <f t="shared" si="7"/>
        <v>#DIV/0!</v>
      </c>
      <c r="S16" s="616" t="e">
        <f t="shared" si="8"/>
        <v>#DIV/0!</v>
      </c>
      <c r="T16" s="617" t="e">
        <f t="shared" si="9"/>
        <v>#DIV/0!</v>
      </c>
      <c r="U16" s="586" t="str">
        <f>'[2]2. Khánh Nga'!B38</f>
        <v>% Chai B7.2</v>
      </c>
      <c r="V16" s="653">
        <f>'[2]2. Khánh Nga'!O38</f>
        <v>1.8427270405582469E-5</v>
      </c>
      <c r="W16" s="586" t="str">
        <f>'[2]2. Khánh Nga'!B38</f>
        <v>% Chai B7.2</v>
      </c>
      <c r="X16" s="653">
        <f>'[2]2. Khánh Nga'!O38</f>
        <v>1.8427270405582469E-5</v>
      </c>
      <c r="Y16" s="586" t="str">
        <f>'[2]3. Đồng Lâm'!B343</f>
        <v>% Phó sản</v>
      </c>
      <c r="Z16" s="653">
        <f>'[2]3. Đồng Lâm'!O343</f>
        <v>8.9157794488867737E-3</v>
      </c>
      <c r="AE16" s="655"/>
    </row>
    <row r="17" spans="2:20" outlineLevel="1" x14ac:dyDescent="0.35">
      <c r="B17" s="609" t="s">
        <v>786</v>
      </c>
      <c r="C17" s="610" t="s">
        <v>787</v>
      </c>
      <c r="D17" s="611"/>
      <c r="E17" s="612">
        <v>0</v>
      </c>
      <c r="F17" s="611"/>
      <c r="G17" s="613"/>
      <c r="H17" s="613"/>
      <c r="I17" s="611"/>
      <c r="J17" s="614"/>
      <c r="K17" s="614"/>
      <c r="L17" s="614"/>
      <c r="N17" s="615">
        <f>M17/$M$21</f>
        <v>0</v>
      </c>
      <c r="O17" s="587">
        <v>2000</v>
      </c>
      <c r="P17" s="652" t="e">
        <f t="shared" si="5"/>
        <v>#DIV/0!</v>
      </c>
      <c r="Q17" s="587">
        <f t="shared" si="6"/>
        <v>0</v>
      </c>
      <c r="R17" s="616" t="e">
        <f t="shared" si="7"/>
        <v>#DIV/0!</v>
      </c>
      <c r="S17" s="616" t="e">
        <f t="shared" si="8"/>
        <v>#DIV/0!</v>
      </c>
      <c r="T17" s="617" t="e">
        <f t="shared" si="9"/>
        <v>#DIV/0!</v>
      </c>
    </row>
    <row r="18" spans="2:20" outlineLevel="1" x14ac:dyDescent="0.35">
      <c r="B18" s="609" t="s">
        <v>788</v>
      </c>
      <c r="C18" s="610" t="s">
        <v>789</v>
      </c>
      <c r="D18" s="611">
        <v>10</v>
      </c>
      <c r="E18" s="612">
        <v>0.01</v>
      </c>
      <c r="F18" s="611"/>
      <c r="G18" s="613"/>
      <c r="H18" s="613"/>
      <c r="I18" s="612"/>
      <c r="J18" s="614"/>
      <c r="K18" s="614"/>
      <c r="L18" s="614"/>
      <c r="N18" s="615"/>
      <c r="P18" s="652" t="e">
        <f t="shared" si="5"/>
        <v>#DIV/0!</v>
      </c>
      <c r="Q18" s="587">
        <f t="shared" si="6"/>
        <v>0</v>
      </c>
      <c r="R18" s="616" t="e">
        <f t="shared" si="7"/>
        <v>#DIV/0!</v>
      </c>
      <c r="S18" s="616" t="e">
        <f t="shared" si="8"/>
        <v>#DIV/0!</v>
      </c>
      <c r="T18" s="617" t="e">
        <f t="shared" si="9"/>
        <v>#DIV/0!</v>
      </c>
    </row>
    <row r="19" spans="2:20" s="626" customFormat="1" outlineLevel="1" x14ac:dyDescent="0.35">
      <c r="B19" s="618" t="s">
        <v>790</v>
      </c>
      <c r="C19" s="619" t="s">
        <v>791</v>
      </c>
      <c r="D19" s="620">
        <v>60</v>
      </c>
      <c r="E19" s="621">
        <v>0.06</v>
      </c>
      <c r="F19" s="611"/>
      <c r="G19" s="622"/>
      <c r="H19" s="622"/>
      <c r="I19" s="621"/>
      <c r="J19" s="614"/>
      <c r="K19" s="614"/>
      <c r="L19" s="623"/>
      <c r="M19" s="587"/>
      <c r="N19" s="624"/>
      <c r="O19" s="625"/>
      <c r="P19" s="652" t="e">
        <f t="shared" si="5"/>
        <v>#DIV/0!</v>
      </c>
      <c r="Q19" s="587">
        <f t="shared" si="6"/>
        <v>0</v>
      </c>
      <c r="R19" s="616" t="e">
        <f t="shared" si="7"/>
        <v>#DIV/0!</v>
      </c>
      <c r="S19" s="616" t="e">
        <f t="shared" si="8"/>
        <v>#DIV/0!</v>
      </c>
      <c r="T19" s="617" t="e">
        <f t="shared" si="9"/>
        <v>#DIV/0!</v>
      </c>
    </row>
    <row r="20" spans="2:20" s="626" customFormat="1" outlineLevel="1" x14ac:dyDescent="0.35">
      <c r="B20" s="618"/>
      <c r="C20" s="619" t="s">
        <v>792</v>
      </c>
      <c r="D20" s="622">
        <f>D6-SUM(D7:D19)</f>
        <v>40</v>
      </c>
      <c r="E20" s="621">
        <v>0.04</v>
      </c>
      <c r="F20" s="611"/>
      <c r="G20" s="622"/>
      <c r="H20" s="622"/>
      <c r="I20" s="621"/>
      <c r="J20" s="623"/>
      <c r="K20" s="623"/>
      <c r="L20" s="623"/>
      <c r="M20" s="625"/>
      <c r="N20" s="624"/>
      <c r="O20" s="625"/>
      <c r="P20" s="652" t="e">
        <f t="shared" si="5"/>
        <v>#DIV/0!</v>
      </c>
      <c r="Q20" s="587">
        <f t="shared" si="6"/>
        <v>0</v>
      </c>
      <c r="R20" s="616" t="e">
        <f t="shared" si="7"/>
        <v>#DIV/0!</v>
      </c>
      <c r="S20" s="616" t="e">
        <f t="shared" si="8"/>
        <v>#DIV/0!</v>
      </c>
      <c r="T20" s="617" t="e">
        <f t="shared" si="9"/>
        <v>#DIV/0!</v>
      </c>
    </row>
    <row r="21" spans="2:20" s="636" customFormat="1" ht="13" outlineLevel="1" x14ac:dyDescent="0.35">
      <c r="B21" s="627"/>
      <c r="C21" s="628" t="s">
        <v>793</v>
      </c>
      <c r="D21" s="629">
        <f t="shared" ref="D21:I21" si="12">SUM(D7:D20)</f>
        <v>1000</v>
      </c>
      <c r="E21" s="630">
        <f t="shared" si="12"/>
        <v>1.0000000000000002</v>
      </c>
      <c r="F21" s="629">
        <f>SUM(F7:F20)</f>
        <v>890</v>
      </c>
      <c r="G21" s="629">
        <f t="shared" si="12"/>
        <v>6.0499999999999989</v>
      </c>
      <c r="H21" s="631">
        <f t="shared" si="12"/>
        <v>1051</v>
      </c>
      <c r="I21" s="631">
        <f t="shared" si="12"/>
        <v>11300000</v>
      </c>
      <c r="J21" s="632"/>
      <c r="K21" s="632"/>
      <c r="L21" s="632"/>
      <c r="M21" s="633">
        <f>AVERAGE(M7:M19)</f>
        <v>13150</v>
      </c>
      <c r="N21" s="634"/>
      <c r="O21" s="635"/>
      <c r="P21" s="652">
        <f t="shared" si="5"/>
        <v>12696.629213483146</v>
      </c>
      <c r="T21" s="617">
        <f t="shared" si="9"/>
        <v>0</v>
      </c>
    </row>
    <row r="22" spans="2:20" x14ac:dyDescent="0.35">
      <c r="P22" s="652">
        <f>10000/(F21/1000)-P21</f>
        <v>-1460.6741573033705</v>
      </c>
    </row>
    <row r="24" spans="2:20" s="597" customFormat="1" ht="52" x14ac:dyDescent="0.35">
      <c r="B24" s="591" t="s">
        <v>794</v>
      </c>
      <c r="C24" s="591" t="s">
        <v>795</v>
      </c>
      <c r="D24" s="1109" t="s">
        <v>758</v>
      </c>
      <c r="E24" s="1109"/>
      <c r="F24" s="593" t="s">
        <v>759</v>
      </c>
      <c r="G24" s="593" t="s">
        <v>760</v>
      </c>
      <c r="H24" s="593" t="s">
        <v>761</v>
      </c>
      <c r="I24" s="593" t="s">
        <v>762</v>
      </c>
      <c r="J24" s="594" t="s">
        <v>763</v>
      </c>
      <c r="K24" s="594" t="s">
        <v>764</v>
      </c>
      <c r="L24" s="594" t="s">
        <v>16</v>
      </c>
      <c r="M24" s="595" t="s">
        <v>765</v>
      </c>
      <c r="N24" s="637" t="s">
        <v>766</v>
      </c>
      <c r="O24" s="590"/>
      <c r="P24" s="590"/>
    </row>
    <row r="25" spans="2:20" ht="13" x14ac:dyDescent="0.3">
      <c r="B25" s="598"/>
      <c r="C25" s="599"/>
      <c r="D25" s="600" t="s">
        <v>770</v>
      </c>
      <c r="E25" s="600" t="s">
        <v>486</v>
      </c>
      <c r="F25" s="601" t="s">
        <v>771</v>
      </c>
      <c r="G25" s="601" t="s">
        <v>772</v>
      </c>
      <c r="H25" s="601" t="s">
        <v>773</v>
      </c>
      <c r="I25" s="601" t="s">
        <v>774</v>
      </c>
      <c r="J25" s="600" t="s">
        <v>486</v>
      </c>
      <c r="K25" s="600" t="s">
        <v>486</v>
      </c>
      <c r="L25" s="602"/>
      <c r="N25" s="638"/>
    </row>
    <row r="26" spans="2:20" ht="13" x14ac:dyDescent="0.3">
      <c r="B26" s="599" t="s">
        <v>783</v>
      </c>
      <c r="C26" s="599" t="s">
        <v>19</v>
      </c>
      <c r="D26" s="600">
        <v>600</v>
      </c>
      <c r="E26" s="600"/>
      <c r="F26" s="639">
        <f>SUM(F27:F31)</f>
        <v>1080</v>
      </c>
      <c r="G26" s="640">
        <f>SUM(G27:G31)</f>
        <v>4.0999999999999996</v>
      </c>
      <c r="H26" s="601"/>
      <c r="I26" s="641">
        <f>I13/F13*D26</f>
        <v>7096098.9533777349</v>
      </c>
      <c r="J26" s="600"/>
      <c r="K26" s="600"/>
      <c r="L26" s="602"/>
      <c r="N26" s="638"/>
    </row>
    <row r="27" spans="2:20" outlineLevel="1" x14ac:dyDescent="0.35">
      <c r="B27" s="609" t="s">
        <v>796</v>
      </c>
      <c r="C27" s="610" t="s">
        <v>45</v>
      </c>
      <c r="D27" s="611">
        <f>D26*E27</f>
        <v>510</v>
      </c>
      <c r="E27" s="612">
        <v>0.85</v>
      </c>
      <c r="F27" s="611">
        <f>D27</f>
        <v>510</v>
      </c>
      <c r="G27" s="613">
        <v>1.35</v>
      </c>
      <c r="H27" s="613">
        <f>F27*G27</f>
        <v>688.5</v>
      </c>
      <c r="I27" s="611">
        <f>$I$26/$H$31*H27</f>
        <v>6886066.4262164487</v>
      </c>
      <c r="J27" s="614">
        <f>I27/$I$26</f>
        <v>0.97040169133192389</v>
      </c>
      <c r="K27" s="614">
        <f>J27</f>
        <v>0.97040169133192389</v>
      </c>
      <c r="L27" s="1104" t="s">
        <v>778</v>
      </c>
      <c r="M27" s="587">
        <f>ROUND($M$13+O27,-2)</f>
        <v>16500</v>
      </c>
      <c r="N27" s="642">
        <f>M27/$M$31</f>
        <v>1.2692307692307692</v>
      </c>
      <c r="O27" s="587">
        <v>2000</v>
      </c>
      <c r="P27" s="587">
        <v>2500</v>
      </c>
    </row>
    <row r="28" spans="2:20" outlineLevel="1" x14ac:dyDescent="0.35">
      <c r="B28" s="609" t="s">
        <v>797</v>
      </c>
      <c r="C28" s="610" t="s">
        <v>798</v>
      </c>
      <c r="D28" s="611">
        <f>D26*E28</f>
        <v>30</v>
      </c>
      <c r="E28" s="612">
        <v>0.05</v>
      </c>
      <c r="F28" s="611">
        <f>D28</f>
        <v>30</v>
      </c>
      <c r="G28" s="613">
        <v>0.7</v>
      </c>
      <c r="H28" s="613">
        <f>F28*G28</f>
        <v>21</v>
      </c>
      <c r="I28" s="611">
        <f>$I$26/$H$31*H28</f>
        <v>210032.52716128601</v>
      </c>
      <c r="J28" s="614">
        <f>I28/$I$26</f>
        <v>2.9598308668076109E-2</v>
      </c>
      <c r="K28" s="614">
        <f>J28</f>
        <v>2.9598308668076109E-2</v>
      </c>
      <c r="L28" s="1105"/>
      <c r="M28" s="587">
        <f>ROUND($M$14+O28,-2)</f>
        <v>9500</v>
      </c>
      <c r="N28" s="642">
        <f>M28/$M$31</f>
        <v>0.73076923076923073</v>
      </c>
      <c r="O28" s="587">
        <f>O27</f>
        <v>2000</v>
      </c>
      <c r="P28" s="587">
        <v>2500</v>
      </c>
    </row>
    <row r="29" spans="2:20" outlineLevel="1" x14ac:dyDescent="0.35">
      <c r="B29" s="609"/>
      <c r="C29" s="610" t="s">
        <v>799</v>
      </c>
      <c r="D29" s="611">
        <f>D26*5%</f>
        <v>30</v>
      </c>
      <c r="E29" s="612"/>
      <c r="F29" s="611"/>
      <c r="G29" s="613"/>
      <c r="H29" s="613"/>
      <c r="I29" s="611"/>
      <c r="J29" s="614"/>
      <c r="K29" s="614"/>
      <c r="L29" s="614"/>
      <c r="N29" s="643"/>
    </row>
    <row r="30" spans="2:20" outlineLevel="1" x14ac:dyDescent="0.35">
      <c r="B30" s="609"/>
      <c r="C30" s="610" t="s">
        <v>792</v>
      </c>
      <c r="D30" s="611">
        <f>D26*5%</f>
        <v>30</v>
      </c>
      <c r="E30" s="612"/>
      <c r="F30" s="611"/>
      <c r="G30" s="613"/>
      <c r="H30" s="613"/>
      <c r="I30" s="611"/>
      <c r="J30" s="614"/>
      <c r="K30" s="614"/>
      <c r="L30" s="614"/>
      <c r="N30" s="643"/>
    </row>
    <row r="31" spans="2:20" s="636" customFormat="1" ht="13" outlineLevel="1" x14ac:dyDescent="0.35">
      <c r="B31" s="627"/>
      <c r="C31" s="628" t="s">
        <v>793</v>
      </c>
      <c r="D31" s="629">
        <f>SUM(D27:D30)</f>
        <v>600</v>
      </c>
      <c r="E31" s="630"/>
      <c r="F31" s="631">
        <f>SUM(F27:F30)</f>
        <v>540</v>
      </c>
      <c r="G31" s="631">
        <f>SUM(G27:G30)</f>
        <v>2.0499999999999998</v>
      </c>
      <c r="H31" s="631">
        <f>SUM(H27:H30)</f>
        <v>709.5</v>
      </c>
      <c r="I31" s="631"/>
      <c r="J31" s="632"/>
      <c r="K31" s="632"/>
      <c r="L31" s="632"/>
      <c r="M31" s="633">
        <f>AVERAGE(M27:M30)</f>
        <v>13000</v>
      </c>
      <c r="N31" s="644"/>
      <c r="O31" s="635"/>
      <c r="P31" s="635"/>
    </row>
    <row r="33" spans="3:28" x14ac:dyDescent="0.35">
      <c r="C33" s="656" t="s">
        <v>805</v>
      </c>
      <c r="AB33" s="652">
        <v>16300</v>
      </c>
    </row>
  </sheetData>
  <mergeCells count="7">
    <mergeCell ref="L27:L28"/>
    <mergeCell ref="D3:E3"/>
    <mergeCell ref="J3:K3"/>
    <mergeCell ref="M3:N3"/>
    <mergeCell ref="D4:E4"/>
    <mergeCell ref="L7:L14"/>
    <mergeCell ref="D24:E2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47F2-9476-4AD1-A79D-8EE3A06BC46A}">
  <sheetPr>
    <tabColor rgb="FF00B0F0"/>
  </sheetPr>
  <dimension ref="B2:AM33"/>
  <sheetViews>
    <sheetView topLeftCell="T1" zoomScale="70" zoomScaleNormal="70" workbookViewId="0">
      <selection activeCell="AG9" sqref="AG9"/>
    </sheetView>
  </sheetViews>
  <sheetFormatPr defaultColWidth="8.7265625" defaultRowHeight="12.5" outlineLevelRow="1" outlineLevelCol="1" x14ac:dyDescent="0.35"/>
  <cols>
    <col min="1" max="1" width="3.54296875" style="586" customWidth="1"/>
    <col min="2" max="2" width="11" style="586" customWidth="1"/>
    <col min="3" max="3" width="27.453125" style="586" customWidth="1"/>
    <col min="4" max="5" width="10.81640625" style="586" customWidth="1"/>
    <col min="6" max="6" width="12.54296875" style="586" customWidth="1"/>
    <col min="7" max="8" width="13.1796875" style="586" customWidth="1"/>
    <col min="9" max="9" width="15.26953125" style="586" customWidth="1"/>
    <col min="10" max="10" width="14" style="586" customWidth="1"/>
    <col min="11" max="11" width="13.54296875" style="586" customWidth="1"/>
    <col min="12" max="12" width="23" style="586" customWidth="1"/>
    <col min="13" max="13" width="11.453125" style="587" customWidth="1" outlineLevel="1"/>
    <col min="14" max="14" width="8.7265625" style="587" outlineLevel="1"/>
    <col min="15" max="15" width="10.81640625" style="587" customWidth="1"/>
    <col min="16" max="16" width="8.7265625" style="587"/>
    <col min="17" max="17" width="9.1796875" style="586" bestFit="1" customWidth="1"/>
    <col min="18" max="18" width="11" style="586" bestFit="1" customWidth="1"/>
    <col min="19" max="20" width="8.7265625" style="586"/>
    <col min="21" max="21" width="11.36328125" style="586" customWidth="1"/>
    <col min="22" max="22" width="9.1796875" style="586" bestFit="1" customWidth="1"/>
    <col min="23" max="23" width="11.90625" style="586" customWidth="1"/>
    <col min="24" max="24" width="9.1796875" style="586" bestFit="1" customWidth="1"/>
    <col min="25" max="25" width="11.7265625" style="586" customWidth="1"/>
    <col min="26" max="26" width="9.1796875" style="586" bestFit="1" customWidth="1"/>
    <col min="27" max="27" width="4.7265625" style="586" customWidth="1"/>
    <col min="28" max="28" width="12" style="586" bestFit="1" customWidth="1"/>
    <col min="29" max="29" width="10.1796875" style="586" bestFit="1" customWidth="1"/>
    <col min="30" max="30" width="8.7265625" style="586"/>
    <col min="31" max="31" width="20.1796875" style="586" bestFit="1" customWidth="1"/>
    <col min="32" max="32" width="9.1796875" style="586" bestFit="1" customWidth="1"/>
    <col min="33" max="33" width="8.90625" style="586" customWidth="1"/>
    <col min="34" max="35" width="14.26953125" style="586" bestFit="1" customWidth="1"/>
    <col min="36" max="36" width="17" style="586" bestFit="1" customWidth="1"/>
    <col min="37" max="37" width="12.7265625" style="586" bestFit="1" customWidth="1"/>
    <col min="38" max="38" width="13.36328125" style="586" bestFit="1" customWidth="1"/>
    <col min="39" max="16384" width="8.7265625" style="586"/>
  </cols>
  <sheetData>
    <row r="2" spans="2:39" ht="20" x14ac:dyDescent="0.35">
      <c r="B2" s="588" t="s">
        <v>754</v>
      </c>
      <c r="C2" s="588"/>
      <c r="D2" s="588"/>
      <c r="E2" s="588"/>
      <c r="F2" s="588"/>
      <c r="G2" s="588"/>
      <c r="H2" s="588"/>
      <c r="I2" s="588"/>
      <c r="J2" s="588"/>
      <c r="K2" s="588"/>
      <c r="L2" s="588"/>
    </row>
    <row r="3" spans="2:39" ht="13" x14ac:dyDescent="0.35">
      <c r="D3" s="1106"/>
      <c r="E3" s="1106"/>
      <c r="F3" s="589"/>
      <c r="G3" s="589"/>
      <c r="H3" s="589"/>
      <c r="I3" s="589"/>
      <c r="J3" s="1107"/>
      <c r="K3" s="1107"/>
      <c r="M3" s="1108" t="s">
        <v>755</v>
      </c>
      <c r="N3" s="1108"/>
      <c r="P3" s="645" t="s">
        <v>800</v>
      </c>
      <c r="AG3" s="586" t="s">
        <v>971</v>
      </c>
      <c r="AJ3" s="616">
        <f>AJ5-AJ6</f>
        <v>468775295.36717272</v>
      </c>
    </row>
    <row r="4" spans="2:39" s="597" customFormat="1" ht="52" x14ac:dyDescent="0.35">
      <c r="B4" s="591" t="s">
        <v>756</v>
      </c>
      <c r="C4" s="592" t="s">
        <v>757</v>
      </c>
      <c r="D4" s="1109" t="s">
        <v>758</v>
      </c>
      <c r="E4" s="1109"/>
      <c r="F4" s="593" t="s">
        <v>759</v>
      </c>
      <c r="G4" s="593" t="s">
        <v>760</v>
      </c>
      <c r="H4" s="593" t="s">
        <v>761</v>
      </c>
      <c r="I4" s="593" t="s">
        <v>762</v>
      </c>
      <c r="J4" s="594" t="s">
        <v>763</v>
      </c>
      <c r="K4" s="594" t="s">
        <v>764</v>
      </c>
      <c r="L4" s="594" t="s">
        <v>16</v>
      </c>
      <c r="M4" s="595" t="s">
        <v>765</v>
      </c>
      <c r="N4" s="596" t="s">
        <v>766</v>
      </c>
      <c r="O4" s="595" t="s">
        <v>483</v>
      </c>
      <c r="P4" s="646" t="s">
        <v>767</v>
      </c>
      <c r="Q4" s="597" t="s">
        <v>768</v>
      </c>
      <c r="R4" s="597" t="s">
        <v>769</v>
      </c>
      <c r="S4" s="597" t="s">
        <v>454</v>
      </c>
      <c r="T4" s="597" t="s">
        <v>455</v>
      </c>
      <c r="V4" s="597" t="s">
        <v>801</v>
      </c>
      <c r="X4" s="597" t="s">
        <v>802</v>
      </c>
      <c r="Z4" s="597" t="s">
        <v>803</v>
      </c>
      <c r="AB4" s="597" t="s">
        <v>804</v>
      </c>
      <c r="AG4" s="597" t="s">
        <v>742</v>
      </c>
      <c r="AH4" s="597" t="s">
        <v>972</v>
      </c>
      <c r="AI4" s="597" t="s">
        <v>973</v>
      </c>
      <c r="AJ4" s="597" t="s">
        <v>454</v>
      </c>
      <c r="AK4" s="597" t="s">
        <v>653</v>
      </c>
      <c r="AL4" s="597" t="s">
        <v>974</v>
      </c>
      <c r="AM4" s="597" t="s">
        <v>875</v>
      </c>
    </row>
    <row r="5" spans="2:39" ht="13" x14ac:dyDescent="0.3">
      <c r="B5" s="598"/>
      <c r="C5" s="599"/>
      <c r="D5" s="600" t="s">
        <v>770</v>
      </c>
      <c r="E5" s="600" t="s">
        <v>486</v>
      </c>
      <c r="F5" s="601" t="s">
        <v>771</v>
      </c>
      <c r="G5" s="601" t="s">
        <v>772</v>
      </c>
      <c r="H5" s="601" t="s">
        <v>773</v>
      </c>
      <c r="I5" s="601" t="s">
        <v>774</v>
      </c>
      <c r="J5" s="600" t="s">
        <v>486</v>
      </c>
      <c r="K5" s="600" t="s">
        <v>486</v>
      </c>
      <c r="L5" s="602"/>
      <c r="M5" s="647">
        <f>MAX(V5,X5,Z5)</f>
        <v>0.10667325484443603</v>
      </c>
      <c r="N5" s="603"/>
      <c r="U5" s="586" t="s">
        <v>482</v>
      </c>
      <c r="V5" s="647">
        <f>'[2]1. Đại Lộc'!$O$334</f>
        <v>0.10096034348805652</v>
      </c>
      <c r="X5" s="647">
        <f>'[2]2. Khánh Nga'!$O$39</f>
        <v>9.7733526674727331E-2</v>
      </c>
      <c r="Z5" s="647">
        <f>'[2]3. Đồng Lâm'!$O$344</f>
        <v>0.10667325484443603</v>
      </c>
      <c r="AJ5" s="587">
        <f>'[4]KE30-KhanhNga'!$AK$2</f>
        <v>1108265483</v>
      </c>
    </row>
    <row r="6" spans="2:39" ht="13" outlineLevel="1" x14ac:dyDescent="0.35">
      <c r="B6" s="604" t="s">
        <v>775</v>
      </c>
      <c r="C6" s="605" t="s">
        <v>776</v>
      </c>
      <c r="D6" s="606">
        <v>1000</v>
      </c>
      <c r="E6" s="607">
        <f>SUM(E7:E20)</f>
        <v>1.0000000000000002</v>
      </c>
      <c r="F6" s="607"/>
      <c r="G6" s="608"/>
      <c r="H6" s="608"/>
      <c r="I6" s="606">
        <f>D6*$M$6</f>
        <v>11300000</v>
      </c>
      <c r="J6" s="607">
        <f>SUM(J7:J19)</f>
        <v>0.99999999999999989</v>
      </c>
      <c r="K6" s="607">
        <f>SUM(K7:K19)</f>
        <v>0.99999999999999989</v>
      </c>
      <c r="L6" s="607"/>
      <c r="M6" s="648">
        <v>11300</v>
      </c>
      <c r="N6" s="603"/>
      <c r="Q6" s="649">
        <f>X6</f>
        <v>2894.8842505347179</v>
      </c>
      <c r="V6" s="650">
        <f>'[3]3.CP_TAN'!$Q$78</f>
        <v>3684.4010838335184</v>
      </c>
      <c r="W6" s="650"/>
      <c r="X6" s="650">
        <f>'[3]3.CP_TAN'!$R$78</f>
        <v>2894.8842505347179</v>
      </c>
      <c r="Y6" s="650"/>
      <c r="Z6" s="650">
        <f>'[3]3.CP_TAN'!$S$78</f>
        <v>2609.6553352190908</v>
      </c>
      <c r="AB6" s="587">
        <v>10000</v>
      </c>
      <c r="AG6" s="1000">
        <f t="shared" ref="AG6:AL6" si="0">SUM(AG7:AG16)</f>
        <v>641114</v>
      </c>
      <c r="AH6" s="1000">
        <f t="shared" si="0"/>
        <v>9692325500</v>
      </c>
      <c r="AI6" s="1000">
        <f t="shared" si="0"/>
        <v>9052835312.3671722</v>
      </c>
      <c r="AJ6" s="1000">
        <f t="shared" si="0"/>
        <v>639490187.63282728</v>
      </c>
      <c r="AK6" s="1000">
        <f t="shared" si="0"/>
        <v>522969527</v>
      </c>
      <c r="AL6" s="1000">
        <f t="shared" si="0"/>
        <v>116520660.63282737</v>
      </c>
      <c r="AM6" s="1002">
        <f>AL6/AH6</f>
        <v>1.2021950834485219E-2</v>
      </c>
    </row>
    <row r="7" spans="2:39" outlineLevel="1" x14ac:dyDescent="0.35">
      <c r="B7" s="609" t="s">
        <v>777</v>
      </c>
      <c r="C7" s="610" t="s">
        <v>503</v>
      </c>
      <c r="D7" s="611">
        <v>540</v>
      </c>
      <c r="E7" s="612">
        <v>0.54</v>
      </c>
      <c r="F7" s="611">
        <f>D7</f>
        <v>540</v>
      </c>
      <c r="G7" s="613">
        <v>1.25</v>
      </c>
      <c r="H7" s="613">
        <f t="shared" ref="H7:H14" si="1">F7*G7</f>
        <v>675</v>
      </c>
      <c r="I7" s="611">
        <f t="shared" ref="I7:I14" si="2">$I$6/$H$21*H7</f>
        <v>7257373.929590866</v>
      </c>
      <c r="J7" s="612">
        <f t="shared" ref="J7:J14" si="3">I7/$I$6</f>
        <v>0.64224548049476693</v>
      </c>
      <c r="K7" s="614">
        <f>J7</f>
        <v>0.64224548049476693</v>
      </c>
      <c r="L7" s="1110" t="s">
        <v>778</v>
      </c>
      <c r="M7" s="587">
        <f>ROUND($M$6+O7,-2)</f>
        <v>15800</v>
      </c>
      <c r="N7" s="615">
        <f>M7/$M$21</f>
        <v>1.2169448010269577</v>
      </c>
      <c r="O7" s="651">
        <f>'GAP (KN)'!J9</f>
        <v>4500</v>
      </c>
      <c r="P7" s="652">
        <f>I7/F7</f>
        <v>13439.581351094197</v>
      </c>
      <c r="Q7" s="587">
        <f>$Q$6*K7</f>
        <v>1859.2263264614032</v>
      </c>
      <c r="R7" s="616">
        <f>P7+Q7</f>
        <v>15298.8076775556</v>
      </c>
      <c r="S7" s="616">
        <f>M7-R7</f>
        <v>501.19232244439991</v>
      </c>
      <c r="T7" s="617">
        <f>S7/M7</f>
        <v>3.1721033066101259E-2</v>
      </c>
      <c r="U7" s="586" t="str">
        <f>'[2]1. Đại Lộc'!B327</f>
        <v>% Chai B1</v>
      </c>
      <c r="V7" s="653">
        <f>'[2]1. Đại Lộc'!O327</f>
        <v>0.65050165177150054</v>
      </c>
      <c r="W7" s="586" t="str">
        <f>'[2]2. Khánh Nga'!B32</f>
        <v>% Chai B1</v>
      </c>
      <c r="X7" s="653">
        <f>'[2]2. Khánh Nga'!O32</f>
        <v>0.52583539606738805</v>
      </c>
      <c r="Y7" s="586" t="str">
        <f>'[2]3. Đồng Lâm'!B337</f>
        <v>% Chai B1</v>
      </c>
      <c r="Z7" s="653">
        <f>'[2]3. Đồng Lâm'!O337</f>
        <v>0.50053442897045786</v>
      </c>
      <c r="AB7" s="587">
        <v>14500</v>
      </c>
      <c r="AC7" s="587">
        <v>11200</v>
      </c>
      <c r="AE7" s="654">
        <f>T7*V7</f>
        <v>2.0634584405397255E-2</v>
      </c>
      <c r="AF7" s="587">
        <f>ROUND($M$6+$M$6*$M$5,-2)</f>
        <v>12500</v>
      </c>
      <c r="AG7" s="587">
        <f>'[4]KE30-KhanhNga'!$I$4+'[4]KE30-KhanhNga'!$I$5</f>
        <v>407227</v>
      </c>
      <c r="AH7" s="616">
        <f>AG7*M7</f>
        <v>6434186600</v>
      </c>
      <c r="AI7" s="616">
        <f>AG7*R7</f>
        <v>6230087554.107934</v>
      </c>
      <c r="AJ7" s="587">
        <f>AH7-AI7</f>
        <v>204099045.892066</v>
      </c>
      <c r="AK7" s="1001">
        <f>'[4]PL-KhanhNga'!$BO$14+'[4]PL-KhanhNga'!$BO$15</f>
        <v>522969527</v>
      </c>
      <c r="AL7" s="587">
        <f>AJ7-AK7</f>
        <v>-318870481.107934</v>
      </c>
    </row>
    <row r="8" spans="2:39" outlineLevel="1" x14ac:dyDescent="0.35">
      <c r="B8" s="609" t="s">
        <v>779</v>
      </c>
      <c r="C8" s="610" t="s">
        <v>50</v>
      </c>
      <c r="D8" s="611"/>
      <c r="E8" s="612"/>
      <c r="F8" s="611">
        <f>D8</f>
        <v>0</v>
      </c>
      <c r="G8" s="613"/>
      <c r="H8" s="613">
        <f t="shared" si="1"/>
        <v>0</v>
      </c>
      <c r="I8" s="611">
        <f t="shared" si="2"/>
        <v>0</v>
      </c>
      <c r="J8" s="612">
        <f t="shared" si="3"/>
        <v>0</v>
      </c>
      <c r="K8" s="614">
        <f t="shared" ref="K8:K14" si="4">J8</f>
        <v>0</v>
      </c>
      <c r="L8" s="1111"/>
      <c r="N8" s="615">
        <f t="shared" ref="N8:N12" si="5">M8/$M$21</f>
        <v>0</v>
      </c>
      <c r="O8" s="587">
        <f>O7</f>
        <v>4500</v>
      </c>
      <c r="P8" s="652"/>
      <c r="Q8" s="587"/>
      <c r="R8" s="616"/>
      <c r="S8" s="616"/>
      <c r="T8" s="617"/>
      <c r="V8" s="653"/>
      <c r="X8" s="653"/>
      <c r="Z8" s="653"/>
      <c r="AE8" s="654">
        <f t="shared" ref="AE8:AE15" si="6">T8*V8</f>
        <v>0</v>
      </c>
      <c r="AG8" s="587"/>
      <c r="AH8" s="616">
        <f t="shared" ref="AH8:AH16" si="7">AG8*M8</f>
        <v>0</v>
      </c>
      <c r="AI8" s="616">
        <f t="shared" ref="AI8:AI15" si="8">AG8*R8</f>
        <v>0</v>
      </c>
      <c r="AJ8" s="587">
        <f t="shared" ref="AJ8:AJ16" si="9">AH8-AI8</f>
        <v>0</v>
      </c>
      <c r="AL8" s="587">
        <f t="shared" ref="AL8:AL16" si="10">AJ8-AK8</f>
        <v>0</v>
      </c>
    </row>
    <row r="9" spans="2:39" outlineLevel="1" x14ac:dyDescent="0.35">
      <c r="B9" s="609" t="s">
        <v>780</v>
      </c>
      <c r="C9" s="610" t="s">
        <v>22</v>
      </c>
      <c r="D9" s="611">
        <v>30</v>
      </c>
      <c r="E9" s="612">
        <v>0.03</v>
      </c>
      <c r="F9" s="611">
        <f t="shared" ref="F9:F14" si="11">D9</f>
        <v>30</v>
      </c>
      <c r="G9" s="613">
        <v>1.1000000000000001</v>
      </c>
      <c r="H9" s="613">
        <f t="shared" si="1"/>
        <v>33</v>
      </c>
      <c r="I9" s="611">
        <f t="shared" si="2"/>
        <v>354804.94766888674</v>
      </c>
      <c r="J9" s="612">
        <f t="shared" si="3"/>
        <v>3.1398667935299711E-2</v>
      </c>
      <c r="K9" s="614">
        <f t="shared" si="4"/>
        <v>3.1398667935299711E-2</v>
      </c>
      <c r="L9" s="1111"/>
      <c r="M9" s="587">
        <f>ROUND($M$6+O9,-2)</f>
        <v>14300</v>
      </c>
      <c r="N9" s="615">
        <f>M9/$M$21</f>
        <v>1.1014120667522465</v>
      </c>
      <c r="O9" s="587">
        <f>'GAP (KN)'!J11</f>
        <v>3000</v>
      </c>
      <c r="P9" s="652">
        <f t="shared" ref="P9:P21" si="12">I9/F9</f>
        <v>11826.831588962892</v>
      </c>
      <c r="Q9" s="587">
        <f t="shared" ref="Q9:Q16" si="13">$Q$6*K9</f>
        <v>90.895509293668582</v>
      </c>
      <c r="R9" s="616">
        <f t="shared" ref="R9:R16" si="14">P9+Q9</f>
        <v>11917.727098256561</v>
      </c>
      <c r="S9" s="616">
        <f t="shared" ref="S9:S16" si="15">M9-R9</f>
        <v>2382.2729017434394</v>
      </c>
      <c r="T9" s="617">
        <f t="shared" ref="T9:T21" si="16">S9/M9</f>
        <v>0.16659251061142932</v>
      </c>
      <c r="U9" s="586" t="str">
        <f>'[2]1. Đại Lộc'!B328</f>
        <v>% Chai B2.2</v>
      </c>
      <c r="V9" s="653">
        <f>'[2]1. Đại Lộc'!O328</f>
        <v>5.3561787013188056E-3</v>
      </c>
      <c r="W9" s="586" t="str">
        <f>'[2]2. Khánh Nga'!B33</f>
        <v>% Chai B2.2</v>
      </c>
      <c r="X9" s="653">
        <f>'[2]2. Khánh Nga'!O33</f>
        <v>7.8724377212196814E-2</v>
      </c>
      <c r="Y9" s="586" t="str">
        <f>'[2]3. Đồng Lâm'!B338</f>
        <v>% Chai B2.2</v>
      </c>
      <c r="Z9" s="653">
        <f>'[2]3. Đồng Lâm'!O338</f>
        <v>8.3560339784929882E-2</v>
      </c>
      <c r="AE9" s="654">
        <f>T9*V9</f>
        <v>8.9229925713616483E-4</v>
      </c>
      <c r="AG9" s="587">
        <f>'[4]KE30-KhanhNga'!$I$6</f>
        <v>47471</v>
      </c>
      <c r="AH9" s="616">
        <f t="shared" si="7"/>
        <v>678835300</v>
      </c>
      <c r="AI9" s="616">
        <f t="shared" si="8"/>
        <v>565746423.08133721</v>
      </c>
      <c r="AJ9" s="587">
        <f t="shared" si="9"/>
        <v>113088876.91866279</v>
      </c>
      <c r="AL9" s="587">
        <f t="shared" si="10"/>
        <v>113088876.91866279</v>
      </c>
    </row>
    <row r="10" spans="2:39" outlineLevel="1" x14ac:dyDescent="0.35">
      <c r="B10" s="609" t="s">
        <v>781</v>
      </c>
      <c r="C10" s="610" t="s">
        <v>27</v>
      </c>
      <c r="D10" s="611">
        <v>20</v>
      </c>
      <c r="E10" s="612">
        <v>0.02</v>
      </c>
      <c r="F10" s="611">
        <f>D10</f>
        <v>20</v>
      </c>
      <c r="G10" s="613">
        <v>1</v>
      </c>
      <c r="H10" s="613">
        <f t="shared" si="1"/>
        <v>20</v>
      </c>
      <c r="I10" s="611">
        <f t="shared" si="2"/>
        <v>215033.30161750712</v>
      </c>
      <c r="J10" s="612">
        <f t="shared" si="3"/>
        <v>1.9029495718363463E-2</v>
      </c>
      <c r="K10" s="614">
        <f t="shared" si="4"/>
        <v>1.9029495718363463E-2</v>
      </c>
      <c r="L10" s="1111"/>
      <c r="M10" s="587">
        <f>ROUND($M$6+O10,-2)</f>
        <v>13000</v>
      </c>
      <c r="N10" s="615">
        <f>M10/$M$21</f>
        <v>1.0012836970474968</v>
      </c>
      <c r="O10" s="587">
        <f>'GAP (KN)'!J10</f>
        <v>1700</v>
      </c>
      <c r="P10" s="652">
        <f t="shared" si="12"/>
        <v>10751.665080875357</v>
      </c>
      <c r="Q10" s="587">
        <f t="shared" si="13"/>
        <v>55.08818745070824</v>
      </c>
      <c r="R10" s="616">
        <f t="shared" si="14"/>
        <v>10806.753268326065</v>
      </c>
      <c r="S10" s="616">
        <f t="shared" si="15"/>
        <v>2193.2467316739348</v>
      </c>
      <c r="T10" s="617">
        <f t="shared" si="16"/>
        <v>0.16871128705184113</v>
      </c>
      <c r="U10" s="586" t="str">
        <f>'[2]2. Khánh Nga'!B35</f>
        <v>% Chai B4</v>
      </c>
      <c r="V10" s="653">
        <f>'[2]2. Khánh Nga'!O35</f>
        <v>1.4912633842699981E-2</v>
      </c>
      <c r="W10" s="586" t="str">
        <f>'[2]2. Khánh Nga'!B35</f>
        <v>% Chai B4</v>
      </c>
      <c r="X10" s="653">
        <f>'[2]2. Khánh Nga'!O35</f>
        <v>1.4912633842699981E-2</v>
      </c>
      <c r="Y10" s="586" t="str">
        <f>'[2]3. Đồng Lâm'!B340</f>
        <v>% Chai B4</v>
      </c>
      <c r="Z10" s="653">
        <f>'[2]3. Đồng Lâm'!O340</f>
        <v>1.9139602152341485E-2</v>
      </c>
      <c r="AE10" s="654">
        <f t="shared" si="6"/>
        <v>2.5159296489347571E-3</v>
      </c>
      <c r="AG10" s="587">
        <f>'[4]KE30-KhanhNga'!$I$7</f>
        <v>12220</v>
      </c>
      <c r="AH10" s="616">
        <f t="shared" si="7"/>
        <v>158860000</v>
      </c>
      <c r="AI10" s="616">
        <f t="shared" si="8"/>
        <v>132058524.93894452</v>
      </c>
      <c r="AJ10" s="587">
        <f t="shared" si="9"/>
        <v>26801475.061055481</v>
      </c>
      <c r="AL10" s="587">
        <f t="shared" si="10"/>
        <v>26801475.061055481</v>
      </c>
    </row>
    <row r="11" spans="2:39" outlineLevel="1" x14ac:dyDescent="0.35">
      <c r="B11" s="609" t="s">
        <v>782</v>
      </c>
      <c r="C11" s="610" t="s">
        <v>29</v>
      </c>
      <c r="D11" s="611">
        <v>20</v>
      </c>
      <c r="E11" s="612">
        <v>0.02</v>
      </c>
      <c r="F11" s="611">
        <f t="shared" si="11"/>
        <v>20</v>
      </c>
      <c r="G11" s="613">
        <v>1</v>
      </c>
      <c r="H11" s="613">
        <f t="shared" si="1"/>
        <v>20</v>
      </c>
      <c r="I11" s="611">
        <f t="shared" si="2"/>
        <v>215033.30161750712</v>
      </c>
      <c r="J11" s="612">
        <f t="shared" si="3"/>
        <v>1.9029495718363463E-2</v>
      </c>
      <c r="K11" s="614">
        <f t="shared" si="4"/>
        <v>1.9029495718363463E-2</v>
      </c>
      <c r="L11" s="1111"/>
      <c r="M11" s="587">
        <f t="shared" ref="M11" si="17">ROUND($M$6+O11,-2)</f>
        <v>13000</v>
      </c>
      <c r="N11" s="615">
        <f>M11/$M$21</f>
        <v>1.0012836970474968</v>
      </c>
      <c r="O11" s="587">
        <f>O10</f>
        <v>1700</v>
      </c>
      <c r="P11" s="652">
        <f t="shared" si="12"/>
        <v>10751.665080875357</v>
      </c>
      <c r="Q11" s="587">
        <f t="shared" si="13"/>
        <v>55.08818745070824</v>
      </c>
      <c r="R11" s="616">
        <f t="shared" si="14"/>
        <v>10806.753268326065</v>
      </c>
      <c r="S11" s="616">
        <f t="shared" si="15"/>
        <v>2193.2467316739348</v>
      </c>
      <c r="T11" s="617">
        <f t="shared" si="16"/>
        <v>0.16871128705184113</v>
      </c>
      <c r="U11" s="586" t="str">
        <f>'[2]2. Khánh Nga'!B36</f>
        <v>% Chai B5</v>
      </c>
      <c r="V11" s="653">
        <f>'[2]2. Khánh Nga'!O36</f>
        <v>1.9802358600751371E-2</v>
      </c>
      <c r="W11" s="586" t="str">
        <f>'[2]2. Khánh Nga'!B36</f>
        <v>% Chai B5</v>
      </c>
      <c r="X11" s="653">
        <f>'[2]2. Khánh Nga'!O36</f>
        <v>1.9802358600751371E-2</v>
      </c>
      <c r="Y11" s="586" t="str">
        <f>'[2]3. Đồng Lâm'!B341</f>
        <v>% Chai B5</v>
      </c>
      <c r="Z11" s="653">
        <f>'[2]3. Đồng Lâm'!O341</f>
        <v>1.0656981591639593E-2</v>
      </c>
      <c r="AE11" s="654">
        <f t="shared" si="6"/>
        <v>3.3408814061948598E-3</v>
      </c>
      <c r="AG11" s="587">
        <f>'[4]KE30-KhanhNga'!$I$8</f>
        <v>20768</v>
      </c>
      <c r="AH11" s="616">
        <f t="shared" si="7"/>
        <v>269984000</v>
      </c>
      <c r="AI11" s="616">
        <f t="shared" si="8"/>
        <v>224434651.87659574</v>
      </c>
      <c r="AJ11" s="587">
        <f t="shared" si="9"/>
        <v>45549348.123404264</v>
      </c>
      <c r="AL11" s="587">
        <f t="shared" si="10"/>
        <v>45549348.123404264</v>
      </c>
    </row>
    <row r="12" spans="2:39" outlineLevel="1" x14ac:dyDescent="0.35">
      <c r="B12" s="609"/>
      <c r="C12" s="610" t="s">
        <v>32</v>
      </c>
      <c r="D12" s="611"/>
      <c r="E12" s="612"/>
      <c r="F12" s="611">
        <f t="shared" si="11"/>
        <v>0</v>
      </c>
      <c r="G12" s="613"/>
      <c r="H12" s="613">
        <f t="shared" si="1"/>
        <v>0</v>
      </c>
      <c r="I12" s="611">
        <f t="shared" si="2"/>
        <v>0</v>
      </c>
      <c r="J12" s="612">
        <f t="shared" si="3"/>
        <v>0</v>
      </c>
      <c r="K12" s="614">
        <f t="shared" si="4"/>
        <v>0</v>
      </c>
      <c r="L12" s="1111"/>
      <c r="N12" s="615">
        <f t="shared" si="5"/>
        <v>0</v>
      </c>
      <c r="O12" s="587">
        <f>O8</f>
        <v>4500</v>
      </c>
      <c r="P12" s="652"/>
      <c r="Q12" s="587"/>
      <c r="R12" s="616"/>
      <c r="S12" s="616"/>
      <c r="T12" s="617"/>
      <c r="V12" s="653"/>
      <c r="X12" s="653"/>
      <c r="Z12" s="653"/>
      <c r="AE12" s="654">
        <f t="shared" si="6"/>
        <v>0</v>
      </c>
      <c r="AG12" s="587"/>
      <c r="AH12" s="616">
        <f t="shared" si="7"/>
        <v>0</v>
      </c>
      <c r="AI12" s="616">
        <f t="shared" si="8"/>
        <v>0</v>
      </c>
      <c r="AJ12" s="587">
        <f t="shared" si="9"/>
        <v>0</v>
      </c>
      <c r="AL12" s="587">
        <f t="shared" si="10"/>
        <v>0</v>
      </c>
    </row>
    <row r="13" spans="2:39" outlineLevel="1" x14ac:dyDescent="0.35">
      <c r="B13" s="609" t="s">
        <v>783</v>
      </c>
      <c r="C13" s="610" t="s">
        <v>19</v>
      </c>
      <c r="D13" s="611">
        <v>270</v>
      </c>
      <c r="E13" s="612">
        <v>0.27</v>
      </c>
      <c r="F13" s="611">
        <f t="shared" si="11"/>
        <v>270</v>
      </c>
      <c r="G13" s="613">
        <v>1.1000000000000001</v>
      </c>
      <c r="H13" s="613">
        <f t="shared" si="1"/>
        <v>297</v>
      </c>
      <c r="I13" s="611">
        <f t="shared" si="2"/>
        <v>3193244.5290199807</v>
      </c>
      <c r="J13" s="612">
        <f t="shared" si="3"/>
        <v>0.2825880114176974</v>
      </c>
      <c r="K13" s="614">
        <f t="shared" si="4"/>
        <v>0.2825880114176974</v>
      </c>
      <c r="L13" s="1111"/>
      <c r="M13" s="587">
        <f>ROUND($M$6+O13,-2)</f>
        <v>14300</v>
      </c>
      <c r="N13" s="615">
        <f>M13/$M$21</f>
        <v>1.1014120667522465</v>
      </c>
      <c r="O13" s="587">
        <f>O9</f>
        <v>3000</v>
      </c>
      <c r="P13" s="652">
        <f t="shared" si="12"/>
        <v>11826.831588962892</v>
      </c>
      <c r="Q13" s="587">
        <f t="shared" si="13"/>
        <v>818.05958364301728</v>
      </c>
      <c r="R13" s="616">
        <f t="shared" si="14"/>
        <v>12644.891172605909</v>
      </c>
      <c r="S13" s="616">
        <f t="shared" si="15"/>
        <v>1655.1088273940913</v>
      </c>
      <c r="T13" s="617">
        <f t="shared" si="16"/>
        <v>0.11574187604154484</v>
      </c>
      <c r="U13" s="586" t="str">
        <f>'[2]1. Đại Lộc'!B329</f>
        <v>% Chai B6.2</v>
      </c>
      <c r="V13" s="653">
        <f>'[2]1. Đại Lộc'!O329</f>
        <v>0.19170632228257908</v>
      </c>
      <c r="W13" s="586" t="str">
        <f>'[2]2. Khánh Nga'!B34</f>
        <v>% Chai B6.2</v>
      </c>
      <c r="X13" s="653">
        <f>'[2]2. Khánh Nga'!O34</f>
        <v>0.23118716545900386</v>
      </c>
      <c r="Y13" s="586" t="str">
        <f>'[2]3. Đồng Lâm'!B339</f>
        <v>% Chai B6.2</v>
      </c>
      <c r="Z13" s="653">
        <f>'[2]3. Đồng Lâm'!O339</f>
        <v>0.2675725318949379</v>
      </c>
      <c r="AE13" s="654">
        <f t="shared" si="6"/>
        <v>2.2188449390010714E-2</v>
      </c>
      <c r="AG13" s="587">
        <f>'[4]KE30-KhanhNga'!$I$9</f>
        <v>147022</v>
      </c>
      <c r="AH13" s="616">
        <f t="shared" si="7"/>
        <v>2102414600</v>
      </c>
      <c r="AI13" s="616">
        <f t="shared" si="8"/>
        <v>1859077189.9788659</v>
      </c>
      <c r="AJ13" s="587">
        <f t="shared" si="9"/>
        <v>243337410.02113414</v>
      </c>
      <c r="AL13" s="587">
        <f t="shared" si="10"/>
        <v>243337410.02113414</v>
      </c>
    </row>
    <row r="14" spans="2:39" outlineLevel="1" x14ac:dyDescent="0.35">
      <c r="B14" s="609" t="s">
        <v>784</v>
      </c>
      <c r="C14" s="610" t="s">
        <v>80</v>
      </c>
      <c r="D14" s="611">
        <v>10</v>
      </c>
      <c r="E14" s="612">
        <v>0.01</v>
      </c>
      <c r="F14" s="611">
        <f t="shared" si="11"/>
        <v>10</v>
      </c>
      <c r="G14" s="613">
        <v>0.6</v>
      </c>
      <c r="H14" s="613">
        <f t="shared" si="1"/>
        <v>6</v>
      </c>
      <c r="I14" s="611">
        <f t="shared" si="2"/>
        <v>64509.990485252143</v>
      </c>
      <c r="J14" s="612">
        <f t="shared" si="3"/>
        <v>5.708848715509039E-3</v>
      </c>
      <c r="K14" s="614">
        <f t="shared" si="4"/>
        <v>5.708848715509039E-3</v>
      </c>
      <c r="L14" s="1112"/>
      <c r="M14" s="587">
        <f>ROUND($M$6+O14,-2)</f>
        <v>7500</v>
      </c>
      <c r="N14" s="615">
        <f>M14/$M$21</f>
        <v>0.57766367137355579</v>
      </c>
      <c r="O14" s="587">
        <f>'GAP (KN)'!J12</f>
        <v>-3800</v>
      </c>
      <c r="P14" s="652">
        <f t="shared" si="12"/>
        <v>6450.9990485252147</v>
      </c>
      <c r="Q14" s="587">
        <f t="shared" si="13"/>
        <v>16.526456235212471</v>
      </c>
      <c r="R14" s="616">
        <f t="shared" si="14"/>
        <v>6467.5255047604269</v>
      </c>
      <c r="S14" s="616">
        <f t="shared" si="15"/>
        <v>1032.4744952395731</v>
      </c>
      <c r="T14" s="617">
        <f t="shared" si="16"/>
        <v>0.13766326603194309</v>
      </c>
      <c r="U14" s="586" t="str">
        <f>'[2]2. Khánh Nga'!B37</f>
        <v>% Nắp</v>
      </c>
      <c r="V14" s="653">
        <f>'[2]2. Khánh Nga'!O37</f>
        <v>3.1786114872826871E-2</v>
      </c>
      <c r="W14" s="586" t="str">
        <f>'[2]2. Khánh Nga'!B37</f>
        <v>% Nắp</v>
      </c>
      <c r="X14" s="653">
        <f>'[2]2. Khánh Nga'!O37</f>
        <v>3.1786114872826871E-2</v>
      </c>
      <c r="Y14" s="586" t="str">
        <f>'[2]3. Đồng Lâm'!B342</f>
        <v>% Nắp</v>
      </c>
      <c r="Z14" s="653">
        <f>'[2]3. Đồng Lâm'!O342</f>
        <v>2.9470813123704601E-3</v>
      </c>
      <c r="AE14" s="654">
        <f t="shared" si="6"/>
        <v>4.3757803878598685E-3</v>
      </c>
      <c r="AG14" s="587">
        <f>'[4]KE30-KhanhNga'!$I$10</f>
        <v>6406</v>
      </c>
      <c r="AH14" s="616">
        <f t="shared" si="7"/>
        <v>48045000</v>
      </c>
      <c r="AI14" s="616">
        <f t="shared" si="8"/>
        <v>41430968.383495294</v>
      </c>
      <c r="AJ14" s="587">
        <f t="shared" si="9"/>
        <v>6614031.6165047064</v>
      </c>
      <c r="AL14" s="587">
        <f t="shared" si="10"/>
        <v>6614031.6165047064</v>
      </c>
    </row>
    <row r="15" spans="2:39" outlineLevel="1" x14ac:dyDescent="0.35">
      <c r="B15" s="609"/>
      <c r="C15" s="610" t="s">
        <v>35</v>
      </c>
      <c r="D15" s="611"/>
      <c r="E15" s="612">
        <v>0</v>
      </c>
      <c r="F15" s="611"/>
      <c r="G15" s="613"/>
      <c r="H15" s="613"/>
      <c r="I15" s="611"/>
      <c r="J15" s="614"/>
      <c r="K15" s="614"/>
      <c r="L15" s="614"/>
      <c r="N15" s="615">
        <f>M15/$M$21</f>
        <v>0</v>
      </c>
      <c r="P15" s="652"/>
      <c r="Q15" s="587"/>
      <c r="R15" s="616"/>
      <c r="S15" s="616"/>
      <c r="T15" s="617"/>
      <c r="V15" s="653"/>
      <c r="X15" s="653"/>
      <c r="Z15" s="653"/>
      <c r="AE15" s="654">
        <f t="shared" si="6"/>
        <v>0</v>
      </c>
      <c r="AG15" s="587"/>
      <c r="AH15" s="616">
        <f t="shared" si="7"/>
        <v>0</v>
      </c>
      <c r="AI15" s="616">
        <f t="shared" si="8"/>
        <v>0</v>
      </c>
      <c r="AJ15" s="587">
        <f t="shared" si="9"/>
        <v>0</v>
      </c>
      <c r="AL15" s="587">
        <f t="shared" si="10"/>
        <v>0</v>
      </c>
    </row>
    <row r="16" spans="2:39" outlineLevel="1" x14ac:dyDescent="0.35">
      <c r="B16" s="609" t="s">
        <v>785</v>
      </c>
      <c r="C16" s="610" t="s">
        <v>261</v>
      </c>
      <c r="D16" s="611"/>
      <c r="E16" s="612">
        <v>0</v>
      </c>
      <c r="F16" s="611"/>
      <c r="G16" s="613"/>
      <c r="H16" s="613"/>
      <c r="I16" s="611"/>
      <c r="J16" s="614"/>
      <c r="K16" s="614"/>
      <c r="L16" s="614"/>
      <c r="N16" s="615">
        <f>M16/$M$21</f>
        <v>0</v>
      </c>
      <c r="O16" s="587">
        <v>-1000</v>
      </c>
      <c r="P16" s="652" t="e">
        <f t="shared" si="12"/>
        <v>#DIV/0!</v>
      </c>
      <c r="Q16" s="587">
        <f t="shared" si="13"/>
        <v>0</v>
      </c>
      <c r="R16" s="616" t="e">
        <f t="shared" si="14"/>
        <v>#DIV/0!</v>
      </c>
      <c r="S16" s="616" t="e">
        <f t="shared" si="15"/>
        <v>#DIV/0!</v>
      </c>
      <c r="T16" s="617" t="e">
        <f t="shared" si="16"/>
        <v>#DIV/0!</v>
      </c>
      <c r="U16" s="586" t="str">
        <f>'[2]2. Khánh Nga'!B38</f>
        <v>% Chai B7.2</v>
      </c>
      <c r="V16" s="653">
        <f>'[2]2. Khánh Nga'!O38</f>
        <v>1.8427270405582469E-5</v>
      </c>
      <c r="W16" s="586" t="str">
        <f>'[2]2. Khánh Nga'!B38</f>
        <v>% Chai B7.2</v>
      </c>
      <c r="X16" s="653">
        <f>'[2]2. Khánh Nga'!O38</f>
        <v>1.8427270405582469E-5</v>
      </c>
      <c r="Y16" s="586" t="str">
        <f>'[2]3. Đồng Lâm'!B343</f>
        <v>% Phó sản</v>
      </c>
      <c r="Z16" s="653">
        <f>'[2]3. Đồng Lâm'!O343</f>
        <v>8.9157794488867737E-3</v>
      </c>
      <c r="AE16" s="655"/>
      <c r="AG16" s="587"/>
      <c r="AH16" s="616">
        <f t="shared" si="7"/>
        <v>0</v>
      </c>
      <c r="AI16" s="616"/>
      <c r="AJ16" s="587">
        <f t="shared" si="9"/>
        <v>0</v>
      </c>
      <c r="AL16" s="587">
        <f t="shared" si="10"/>
        <v>0</v>
      </c>
    </row>
    <row r="17" spans="2:36" outlineLevel="1" x14ac:dyDescent="0.35">
      <c r="B17" s="609" t="s">
        <v>786</v>
      </c>
      <c r="C17" s="610" t="s">
        <v>787</v>
      </c>
      <c r="D17" s="611"/>
      <c r="E17" s="612">
        <v>0</v>
      </c>
      <c r="F17" s="611"/>
      <c r="G17" s="613"/>
      <c r="H17" s="613"/>
      <c r="I17" s="611"/>
      <c r="J17" s="614"/>
      <c r="K17" s="614"/>
      <c r="L17" s="614"/>
      <c r="N17" s="615">
        <f>M17/$M$21</f>
        <v>0</v>
      </c>
      <c r="O17" s="587">
        <v>2000</v>
      </c>
      <c r="P17" s="652"/>
      <c r="Q17" s="587"/>
      <c r="R17" s="616"/>
      <c r="S17" s="616"/>
      <c r="T17" s="617"/>
      <c r="AH17" s="587">
        <f>'[4]KE30-KhanhNga'!$K$11</f>
        <v>78728160</v>
      </c>
      <c r="AJ17" s="587"/>
    </row>
    <row r="18" spans="2:36" outlineLevel="1" x14ac:dyDescent="0.35">
      <c r="B18" s="609" t="s">
        <v>788</v>
      </c>
      <c r="C18" s="610" t="s">
        <v>789</v>
      </c>
      <c r="D18" s="611">
        <v>10</v>
      </c>
      <c r="E18" s="612">
        <v>0.01</v>
      </c>
      <c r="F18" s="611"/>
      <c r="G18" s="613"/>
      <c r="H18" s="613"/>
      <c r="I18" s="612"/>
      <c r="J18" s="614"/>
      <c r="K18" s="614"/>
      <c r="L18" s="614"/>
      <c r="N18" s="615"/>
      <c r="P18" s="652"/>
      <c r="Q18" s="587"/>
      <c r="R18" s="616"/>
      <c r="S18" s="616"/>
      <c r="T18" s="617"/>
    </row>
    <row r="19" spans="2:36" s="626" customFormat="1" outlineLevel="1" x14ac:dyDescent="0.35">
      <c r="B19" s="618" t="s">
        <v>790</v>
      </c>
      <c r="C19" s="619" t="s">
        <v>791</v>
      </c>
      <c r="D19" s="620">
        <v>60</v>
      </c>
      <c r="E19" s="621">
        <v>0.06</v>
      </c>
      <c r="F19" s="611"/>
      <c r="G19" s="622"/>
      <c r="H19" s="622"/>
      <c r="I19" s="621"/>
      <c r="J19" s="614"/>
      <c r="K19" s="614"/>
      <c r="L19" s="623"/>
      <c r="M19" s="587"/>
      <c r="N19" s="624"/>
      <c r="O19" s="625"/>
      <c r="P19" s="652"/>
      <c r="Q19" s="587"/>
      <c r="R19" s="616"/>
      <c r="S19" s="616"/>
      <c r="T19" s="617"/>
    </row>
    <row r="20" spans="2:36" s="626" customFormat="1" outlineLevel="1" x14ac:dyDescent="0.35">
      <c r="B20" s="618"/>
      <c r="C20" s="619" t="s">
        <v>792</v>
      </c>
      <c r="D20" s="622">
        <f>D6-SUM(D7:D19)</f>
        <v>40</v>
      </c>
      <c r="E20" s="621">
        <v>0.04</v>
      </c>
      <c r="F20" s="611"/>
      <c r="G20" s="622"/>
      <c r="H20" s="622"/>
      <c r="I20" s="621"/>
      <c r="J20" s="623"/>
      <c r="K20" s="623"/>
      <c r="L20" s="623"/>
      <c r="M20" s="625"/>
      <c r="N20" s="624"/>
      <c r="O20" s="625"/>
      <c r="P20" s="652"/>
      <c r="Q20" s="587"/>
      <c r="R20" s="616"/>
      <c r="S20" s="616"/>
      <c r="T20" s="617"/>
    </row>
    <row r="21" spans="2:36" s="636" customFormat="1" ht="13" outlineLevel="1" x14ac:dyDescent="0.35">
      <c r="B21" s="627"/>
      <c r="C21" s="628" t="s">
        <v>793</v>
      </c>
      <c r="D21" s="629">
        <f t="shared" ref="D21:I21" si="18">SUM(D7:D20)</f>
        <v>1000</v>
      </c>
      <c r="E21" s="630">
        <f t="shared" si="18"/>
        <v>1.0000000000000002</v>
      </c>
      <c r="F21" s="629">
        <f>SUM(F7:F20)</f>
        <v>890</v>
      </c>
      <c r="G21" s="629">
        <f t="shared" si="18"/>
        <v>6.0499999999999989</v>
      </c>
      <c r="H21" s="631">
        <f t="shared" si="18"/>
        <v>1051</v>
      </c>
      <c r="I21" s="631">
        <f t="shared" si="18"/>
        <v>11300000</v>
      </c>
      <c r="J21" s="632"/>
      <c r="K21" s="632"/>
      <c r="L21" s="632"/>
      <c r="M21" s="633">
        <f>AVERAGE(M7:M19)</f>
        <v>12983.333333333334</v>
      </c>
      <c r="N21" s="634"/>
      <c r="O21" s="635"/>
      <c r="P21" s="652">
        <f t="shared" si="12"/>
        <v>12696.629213483146</v>
      </c>
      <c r="T21" s="617">
        <f t="shared" si="16"/>
        <v>0</v>
      </c>
    </row>
    <row r="22" spans="2:36" x14ac:dyDescent="0.35">
      <c r="P22" s="652">
        <f>10000/(F21/1000)-P21</f>
        <v>-1460.6741573033705</v>
      </c>
    </row>
    <row r="24" spans="2:36" s="597" customFormat="1" ht="52" x14ac:dyDescent="0.35">
      <c r="B24" s="591" t="s">
        <v>794</v>
      </c>
      <c r="C24" s="591" t="s">
        <v>795</v>
      </c>
      <c r="D24" s="1109" t="s">
        <v>758</v>
      </c>
      <c r="E24" s="1109"/>
      <c r="F24" s="593" t="s">
        <v>759</v>
      </c>
      <c r="G24" s="593" t="s">
        <v>760</v>
      </c>
      <c r="H24" s="593" t="s">
        <v>761</v>
      </c>
      <c r="I24" s="593" t="s">
        <v>762</v>
      </c>
      <c r="J24" s="594" t="s">
        <v>763</v>
      </c>
      <c r="K24" s="594" t="s">
        <v>764</v>
      </c>
      <c r="L24" s="594" t="s">
        <v>16</v>
      </c>
      <c r="M24" s="595" t="s">
        <v>765</v>
      </c>
      <c r="N24" s="637" t="s">
        <v>766</v>
      </c>
      <c r="O24" s="590"/>
      <c r="P24" s="590"/>
    </row>
    <row r="25" spans="2:36" ht="13" x14ac:dyDescent="0.3">
      <c r="B25" s="598"/>
      <c r="C25" s="599"/>
      <c r="D25" s="600" t="s">
        <v>770</v>
      </c>
      <c r="E25" s="600" t="s">
        <v>486</v>
      </c>
      <c r="F25" s="601" t="s">
        <v>771</v>
      </c>
      <c r="G25" s="601" t="s">
        <v>772</v>
      </c>
      <c r="H25" s="601" t="s">
        <v>773</v>
      </c>
      <c r="I25" s="601" t="s">
        <v>774</v>
      </c>
      <c r="J25" s="600" t="s">
        <v>486</v>
      </c>
      <c r="K25" s="600" t="s">
        <v>486</v>
      </c>
      <c r="L25" s="602"/>
      <c r="N25" s="638"/>
    </row>
    <row r="26" spans="2:36" ht="13" x14ac:dyDescent="0.3">
      <c r="B26" s="599" t="s">
        <v>783</v>
      </c>
      <c r="C26" s="599" t="s">
        <v>19</v>
      </c>
      <c r="D26" s="600">
        <v>600</v>
      </c>
      <c r="E26" s="600"/>
      <c r="F26" s="639">
        <f>SUM(F27:F31)</f>
        <v>1080</v>
      </c>
      <c r="G26" s="640">
        <f>SUM(G27:G31)</f>
        <v>4.0999999999999996</v>
      </c>
      <c r="H26" s="601"/>
      <c r="I26" s="641">
        <f>I13/F13*D26</f>
        <v>7096098.9533777349</v>
      </c>
      <c r="J26" s="600"/>
      <c r="K26" s="600"/>
      <c r="L26" s="602"/>
      <c r="N26" s="638"/>
    </row>
    <row r="27" spans="2:36" outlineLevel="1" x14ac:dyDescent="0.35">
      <c r="B27" s="609" t="s">
        <v>796</v>
      </c>
      <c r="C27" s="610" t="s">
        <v>45</v>
      </c>
      <c r="D27" s="611">
        <f>D26*E27</f>
        <v>510</v>
      </c>
      <c r="E27" s="612">
        <v>0.85</v>
      </c>
      <c r="F27" s="611">
        <f>D27</f>
        <v>510</v>
      </c>
      <c r="G27" s="613">
        <v>1.35</v>
      </c>
      <c r="H27" s="613">
        <f>F27*G27</f>
        <v>688.5</v>
      </c>
      <c r="I27" s="611">
        <f>$I$26/$H$31*H27</f>
        <v>6886066.4262164487</v>
      </c>
      <c r="J27" s="614">
        <f>I27/$I$26</f>
        <v>0.97040169133192389</v>
      </c>
      <c r="K27" s="614">
        <f>J27</f>
        <v>0.97040169133192389</v>
      </c>
      <c r="L27" s="1104" t="s">
        <v>778</v>
      </c>
      <c r="M27" s="587">
        <f>ROUND($M$13+O27,-2)</f>
        <v>16300</v>
      </c>
      <c r="N27" s="642">
        <f>M27/$M$31</f>
        <v>1.2635658914728682</v>
      </c>
      <c r="O27" s="587">
        <v>2000</v>
      </c>
      <c r="P27" s="587">
        <v>2500</v>
      </c>
    </row>
    <row r="28" spans="2:36" outlineLevel="1" x14ac:dyDescent="0.35">
      <c r="B28" s="609" t="s">
        <v>797</v>
      </c>
      <c r="C28" s="610" t="s">
        <v>798</v>
      </c>
      <c r="D28" s="611">
        <f>D26*E28</f>
        <v>30</v>
      </c>
      <c r="E28" s="612">
        <v>0.05</v>
      </c>
      <c r="F28" s="611">
        <f>D28</f>
        <v>30</v>
      </c>
      <c r="G28" s="613">
        <v>0.7</v>
      </c>
      <c r="H28" s="613">
        <f>F28*G28</f>
        <v>21</v>
      </c>
      <c r="I28" s="611">
        <f>$I$26/$H$31*H28</f>
        <v>210032.52716128601</v>
      </c>
      <c r="J28" s="614">
        <f>I28/$I$26</f>
        <v>2.9598308668076109E-2</v>
      </c>
      <c r="K28" s="614">
        <f>J28</f>
        <v>2.9598308668076109E-2</v>
      </c>
      <c r="L28" s="1105"/>
      <c r="M28" s="587">
        <f>ROUND($M$14+O28,-2)</f>
        <v>9500</v>
      </c>
      <c r="N28" s="642">
        <f>M28/$M$31</f>
        <v>0.73643410852713176</v>
      </c>
      <c r="O28" s="587">
        <f>O27</f>
        <v>2000</v>
      </c>
      <c r="P28" s="587">
        <v>2500</v>
      </c>
    </row>
    <row r="29" spans="2:36" outlineLevel="1" x14ac:dyDescent="0.35">
      <c r="B29" s="609"/>
      <c r="C29" s="610" t="s">
        <v>799</v>
      </c>
      <c r="D29" s="611">
        <f>D26*5%</f>
        <v>30</v>
      </c>
      <c r="E29" s="612"/>
      <c r="F29" s="611"/>
      <c r="G29" s="613"/>
      <c r="H29" s="613"/>
      <c r="I29" s="611"/>
      <c r="J29" s="614"/>
      <c r="K29" s="614"/>
      <c r="L29" s="614"/>
      <c r="N29" s="643"/>
    </row>
    <row r="30" spans="2:36" outlineLevel="1" x14ac:dyDescent="0.35">
      <c r="B30" s="609"/>
      <c r="C30" s="610" t="s">
        <v>792</v>
      </c>
      <c r="D30" s="611">
        <f>D26*5%</f>
        <v>30</v>
      </c>
      <c r="E30" s="612"/>
      <c r="F30" s="611"/>
      <c r="G30" s="613"/>
      <c r="H30" s="613"/>
      <c r="I30" s="611"/>
      <c r="J30" s="614"/>
      <c r="K30" s="614"/>
      <c r="L30" s="614"/>
      <c r="N30" s="643"/>
    </row>
    <row r="31" spans="2:36" s="636" customFormat="1" ht="13" outlineLevel="1" x14ac:dyDescent="0.35">
      <c r="B31" s="627"/>
      <c r="C31" s="628" t="s">
        <v>793</v>
      </c>
      <c r="D31" s="629">
        <f>SUM(D27:D30)</f>
        <v>600</v>
      </c>
      <c r="E31" s="630"/>
      <c r="F31" s="631">
        <f>SUM(F27:F30)</f>
        <v>540</v>
      </c>
      <c r="G31" s="631">
        <f>SUM(G27:G30)</f>
        <v>2.0499999999999998</v>
      </c>
      <c r="H31" s="631">
        <f>SUM(H27:H30)</f>
        <v>709.5</v>
      </c>
      <c r="I31" s="631"/>
      <c r="J31" s="632"/>
      <c r="K31" s="632"/>
      <c r="L31" s="632"/>
      <c r="M31" s="633">
        <f>AVERAGE(M27:M30)</f>
        <v>12900</v>
      </c>
      <c r="N31" s="644"/>
      <c r="O31" s="635"/>
      <c r="P31" s="635"/>
    </row>
    <row r="33" spans="3:28" x14ac:dyDescent="0.35">
      <c r="C33" s="656" t="s">
        <v>805</v>
      </c>
      <c r="AB33" s="652">
        <v>16300</v>
      </c>
    </row>
  </sheetData>
  <mergeCells count="7">
    <mergeCell ref="L27:L28"/>
    <mergeCell ref="D3:E3"/>
    <mergeCell ref="J3:K3"/>
    <mergeCell ref="M3:N3"/>
    <mergeCell ref="D4:E4"/>
    <mergeCell ref="L7:L14"/>
    <mergeCell ref="D24:E2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4E75-D62A-4C0A-B580-68F341D817B7}">
  <sheetPr>
    <tabColor rgb="FF00B0F0"/>
  </sheetPr>
  <dimension ref="B2:AM33"/>
  <sheetViews>
    <sheetView topLeftCell="U1" zoomScale="70" zoomScaleNormal="70" workbookViewId="0">
      <selection activeCell="AK7" sqref="AK7"/>
    </sheetView>
  </sheetViews>
  <sheetFormatPr defaultColWidth="8.7265625" defaultRowHeight="12.5" outlineLevelRow="1" outlineLevelCol="1" x14ac:dyDescent="0.35"/>
  <cols>
    <col min="1" max="1" width="3.54296875" style="586" customWidth="1"/>
    <col min="2" max="2" width="11" style="586" customWidth="1"/>
    <col min="3" max="3" width="27.453125" style="586" customWidth="1"/>
    <col min="4" max="5" width="10.81640625" style="586" customWidth="1"/>
    <col min="6" max="6" width="12.54296875" style="586" customWidth="1"/>
    <col min="7" max="8" width="13.1796875" style="586" customWidth="1"/>
    <col min="9" max="9" width="15.26953125" style="586" customWidth="1"/>
    <col min="10" max="10" width="14" style="586" customWidth="1"/>
    <col min="11" max="11" width="13.54296875" style="586" customWidth="1"/>
    <col min="12" max="12" width="23" style="586" customWidth="1"/>
    <col min="13" max="13" width="11.453125" style="587" customWidth="1" outlineLevel="1"/>
    <col min="14" max="14" width="8.7265625" style="587" outlineLevel="1"/>
    <col min="15" max="15" width="10.81640625" style="587" customWidth="1"/>
    <col min="16" max="16" width="8.7265625" style="587"/>
    <col min="17" max="17" width="9.1796875" style="586" bestFit="1" customWidth="1"/>
    <col min="18" max="18" width="11" style="586" bestFit="1" customWidth="1"/>
    <col min="19" max="20" width="8.7265625" style="586"/>
    <col min="21" max="21" width="11.36328125" style="586" customWidth="1"/>
    <col min="22" max="22" width="9.1796875" style="586" bestFit="1" customWidth="1"/>
    <col min="23" max="23" width="11.90625" style="586" customWidth="1"/>
    <col min="24" max="24" width="9.1796875" style="586" bestFit="1" customWidth="1"/>
    <col min="25" max="25" width="11.7265625" style="586" customWidth="1"/>
    <col min="26" max="26" width="9.1796875" style="586" bestFit="1" customWidth="1"/>
    <col min="27" max="27" width="4.7265625" style="586" customWidth="1"/>
    <col min="28" max="28" width="12" style="586" bestFit="1" customWidth="1"/>
    <col min="29" max="29" width="10.1796875" style="586" bestFit="1" customWidth="1"/>
    <col min="30" max="30" width="8.7265625" style="586"/>
    <col min="31" max="31" width="20.1796875" style="586" bestFit="1" customWidth="1"/>
    <col min="32" max="32" width="9.1796875" style="586" bestFit="1" customWidth="1"/>
    <col min="33" max="33" width="11.54296875" style="586" bestFit="1" customWidth="1"/>
    <col min="34" max="35" width="17" style="586" bestFit="1" customWidth="1"/>
    <col min="36" max="36" width="15.26953125" style="586" bestFit="1" customWidth="1"/>
    <col min="37" max="37" width="12.7265625" style="586" bestFit="1" customWidth="1"/>
    <col min="38" max="38" width="15.26953125" style="586" bestFit="1" customWidth="1"/>
    <col min="39" max="16384" width="8.7265625" style="586"/>
  </cols>
  <sheetData>
    <row r="2" spans="2:39" ht="20" x14ac:dyDescent="0.35">
      <c r="B2" s="588" t="s">
        <v>754</v>
      </c>
      <c r="C2" s="588"/>
      <c r="D2" s="588"/>
      <c r="E2" s="588"/>
      <c r="F2" s="588"/>
      <c r="G2" s="588"/>
      <c r="H2" s="588"/>
      <c r="I2" s="588"/>
      <c r="J2" s="588"/>
      <c r="K2" s="588"/>
      <c r="L2" s="588"/>
    </row>
    <row r="3" spans="2:39" ht="13" x14ac:dyDescent="0.35">
      <c r="D3" s="1106"/>
      <c r="E3" s="1106"/>
      <c r="F3" s="589"/>
      <c r="G3" s="589"/>
      <c r="H3" s="589"/>
      <c r="I3" s="589"/>
      <c r="J3" s="1107"/>
      <c r="K3" s="1107"/>
      <c r="M3" s="1108" t="s">
        <v>755</v>
      </c>
      <c r="N3" s="1108"/>
      <c r="P3" s="645" t="s">
        <v>800</v>
      </c>
      <c r="AG3" s="586" t="s">
        <v>971</v>
      </c>
      <c r="AH3" s="616">
        <f>AH5-AH6</f>
        <v>75597922</v>
      </c>
      <c r="AI3" s="616">
        <f>AI5-AI6</f>
        <v>-273854089.89125633</v>
      </c>
      <c r="AJ3" s="616">
        <f>AJ5-AJ6</f>
        <v>349452011.89125597</v>
      </c>
    </row>
    <row r="4" spans="2:39" s="597" customFormat="1" ht="52" x14ac:dyDescent="0.35">
      <c r="B4" s="591" t="s">
        <v>756</v>
      </c>
      <c r="C4" s="592" t="s">
        <v>757</v>
      </c>
      <c r="D4" s="1109" t="s">
        <v>758</v>
      </c>
      <c r="E4" s="1109"/>
      <c r="F4" s="593" t="s">
        <v>759</v>
      </c>
      <c r="G4" s="593" t="s">
        <v>760</v>
      </c>
      <c r="H4" s="593" t="s">
        <v>761</v>
      </c>
      <c r="I4" s="593" t="s">
        <v>762</v>
      </c>
      <c r="J4" s="594" t="s">
        <v>763</v>
      </c>
      <c r="K4" s="594" t="s">
        <v>764</v>
      </c>
      <c r="L4" s="594" t="s">
        <v>16</v>
      </c>
      <c r="M4" s="595" t="s">
        <v>765</v>
      </c>
      <c r="N4" s="596" t="s">
        <v>766</v>
      </c>
      <c r="O4" s="595" t="s">
        <v>483</v>
      </c>
      <c r="P4" s="646" t="s">
        <v>767</v>
      </c>
      <c r="Q4" s="597" t="s">
        <v>768</v>
      </c>
      <c r="R4" s="597" t="s">
        <v>769</v>
      </c>
      <c r="S4" s="597" t="s">
        <v>454</v>
      </c>
      <c r="T4" s="597" t="s">
        <v>455</v>
      </c>
      <c r="V4" s="597" t="s">
        <v>801</v>
      </c>
      <c r="X4" s="597" t="s">
        <v>802</v>
      </c>
      <c r="Z4" s="597" t="s">
        <v>803</v>
      </c>
      <c r="AB4" s="597" t="s">
        <v>804</v>
      </c>
      <c r="AG4" s="597" t="s">
        <v>742</v>
      </c>
      <c r="AH4" s="597" t="s">
        <v>972</v>
      </c>
      <c r="AI4" s="597" t="s">
        <v>973</v>
      </c>
      <c r="AJ4" s="597" t="s">
        <v>454</v>
      </c>
      <c r="AK4" s="597" t="s">
        <v>653</v>
      </c>
      <c r="AL4" s="597" t="s">
        <v>974</v>
      </c>
    </row>
    <row r="5" spans="2:39" ht="13" x14ac:dyDescent="0.3">
      <c r="B5" s="598"/>
      <c r="C5" s="599"/>
      <c r="D5" s="600" t="s">
        <v>770</v>
      </c>
      <c r="E5" s="600" t="s">
        <v>486</v>
      </c>
      <c r="F5" s="601" t="s">
        <v>771</v>
      </c>
      <c r="G5" s="601" t="s">
        <v>772</v>
      </c>
      <c r="H5" s="601" t="s">
        <v>773</v>
      </c>
      <c r="I5" s="601" t="s">
        <v>774</v>
      </c>
      <c r="J5" s="600" t="s">
        <v>486</v>
      </c>
      <c r="K5" s="600" t="s">
        <v>486</v>
      </c>
      <c r="L5" s="602"/>
      <c r="M5" s="647">
        <f>MAX(V5,X5,Z5)</f>
        <v>0.10667325484443603</v>
      </c>
      <c r="N5" s="603"/>
      <c r="U5" s="586" t="s">
        <v>482</v>
      </c>
      <c r="V5" s="647">
        <f>'[2]1. Đại Lộc'!$O$334</f>
        <v>0.10096034348805652</v>
      </c>
      <c r="X5" s="647">
        <f>'[2]2. Khánh Nga'!$O$39</f>
        <v>9.7733526674727331E-2</v>
      </c>
      <c r="Z5" s="647">
        <f>'[2]3. Đồng Lâm'!$O$344</f>
        <v>0.10667325484443603</v>
      </c>
      <c r="AH5" s="587">
        <f>'[4]KE30-DongLam'!$K$2</f>
        <v>7009495222</v>
      </c>
      <c r="AI5" s="587">
        <f>'[4]KE30-DongLam'!$AJ$2</f>
        <v>6103584508</v>
      </c>
      <c r="AJ5" s="587">
        <f>'[4]KE30-DongLam'!$AK$2</f>
        <v>905910714</v>
      </c>
    </row>
    <row r="6" spans="2:39" ht="13" outlineLevel="1" x14ac:dyDescent="0.35">
      <c r="B6" s="604" t="s">
        <v>775</v>
      </c>
      <c r="C6" s="605" t="s">
        <v>776</v>
      </c>
      <c r="D6" s="606">
        <v>1000</v>
      </c>
      <c r="E6" s="607">
        <f>SUM(E7:E20)</f>
        <v>1.0000000000000002</v>
      </c>
      <c r="F6" s="607"/>
      <c r="G6" s="608"/>
      <c r="H6" s="608"/>
      <c r="I6" s="606">
        <f>D6*$M$6</f>
        <v>11300000</v>
      </c>
      <c r="J6" s="607">
        <f>SUM(J7:J19)</f>
        <v>0.99999999999999989</v>
      </c>
      <c r="K6" s="607">
        <f>SUM(K7:K19)</f>
        <v>0.99999999999999989</v>
      </c>
      <c r="L6" s="607"/>
      <c r="M6" s="648">
        <v>11300</v>
      </c>
      <c r="N6" s="603"/>
      <c r="Q6" s="649">
        <f>Z6</f>
        <v>2609.6553352190908</v>
      </c>
      <c r="V6" s="650">
        <f>'[3]3.CP_TAN'!$Q$78</f>
        <v>3684.4010838335184</v>
      </c>
      <c r="W6" s="650"/>
      <c r="X6" s="650">
        <f>'[3]3.CP_TAN'!$R$78</f>
        <v>2894.8842505347179</v>
      </c>
      <c r="Y6" s="650"/>
      <c r="Z6" s="650">
        <f>'[3]3.CP_TAN'!$S$78</f>
        <v>2609.6553352190908</v>
      </c>
      <c r="AB6" s="587">
        <v>10000</v>
      </c>
      <c r="AG6" s="1000">
        <f t="shared" ref="AG6:AL6" si="0">SUM(AG7:AG16)</f>
        <v>461494</v>
      </c>
      <c r="AH6" s="1000">
        <f t="shared" si="0"/>
        <v>6933897300</v>
      </c>
      <c r="AI6" s="1000">
        <f t="shared" si="0"/>
        <v>6377438597.8912563</v>
      </c>
      <c r="AJ6" s="1000">
        <f t="shared" si="0"/>
        <v>556458702.10874403</v>
      </c>
      <c r="AK6" s="1000">
        <f t="shared" si="0"/>
        <v>467209211</v>
      </c>
      <c r="AL6" s="1000">
        <f t="shared" si="0"/>
        <v>89249491.108744085</v>
      </c>
      <c r="AM6" s="654">
        <f>AL6/AH6</f>
        <v>1.2871475772902504E-2</v>
      </c>
    </row>
    <row r="7" spans="2:39" outlineLevel="1" x14ac:dyDescent="0.35">
      <c r="B7" s="609" t="s">
        <v>777</v>
      </c>
      <c r="C7" s="610" t="s">
        <v>503</v>
      </c>
      <c r="D7" s="611">
        <v>540</v>
      </c>
      <c r="E7" s="612">
        <v>0.54</v>
      </c>
      <c r="F7" s="611">
        <f>D7</f>
        <v>540</v>
      </c>
      <c r="G7" s="613">
        <v>1.25</v>
      </c>
      <c r="H7" s="613">
        <f t="shared" ref="H7:H14" si="1">F7*G7</f>
        <v>675</v>
      </c>
      <c r="I7" s="611">
        <f t="shared" ref="I7:I14" si="2">$I$6/$H$21*H7</f>
        <v>7257373.929590866</v>
      </c>
      <c r="J7" s="612">
        <f t="shared" ref="J7:J14" si="3">I7/$I$6</f>
        <v>0.64224548049476693</v>
      </c>
      <c r="K7" s="614">
        <f>J7</f>
        <v>0.64224548049476693</v>
      </c>
      <c r="L7" s="1110" t="s">
        <v>778</v>
      </c>
      <c r="M7" s="587">
        <f>ROUND($M$6+O7,-2)</f>
        <v>15800</v>
      </c>
      <c r="N7" s="615">
        <f>M7/$M$21</f>
        <v>1.2169448010269577</v>
      </c>
      <c r="O7" s="651">
        <f>'GAP (KN)'!J9</f>
        <v>4500</v>
      </c>
      <c r="P7" s="652">
        <f>I7/F7</f>
        <v>13439.581351094197</v>
      </c>
      <c r="Q7" s="587">
        <f>$Q$6*K7</f>
        <v>1676.039344693517</v>
      </c>
      <c r="R7" s="616">
        <f>P7+Q7</f>
        <v>15115.620695787715</v>
      </c>
      <c r="S7" s="616">
        <f>M7-R7</f>
        <v>684.37930421228521</v>
      </c>
      <c r="T7" s="617">
        <f>S7/M7</f>
        <v>4.3315145836220585E-2</v>
      </c>
      <c r="U7" s="586" t="str">
        <f>'[2]1. Đại Lộc'!B327</f>
        <v>% Chai B1</v>
      </c>
      <c r="V7" s="653">
        <f>'[2]1. Đại Lộc'!O327</f>
        <v>0.65050165177150054</v>
      </c>
      <c r="W7" s="586" t="str">
        <f>'[2]2. Khánh Nga'!B32</f>
        <v>% Chai B1</v>
      </c>
      <c r="X7" s="653">
        <f>'[2]2. Khánh Nga'!O32</f>
        <v>0.52583539606738805</v>
      </c>
      <c r="Y7" s="586" t="str">
        <f>'[2]3. Đồng Lâm'!B337</f>
        <v>% Chai B1</v>
      </c>
      <c r="Z7" s="653">
        <f>'[2]3. Đồng Lâm'!O337</f>
        <v>0.50053442897045786</v>
      </c>
      <c r="AB7" s="587">
        <v>14500</v>
      </c>
      <c r="AC7" s="587">
        <v>11200</v>
      </c>
      <c r="AE7" s="654">
        <f>T7*V7</f>
        <v>2.8176573913184923E-2</v>
      </c>
      <c r="AF7" s="587">
        <f>ROUND($M$6+$M$6*$M$5,-2)</f>
        <v>12500</v>
      </c>
      <c r="AG7" s="587">
        <f>'[4]KE30-DongLam'!$AL$4+'[4]KE30-DongLam'!$AL$5</f>
        <v>264497</v>
      </c>
      <c r="AH7" s="616">
        <f>AG7*M7</f>
        <v>4179052600</v>
      </c>
      <c r="AI7" s="616">
        <f>AG7*R7</f>
        <v>3998036327.1737633</v>
      </c>
      <c r="AJ7" s="587">
        <f>AH7-AI7</f>
        <v>181016272.82623672</v>
      </c>
      <c r="AK7" s="1001">
        <f>'[4]PL-DongLam'!$BO$14+'[4]PL-DongLam'!$BO$15</f>
        <v>467209211</v>
      </c>
      <c r="AL7" s="587">
        <f>AJ7-AK7</f>
        <v>-286192938.17376328</v>
      </c>
    </row>
    <row r="8" spans="2:39" outlineLevel="1" x14ac:dyDescent="0.35">
      <c r="B8" s="609" t="s">
        <v>779</v>
      </c>
      <c r="C8" s="610" t="s">
        <v>50</v>
      </c>
      <c r="D8" s="611"/>
      <c r="E8" s="612"/>
      <c r="F8" s="611">
        <f>D8</f>
        <v>0</v>
      </c>
      <c r="G8" s="613"/>
      <c r="H8" s="613">
        <f t="shared" si="1"/>
        <v>0</v>
      </c>
      <c r="I8" s="611">
        <f t="shared" si="2"/>
        <v>0</v>
      </c>
      <c r="J8" s="612">
        <f t="shared" si="3"/>
        <v>0</v>
      </c>
      <c r="K8" s="614">
        <f t="shared" ref="K8:K14" si="4">J8</f>
        <v>0</v>
      </c>
      <c r="L8" s="1111"/>
      <c r="N8" s="615">
        <f t="shared" ref="N8:N12" si="5">M8/$M$21</f>
        <v>0</v>
      </c>
      <c r="O8" s="587">
        <f>O7</f>
        <v>4500</v>
      </c>
      <c r="P8" s="652"/>
      <c r="Q8" s="587"/>
      <c r="R8" s="616"/>
      <c r="S8" s="616"/>
      <c r="T8" s="617"/>
      <c r="V8" s="653"/>
      <c r="X8" s="653"/>
      <c r="Z8" s="653"/>
      <c r="AE8" s="654">
        <f t="shared" ref="AE8:AE15" si="6">T8*V8</f>
        <v>0</v>
      </c>
      <c r="AG8" s="587"/>
      <c r="AH8" s="616">
        <f t="shared" ref="AH8:AH16" si="7">AG8*M8</f>
        <v>0</v>
      </c>
      <c r="AI8" s="616">
        <f t="shared" ref="AI8:AI15" si="8">AG8*R8</f>
        <v>0</v>
      </c>
      <c r="AJ8" s="587">
        <f t="shared" ref="AJ8:AJ16" si="9">AH8-AI8</f>
        <v>0</v>
      </c>
      <c r="AL8" s="587">
        <f t="shared" ref="AL8:AL16" si="10">AJ8-AK8</f>
        <v>0</v>
      </c>
    </row>
    <row r="9" spans="2:39" outlineLevel="1" x14ac:dyDescent="0.35">
      <c r="B9" s="609" t="s">
        <v>780</v>
      </c>
      <c r="C9" s="610" t="s">
        <v>22</v>
      </c>
      <c r="D9" s="611">
        <v>30</v>
      </c>
      <c r="E9" s="612">
        <v>0.03</v>
      </c>
      <c r="F9" s="611">
        <f t="shared" ref="F9:F14" si="11">D9</f>
        <v>30</v>
      </c>
      <c r="G9" s="613">
        <v>1.1000000000000001</v>
      </c>
      <c r="H9" s="613">
        <f t="shared" si="1"/>
        <v>33</v>
      </c>
      <c r="I9" s="611">
        <f t="shared" si="2"/>
        <v>354804.94766888674</v>
      </c>
      <c r="J9" s="612">
        <f t="shared" si="3"/>
        <v>3.1398667935299711E-2</v>
      </c>
      <c r="K9" s="614">
        <f t="shared" si="4"/>
        <v>3.1398667935299711E-2</v>
      </c>
      <c r="L9" s="1111"/>
      <c r="M9" s="587">
        <f>ROUND($M$6+O9,-2)</f>
        <v>14300</v>
      </c>
      <c r="N9" s="615">
        <f>M9/$M$21</f>
        <v>1.1014120667522465</v>
      </c>
      <c r="O9" s="587">
        <f>'GAP (KN)'!J11</f>
        <v>3000</v>
      </c>
      <c r="P9" s="652">
        <f t="shared" ref="P9:P21" si="12">I9/F9</f>
        <v>11826.831588962892</v>
      </c>
      <c r="Q9" s="587">
        <f t="shared" ref="Q9:Q16" si="13">$Q$6*K9</f>
        <v>81.939701296127481</v>
      </c>
      <c r="R9" s="616">
        <f t="shared" ref="R9:R16" si="14">P9+Q9</f>
        <v>11908.771290259019</v>
      </c>
      <c r="S9" s="616">
        <f t="shared" ref="S9:S16" si="15">M9-R9</f>
        <v>2391.2287097409808</v>
      </c>
      <c r="T9" s="617">
        <f t="shared" ref="T9:T21" si="16">S9/M9</f>
        <v>0.16721879089097769</v>
      </c>
      <c r="U9" s="586" t="str">
        <f>'[2]1. Đại Lộc'!B328</f>
        <v>% Chai B2.2</v>
      </c>
      <c r="V9" s="653">
        <f>'[2]1. Đại Lộc'!O328</f>
        <v>5.3561787013188056E-3</v>
      </c>
      <c r="W9" s="586" t="str">
        <f>'[2]2. Khánh Nga'!B33</f>
        <v>% Chai B2.2</v>
      </c>
      <c r="X9" s="653">
        <f>'[2]2. Khánh Nga'!O33</f>
        <v>7.8724377212196814E-2</v>
      </c>
      <c r="Y9" s="586" t="str">
        <f>'[2]3. Đồng Lâm'!B338</f>
        <v>% Chai B2.2</v>
      </c>
      <c r="Z9" s="653">
        <f>'[2]3. Đồng Lâm'!O338</f>
        <v>8.3560339784929882E-2</v>
      </c>
      <c r="AE9" s="654">
        <f>T9*V9</f>
        <v>8.9565372623053778E-4</v>
      </c>
      <c r="AG9" s="587">
        <f>'[4]KE30-DongLam'!$I$6</f>
        <v>51840</v>
      </c>
      <c r="AH9" s="616">
        <f t="shared" si="7"/>
        <v>741312000</v>
      </c>
      <c r="AI9" s="616">
        <f t="shared" si="8"/>
        <v>617350703.68702757</v>
      </c>
      <c r="AJ9" s="587">
        <f t="shared" si="9"/>
        <v>123961296.31297243</v>
      </c>
      <c r="AL9" s="587">
        <f t="shared" si="10"/>
        <v>123961296.31297243</v>
      </c>
    </row>
    <row r="10" spans="2:39" outlineLevel="1" x14ac:dyDescent="0.35">
      <c r="B10" s="609" t="s">
        <v>781</v>
      </c>
      <c r="C10" s="610" t="s">
        <v>27</v>
      </c>
      <c r="D10" s="611">
        <v>20</v>
      </c>
      <c r="E10" s="612">
        <v>0.02</v>
      </c>
      <c r="F10" s="611">
        <f>D10</f>
        <v>20</v>
      </c>
      <c r="G10" s="613">
        <v>1</v>
      </c>
      <c r="H10" s="613">
        <f t="shared" si="1"/>
        <v>20</v>
      </c>
      <c r="I10" s="611">
        <f t="shared" si="2"/>
        <v>215033.30161750712</v>
      </c>
      <c r="J10" s="612">
        <f t="shared" si="3"/>
        <v>1.9029495718363463E-2</v>
      </c>
      <c r="K10" s="614">
        <f t="shared" si="4"/>
        <v>1.9029495718363463E-2</v>
      </c>
      <c r="L10" s="1111"/>
      <c r="M10" s="587">
        <f>ROUND($M$6+O10,-2)</f>
        <v>13000</v>
      </c>
      <c r="N10" s="615">
        <f>M10/$M$21</f>
        <v>1.0012836970474968</v>
      </c>
      <c r="O10" s="587">
        <f>'GAP (KN)'!J10</f>
        <v>1700</v>
      </c>
      <c r="P10" s="652">
        <f t="shared" si="12"/>
        <v>10751.665080875357</v>
      </c>
      <c r="Q10" s="587">
        <f t="shared" si="13"/>
        <v>49.660425027956059</v>
      </c>
      <c r="R10" s="616">
        <f t="shared" si="14"/>
        <v>10801.325505903313</v>
      </c>
      <c r="S10" s="616">
        <f t="shared" si="15"/>
        <v>2198.6744940966873</v>
      </c>
      <c r="T10" s="617">
        <f t="shared" si="16"/>
        <v>0.16912880723820672</v>
      </c>
      <c r="U10" s="586" t="str">
        <f>'[2]2. Khánh Nga'!B35</f>
        <v>% Chai B4</v>
      </c>
      <c r="V10" s="653">
        <f>'[2]2. Khánh Nga'!O35</f>
        <v>1.4912633842699981E-2</v>
      </c>
      <c r="W10" s="586" t="str">
        <f>'[2]2. Khánh Nga'!B35</f>
        <v>% Chai B4</v>
      </c>
      <c r="X10" s="653">
        <f>'[2]2. Khánh Nga'!O35</f>
        <v>1.4912633842699981E-2</v>
      </c>
      <c r="Y10" s="586" t="str">
        <f>'[2]3. Đồng Lâm'!B340</f>
        <v>% Chai B4</v>
      </c>
      <c r="Z10" s="653">
        <f>'[2]3. Đồng Lâm'!O340</f>
        <v>1.9139602152341485E-2</v>
      </c>
      <c r="AE10" s="654">
        <f t="shared" si="6"/>
        <v>2.5221559745959633E-3</v>
      </c>
      <c r="AG10" s="587">
        <f>'[4]KE30-DongLam'!$I$7</f>
        <v>6563</v>
      </c>
      <c r="AH10" s="616">
        <f t="shared" si="7"/>
        <v>85319000</v>
      </c>
      <c r="AI10" s="616">
        <f t="shared" si="8"/>
        <v>70889099.295243442</v>
      </c>
      <c r="AJ10" s="587">
        <f t="shared" si="9"/>
        <v>14429900.704756558</v>
      </c>
      <c r="AL10" s="587">
        <f t="shared" si="10"/>
        <v>14429900.704756558</v>
      </c>
    </row>
    <row r="11" spans="2:39" outlineLevel="1" x14ac:dyDescent="0.35">
      <c r="B11" s="609" t="s">
        <v>782</v>
      </c>
      <c r="C11" s="610" t="s">
        <v>29</v>
      </c>
      <c r="D11" s="611">
        <v>20</v>
      </c>
      <c r="E11" s="612">
        <v>0.02</v>
      </c>
      <c r="F11" s="611">
        <f t="shared" si="11"/>
        <v>20</v>
      </c>
      <c r="G11" s="613">
        <v>1</v>
      </c>
      <c r="H11" s="613">
        <f t="shared" si="1"/>
        <v>20</v>
      </c>
      <c r="I11" s="611">
        <f t="shared" si="2"/>
        <v>215033.30161750712</v>
      </c>
      <c r="J11" s="612">
        <f t="shared" si="3"/>
        <v>1.9029495718363463E-2</v>
      </c>
      <c r="K11" s="614">
        <f t="shared" si="4"/>
        <v>1.9029495718363463E-2</v>
      </c>
      <c r="L11" s="1111"/>
      <c r="M11" s="587">
        <f t="shared" ref="M11" si="17">ROUND($M$6+O11,-2)</f>
        <v>13000</v>
      </c>
      <c r="N11" s="615">
        <f>M11/$M$21</f>
        <v>1.0012836970474968</v>
      </c>
      <c r="O11" s="587">
        <f>O10</f>
        <v>1700</v>
      </c>
      <c r="P11" s="652">
        <f t="shared" si="12"/>
        <v>10751.665080875357</v>
      </c>
      <c r="Q11" s="587">
        <f t="shared" si="13"/>
        <v>49.660425027956059</v>
      </c>
      <c r="R11" s="616">
        <f t="shared" si="14"/>
        <v>10801.325505903313</v>
      </c>
      <c r="S11" s="616">
        <f t="shared" si="15"/>
        <v>2198.6744940966873</v>
      </c>
      <c r="T11" s="617">
        <f t="shared" si="16"/>
        <v>0.16912880723820672</v>
      </c>
      <c r="U11" s="586" t="str">
        <f>'[2]2. Khánh Nga'!B36</f>
        <v>% Chai B5</v>
      </c>
      <c r="V11" s="653">
        <f>'[2]2. Khánh Nga'!O36</f>
        <v>1.9802358600751371E-2</v>
      </c>
      <c r="W11" s="586" t="str">
        <f>'[2]2. Khánh Nga'!B36</f>
        <v>% Chai B5</v>
      </c>
      <c r="X11" s="653">
        <f>'[2]2. Khánh Nga'!O36</f>
        <v>1.9802358600751371E-2</v>
      </c>
      <c r="Y11" s="586" t="str">
        <f>'[2]3. Đồng Lâm'!B341</f>
        <v>% Chai B5</v>
      </c>
      <c r="Z11" s="653">
        <f>'[2]3. Đồng Lâm'!O341</f>
        <v>1.0656981591639593E-2</v>
      </c>
      <c r="AE11" s="654">
        <f t="shared" si="6"/>
        <v>3.3491492906483236E-3</v>
      </c>
      <c r="AG11" s="587">
        <f>'[4]KE30-DongLam'!$I$8</f>
        <v>3401</v>
      </c>
      <c r="AH11" s="616">
        <f t="shared" si="7"/>
        <v>44213000</v>
      </c>
      <c r="AI11" s="616">
        <f t="shared" si="8"/>
        <v>36735308.045577168</v>
      </c>
      <c r="AJ11" s="587">
        <f t="shared" si="9"/>
        <v>7477691.9544228315</v>
      </c>
      <c r="AL11" s="587">
        <f t="shared" si="10"/>
        <v>7477691.9544228315</v>
      </c>
    </row>
    <row r="12" spans="2:39" outlineLevel="1" x14ac:dyDescent="0.35">
      <c r="B12" s="609"/>
      <c r="C12" s="610" t="s">
        <v>32</v>
      </c>
      <c r="D12" s="611"/>
      <c r="E12" s="612"/>
      <c r="F12" s="611">
        <f t="shared" si="11"/>
        <v>0</v>
      </c>
      <c r="G12" s="613"/>
      <c r="H12" s="613">
        <f t="shared" si="1"/>
        <v>0</v>
      </c>
      <c r="I12" s="611">
        <f t="shared" si="2"/>
        <v>0</v>
      </c>
      <c r="J12" s="612">
        <f t="shared" si="3"/>
        <v>0</v>
      </c>
      <c r="K12" s="614">
        <f t="shared" si="4"/>
        <v>0</v>
      </c>
      <c r="L12" s="1111"/>
      <c r="N12" s="615">
        <f t="shared" si="5"/>
        <v>0</v>
      </c>
      <c r="O12" s="587">
        <f>O8</f>
        <v>4500</v>
      </c>
      <c r="P12" s="652"/>
      <c r="Q12" s="587"/>
      <c r="R12" s="616"/>
      <c r="S12" s="616"/>
      <c r="T12" s="617"/>
      <c r="V12" s="653"/>
      <c r="X12" s="653"/>
      <c r="Z12" s="653"/>
      <c r="AE12" s="654">
        <f t="shared" si="6"/>
        <v>0</v>
      </c>
      <c r="AG12" s="587"/>
      <c r="AH12" s="616">
        <f t="shared" si="7"/>
        <v>0</v>
      </c>
      <c r="AI12" s="616">
        <f t="shared" si="8"/>
        <v>0</v>
      </c>
      <c r="AJ12" s="587">
        <f t="shared" si="9"/>
        <v>0</v>
      </c>
      <c r="AL12" s="587">
        <f t="shared" si="10"/>
        <v>0</v>
      </c>
    </row>
    <row r="13" spans="2:39" outlineLevel="1" x14ac:dyDescent="0.35">
      <c r="B13" s="609" t="s">
        <v>783</v>
      </c>
      <c r="C13" s="610" t="s">
        <v>19</v>
      </c>
      <c r="D13" s="611">
        <v>270</v>
      </c>
      <c r="E13" s="612">
        <v>0.27</v>
      </c>
      <c r="F13" s="611">
        <f t="shared" si="11"/>
        <v>270</v>
      </c>
      <c r="G13" s="613">
        <v>1.1000000000000001</v>
      </c>
      <c r="H13" s="613">
        <f t="shared" si="1"/>
        <v>297</v>
      </c>
      <c r="I13" s="611">
        <f t="shared" si="2"/>
        <v>3193244.5290199807</v>
      </c>
      <c r="J13" s="612">
        <f t="shared" si="3"/>
        <v>0.2825880114176974</v>
      </c>
      <c r="K13" s="614">
        <f t="shared" si="4"/>
        <v>0.2825880114176974</v>
      </c>
      <c r="L13" s="1111"/>
      <c r="M13" s="587">
        <f>ROUND($M$6+O13,-2)</f>
        <v>14300</v>
      </c>
      <c r="N13" s="615">
        <f>M13/$M$21</f>
        <v>1.1014120667522465</v>
      </c>
      <c r="O13" s="587">
        <f>O9</f>
        <v>3000</v>
      </c>
      <c r="P13" s="652">
        <f t="shared" si="12"/>
        <v>11826.831588962892</v>
      </c>
      <c r="Q13" s="587">
        <f t="shared" si="13"/>
        <v>737.45731166514736</v>
      </c>
      <c r="R13" s="616">
        <f t="shared" si="14"/>
        <v>12564.28890062804</v>
      </c>
      <c r="S13" s="616">
        <f t="shared" si="15"/>
        <v>1735.7110993719598</v>
      </c>
      <c r="T13" s="617">
        <f t="shared" si="16"/>
        <v>0.1213783985574797</v>
      </c>
      <c r="U13" s="586" t="str">
        <f>'[2]1. Đại Lộc'!B329</f>
        <v>% Chai B6.2</v>
      </c>
      <c r="V13" s="653">
        <f>'[2]1. Đại Lộc'!O329</f>
        <v>0.19170632228257908</v>
      </c>
      <c r="W13" s="586" t="str">
        <f>'[2]2. Khánh Nga'!B34</f>
        <v>% Chai B6.2</v>
      </c>
      <c r="X13" s="653">
        <f>'[2]2. Khánh Nga'!O34</f>
        <v>0.23118716545900386</v>
      </c>
      <c r="Y13" s="586" t="str">
        <f>'[2]3. Đồng Lâm'!B339</f>
        <v>% Chai B6.2</v>
      </c>
      <c r="Z13" s="653">
        <f>'[2]3. Đồng Lâm'!O339</f>
        <v>0.2675725318949379</v>
      </c>
      <c r="AE13" s="654">
        <f t="shared" si="6"/>
        <v>2.3269006392003536E-2</v>
      </c>
      <c r="AG13" s="587">
        <f>'[4]KE30-DongLam'!$I$9</f>
        <v>127949</v>
      </c>
      <c r="AH13" s="616">
        <f t="shared" si="7"/>
        <v>1829670700</v>
      </c>
      <c r="AI13" s="616">
        <f t="shared" si="8"/>
        <v>1607588200.5464571</v>
      </c>
      <c r="AJ13" s="587">
        <f t="shared" si="9"/>
        <v>222082499.45354295</v>
      </c>
      <c r="AL13" s="587">
        <f t="shared" si="10"/>
        <v>222082499.45354295</v>
      </c>
    </row>
    <row r="14" spans="2:39" outlineLevel="1" x14ac:dyDescent="0.35">
      <c r="B14" s="609" t="s">
        <v>784</v>
      </c>
      <c r="C14" s="610" t="s">
        <v>80</v>
      </c>
      <c r="D14" s="611">
        <v>10</v>
      </c>
      <c r="E14" s="612">
        <v>0.01</v>
      </c>
      <c r="F14" s="611">
        <f t="shared" si="11"/>
        <v>10</v>
      </c>
      <c r="G14" s="613">
        <v>0.6</v>
      </c>
      <c r="H14" s="613">
        <f t="shared" si="1"/>
        <v>6</v>
      </c>
      <c r="I14" s="611">
        <f t="shared" si="2"/>
        <v>64509.990485252143</v>
      </c>
      <c r="J14" s="612">
        <f t="shared" si="3"/>
        <v>5.708848715509039E-3</v>
      </c>
      <c r="K14" s="614">
        <f t="shared" si="4"/>
        <v>5.708848715509039E-3</v>
      </c>
      <c r="L14" s="1112"/>
      <c r="M14" s="587">
        <f>ROUND($M$6+O14,-2)</f>
        <v>7500</v>
      </c>
      <c r="N14" s="615">
        <f>M14/$M$21</f>
        <v>0.57766367137355579</v>
      </c>
      <c r="O14" s="587">
        <f>'GAP (KN)'!J12</f>
        <v>-3800</v>
      </c>
      <c r="P14" s="652">
        <f t="shared" si="12"/>
        <v>6450.9990485252147</v>
      </c>
      <c r="Q14" s="587">
        <f t="shared" si="13"/>
        <v>14.898127508386818</v>
      </c>
      <c r="R14" s="616">
        <f t="shared" si="14"/>
        <v>6465.8971760336017</v>
      </c>
      <c r="S14" s="616">
        <f t="shared" si="15"/>
        <v>1034.1028239663983</v>
      </c>
      <c r="T14" s="617">
        <f t="shared" si="16"/>
        <v>0.1378803765288531</v>
      </c>
      <c r="U14" s="586" t="str">
        <f>'[2]2. Khánh Nga'!B37</f>
        <v>% Nắp</v>
      </c>
      <c r="V14" s="653">
        <f>'[2]2. Khánh Nga'!O37</f>
        <v>3.1786114872826871E-2</v>
      </c>
      <c r="W14" s="586" t="str">
        <f>'[2]2. Khánh Nga'!B37</f>
        <v>% Nắp</v>
      </c>
      <c r="X14" s="653">
        <f>'[2]2. Khánh Nga'!O37</f>
        <v>3.1786114872826871E-2</v>
      </c>
      <c r="Y14" s="586" t="str">
        <f>'[2]3. Đồng Lâm'!B342</f>
        <v>% Nắp</v>
      </c>
      <c r="Z14" s="653">
        <f>'[2]3. Đồng Lâm'!O342</f>
        <v>2.9470813123704601E-3</v>
      </c>
      <c r="AE14" s="654">
        <f t="shared" si="6"/>
        <v>4.3826814870547466E-3</v>
      </c>
      <c r="AG14" s="587">
        <f>'[4]KE30-DongLam'!$I$10</f>
        <v>7244</v>
      </c>
      <c r="AH14" s="616">
        <f t="shared" si="7"/>
        <v>54330000</v>
      </c>
      <c r="AI14" s="616">
        <f t="shared" si="8"/>
        <v>46838959.143187411</v>
      </c>
      <c r="AJ14" s="587">
        <f t="shared" si="9"/>
        <v>7491040.8568125889</v>
      </c>
      <c r="AL14" s="587">
        <f t="shared" si="10"/>
        <v>7491040.8568125889</v>
      </c>
    </row>
    <row r="15" spans="2:39" outlineLevel="1" x14ac:dyDescent="0.35">
      <c r="B15" s="609"/>
      <c r="C15" s="610" t="s">
        <v>35</v>
      </c>
      <c r="D15" s="611"/>
      <c r="E15" s="612">
        <v>0</v>
      </c>
      <c r="F15" s="611"/>
      <c r="G15" s="613"/>
      <c r="H15" s="613"/>
      <c r="I15" s="611"/>
      <c r="J15" s="614"/>
      <c r="K15" s="614"/>
      <c r="L15" s="614"/>
      <c r="N15" s="615">
        <f>M15/$M$21</f>
        <v>0</v>
      </c>
      <c r="P15" s="652"/>
      <c r="Q15" s="587"/>
      <c r="R15" s="616"/>
      <c r="S15" s="616"/>
      <c r="T15" s="617"/>
      <c r="V15" s="653"/>
      <c r="X15" s="653"/>
      <c r="Z15" s="653"/>
      <c r="AE15" s="654">
        <f t="shared" si="6"/>
        <v>0</v>
      </c>
      <c r="AG15" s="587"/>
      <c r="AH15" s="616">
        <f t="shared" si="7"/>
        <v>0</v>
      </c>
      <c r="AI15" s="616">
        <f t="shared" si="8"/>
        <v>0</v>
      </c>
      <c r="AJ15" s="587">
        <f t="shared" si="9"/>
        <v>0</v>
      </c>
      <c r="AL15" s="587">
        <f t="shared" si="10"/>
        <v>0</v>
      </c>
    </row>
    <row r="16" spans="2:39" outlineLevel="1" x14ac:dyDescent="0.35">
      <c r="B16" s="609" t="s">
        <v>785</v>
      </c>
      <c r="C16" s="610" t="s">
        <v>261</v>
      </c>
      <c r="D16" s="611"/>
      <c r="E16" s="612">
        <v>0</v>
      </c>
      <c r="F16" s="611"/>
      <c r="G16" s="613"/>
      <c r="H16" s="613"/>
      <c r="I16" s="611"/>
      <c r="J16" s="614"/>
      <c r="K16" s="614"/>
      <c r="L16" s="614"/>
      <c r="N16" s="615">
        <f>M16/$M$21</f>
        <v>0</v>
      </c>
      <c r="O16" s="587">
        <v>-1000</v>
      </c>
      <c r="P16" s="652" t="e">
        <f t="shared" si="12"/>
        <v>#DIV/0!</v>
      </c>
      <c r="Q16" s="587">
        <f t="shared" si="13"/>
        <v>0</v>
      </c>
      <c r="R16" s="616" t="e">
        <f t="shared" si="14"/>
        <v>#DIV/0!</v>
      </c>
      <c r="S16" s="616" t="e">
        <f t="shared" si="15"/>
        <v>#DIV/0!</v>
      </c>
      <c r="T16" s="617" t="e">
        <f t="shared" si="16"/>
        <v>#DIV/0!</v>
      </c>
      <c r="U16" s="586" t="str">
        <f>'[2]2. Khánh Nga'!B38</f>
        <v>% Chai B7.2</v>
      </c>
      <c r="V16" s="653">
        <f>'[2]2. Khánh Nga'!O38</f>
        <v>1.8427270405582469E-5</v>
      </c>
      <c r="W16" s="586" t="str">
        <f>'[2]2. Khánh Nga'!B38</f>
        <v>% Chai B7.2</v>
      </c>
      <c r="X16" s="653">
        <f>'[2]2. Khánh Nga'!O38</f>
        <v>1.8427270405582469E-5</v>
      </c>
      <c r="Y16" s="586" t="str">
        <f>'[2]3. Đồng Lâm'!B343</f>
        <v>% Phó sản</v>
      </c>
      <c r="Z16" s="653">
        <f>'[2]3. Đồng Lâm'!O343</f>
        <v>8.9157794488867737E-3</v>
      </c>
      <c r="AE16" s="655"/>
      <c r="AG16" s="587"/>
      <c r="AH16" s="616">
        <f t="shared" si="7"/>
        <v>0</v>
      </c>
      <c r="AI16" s="616"/>
      <c r="AJ16" s="587">
        <f t="shared" si="9"/>
        <v>0</v>
      </c>
      <c r="AL16" s="587">
        <f t="shared" si="10"/>
        <v>0</v>
      </c>
    </row>
    <row r="17" spans="2:34" outlineLevel="1" x14ac:dyDescent="0.35">
      <c r="B17" s="609" t="s">
        <v>786</v>
      </c>
      <c r="C17" s="610" t="s">
        <v>787</v>
      </c>
      <c r="D17" s="611"/>
      <c r="E17" s="612">
        <v>0</v>
      </c>
      <c r="F17" s="611"/>
      <c r="G17" s="613"/>
      <c r="H17" s="613"/>
      <c r="I17" s="611"/>
      <c r="J17" s="614"/>
      <c r="K17" s="614"/>
      <c r="L17" s="614"/>
      <c r="N17" s="615">
        <f>M17/$M$21</f>
        <v>0</v>
      </c>
      <c r="O17" s="587">
        <v>2000</v>
      </c>
      <c r="P17" s="652"/>
      <c r="Q17" s="587"/>
      <c r="R17" s="616"/>
      <c r="S17" s="616"/>
      <c r="T17" s="617"/>
      <c r="AH17" s="587" t="s">
        <v>333</v>
      </c>
    </row>
    <row r="18" spans="2:34" outlineLevel="1" x14ac:dyDescent="0.35">
      <c r="B18" s="609" t="s">
        <v>788</v>
      </c>
      <c r="C18" s="610" t="s">
        <v>789</v>
      </c>
      <c r="D18" s="611">
        <v>10</v>
      </c>
      <c r="E18" s="612">
        <v>0.01</v>
      </c>
      <c r="F18" s="611"/>
      <c r="G18" s="613"/>
      <c r="H18" s="613"/>
      <c r="I18" s="612"/>
      <c r="J18" s="614"/>
      <c r="K18" s="614"/>
      <c r="L18" s="614"/>
      <c r="N18" s="615"/>
      <c r="P18" s="652"/>
      <c r="Q18" s="587"/>
      <c r="R18" s="616"/>
      <c r="S18" s="616"/>
      <c r="T18" s="617"/>
    </row>
    <row r="19" spans="2:34" s="626" customFormat="1" outlineLevel="1" x14ac:dyDescent="0.35">
      <c r="B19" s="618" t="s">
        <v>790</v>
      </c>
      <c r="C19" s="619" t="s">
        <v>791</v>
      </c>
      <c r="D19" s="620">
        <v>60</v>
      </c>
      <c r="E19" s="621">
        <v>0.06</v>
      </c>
      <c r="F19" s="611"/>
      <c r="G19" s="622"/>
      <c r="H19" s="622"/>
      <c r="I19" s="621"/>
      <c r="J19" s="614"/>
      <c r="K19" s="614"/>
      <c r="L19" s="623"/>
      <c r="M19" s="587"/>
      <c r="N19" s="624"/>
      <c r="O19" s="625"/>
      <c r="P19" s="652"/>
      <c r="Q19" s="587"/>
      <c r="R19" s="616"/>
      <c r="S19" s="616"/>
      <c r="T19" s="617"/>
    </row>
    <row r="20" spans="2:34" s="626" customFormat="1" outlineLevel="1" x14ac:dyDescent="0.35">
      <c r="B20" s="618"/>
      <c r="C20" s="619" t="s">
        <v>792</v>
      </c>
      <c r="D20" s="622">
        <f>D6-SUM(D7:D19)</f>
        <v>40</v>
      </c>
      <c r="E20" s="621">
        <v>0.04</v>
      </c>
      <c r="F20" s="611"/>
      <c r="G20" s="622"/>
      <c r="H20" s="622"/>
      <c r="I20" s="621"/>
      <c r="J20" s="623"/>
      <c r="K20" s="623"/>
      <c r="L20" s="623"/>
      <c r="M20" s="625"/>
      <c r="N20" s="624"/>
      <c r="O20" s="625"/>
      <c r="P20" s="652"/>
      <c r="Q20" s="587"/>
      <c r="R20" s="616"/>
      <c r="S20" s="616"/>
      <c r="T20" s="617"/>
    </row>
    <row r="21" spans="2:34" s="636" customFormat="1" ht="13" outlineLevel="1" x14ac:dyDescent="0.35">
      <c r="B21" s="627"/>
      <c r="C21" s="628" t="s">
        <v>793</v>
      </c>
      <c r="D21" s="629">
        <f t="shared" ref="D21:I21" si="18">SUM(D7:D20)</f>
        <v>1000</v>
      </c>
      <c r="E21" s="630">
        <f t="shared" si="18"/>
        <v>1.0000000000000002</v>
      </c>
      <c r="F21" s="629">
        <f>SUM(F7:F20)</f>
        <v>890</v>
      </c>
      <c r="G21" s="629">
        <f t="shared" si="18"/>
        <v>6.0499999999999989</v>
      </c>
      <c r="H21" s="631">
        <f t="shared" si="18"/>
        <v>1051</v>
      </c>
      <c r="I21" s="631">
        <f t="shared" si="18"/>
        <v>11300000</v>
      </c>
      <c r="J21" s="632"/>
      <c r="K21" s="632"/>
      <c r="L21" s="632"/>
      <c r="M21" s="633">
        <f>AVERAGE(M7:M19)</f>
        <v>12983.333333333334</v>
      </c>
      <c r="N21" s="634"/>
      <c r="O21" s="635"/>
      <c r="P21" s="652">
        <f t="shared" si="12"/>
        <v>12696.629213483146</v>
      </c>
      <c r="T21" s="617">
        <f t="shared" si="16"/>
        <v>0</v>
      </c>
    </row>
    <row r="22" spans="2:34" x14ac:dyDescent="0.35">
      <c r="P22" s="652">
        <f>10000/(F21/1000)-P21</f>
        <v>-1460.6741573033705</v>
      </c>
    </row>
    <row r="24" spans="2:34" s="597" customFormat="1" ht="52" x14ac:dyDescent="0.35">
      <c r="B24" s="591" t="s">
        <v>794</v>
      </c>
      <c r="C24" s="591" t="s">
        <v>795</v>
      </c>
      <c r="D24" s="1109" t="s">
        <v>758</v>
      </c>
      <c r="E24" s="1109"/>
      <c r="F24" s="593" t="s">
        <v>759</v>
      </c>
      <c r="G24" s="593" t="s">
        <v>760</v>
      </c>
      <c r="H24" s="593" t="s">
        <v>761</v>
      </c>
      <c r="I24" s="593" t="s">
        <v>762</v>
      </c>
      <c r="J24" s="594" t="s">
        <v>763</v>
      </c>
      <c r="K24" s="594" t="s">
        <v>764</v>
      </c>
      <c r="L24" s="594" t="s">
        <v>16</v>
      </c>
      <c r="M24" s="595" t="s">
        <v>765</v>
      </c>
      <c r="N24" s="637" t="s">
        <v>766</v>
      </c>
      <c r="O24" s="590"/>
      <c r="P24" s="590"/>
    </row>
    <row r="25" spans="2:34" ht="13" x14ac:dyDescent="0.3">
      <c r="B25" s="598"/>
      <c r="C25" s="599"/>
      <c r="D25" s="600" t="s">
        <v>770</v>
      </c>
      <c r="E25" s="600" t="s">
        <v>486</v>
      </c>
      <c r="F25" s="601" t="s">
        <v>771</v>
      </c>
      <c r="G25" s="601" t="s">
        <v>772</v>
      </c>
      <c r="H25" s="601" t="s">
        <v>773</v>
      </c>
      <c r="I25" s="601" t="s">
        <v>774</v>
      </c>
      <c r="J25" s="600" t="s">
        <v>486</v>
      </c>
      <c r="K25" s="600" t="s">
        <v>486</v>
      </c>
      <c r="L25" s="602"/>
      <c r="N25" s="638"/>
    </row>
    <row r="26" spans="2:34" ht="13" x14ac:dyDescent="0.3">
      <c r="B26" s="599" t="s">
        <v>783</v>
      </c>
      <c r="C26" s="599" t="s">
        <v>19</v>
      </c>
      <c r="D26" s="600">
        <v>600</v>
      </c>
      <c r="E26" s="600"/>
      <c r="F26" s="639">
        <f>SUM(F27:F31)</f>
        <v>1080</v>
      </c>
      <c r="G26" s="640">
        <f>SUM(G27:G31)</f>
        <v>4.0999999999999996</v>
      </c>
      <c r="H26" s="601"/>
      <c r="I26" s="641">
        <f>I13/F13*D26</f>
        <v>7096098.9533777349</v>
      </c>
      <c r="J26" s="600"/>
      <c r="K26" s="600"/>
      <c r="L26" s="602"/>
      <c r="N26" s="638"/>
    </row>
    <row r="27" spans="2:34" outlineLevel="1" x14ac:dyDescent="0.35">
      <c r="B27" s="609" t="s">
        <v>796</v>
      </c>
      <c r="C27" s="610" t="s">
        <v>45</v>
      </c>
      <c r="D27" s="611">
        <f>D26*E27</f>
        <v>510</v>
      </c>
      <c r="E27" s="612">
        <v>0.85</v>
      </c>
      <c r="F27" s="611">
        <f>D27</f>
        <v>510</v>
      </c>
      <c r="G27" s="613">
        <v>1.35</v>
      </c>
      <c r="H27" s="613">
        <f>F27*G27</f>
        <v>688.5</v>
      </c>
      <c r="I27" s="611">
        <f>$I$26/$H$31*H27</f>
        <v>6886066.4262164487</v>
      </c>
      <c r="J27" s="614">
        <f>I27/$I$26</f>
        <v>0.97040169133192389</v>
      </c>
      <c r="K27" s="614">
        <f>J27</f>
        <v>0.97040169133192389</v>
      </c>
      <c r="L27" s="1104" t="s">
        <v>778</v>
      </c>
      <c r="M27" s="587">
        <f>ROUND($M$13+O27,-2)</f>
        <v>16300</v>
      </c>
      <c r="N27" s="642">
        <f>M27/$M$31</f>
        <v>1.2635658914728682</v>
      </c>
      <c r="O27" s="587">
        <v>2000</v>
      </c>
      <c r="P27" s="587">
        <v>2500</v>
      </c>
    </row>
    <row r="28" spans="2:34" outlineLevel="1" x14ac:dyDescent="0.35">
      <c r="B28" s="609" t="s">
        <v>797</v>
      </c>
      <c r="C28" s="610" t="s">
        <v>798</v>
      </c>
      <c r="D28" s="611">
        <f>D26*E28</f>
        <v>30</v>
      </c>
      <c r="E28" s="612">
        <v>0.05</v>
      </c>
      <c r="F28" s="611">
        <f>D28</f>
        <v>30</v>
      </c>
      <c r="G28" s="613">
        <v>0.7</v>
      </c>
      <c r="H28" s="613">
        <f>F28*G28</f>
        <v>21</v>
      </c>
      <c r="I28" s="611">
        <f>$I$26/$H$31*H28</f>
        <v>210032.52716128601</v>
      </c>
      <c r="J28" s="614">
        <f>I28/$I$26</f>
        <v>2.9598308668076109E-2</v>
      </c>
      <c r="K28" s="614">
        <f>J28</f>
        <v>2.9598308668076109E-2</v>
      </c>
      <c r="L28" s="1105"/>
      <c r="M28" s="587">
        <f>ROUND($M$14+O28,-2)</f>
        <v>9500</v>
      </c>
      <c r="N28" s="642">
        <f>M28/$M$31</f>
        <v>0.73643410852713176</v>
      </c>
      <c r="O28" s="587">
        <f>O27</f>
        <v>2000</v>
      </c>
      <c r="P28" s="587">
        <v>2500</v>
      </c>
    </row>
    <row r="29" spans="2:34" outlineLevel="1" x14ac:dyDescent="0.35">
      <c r="B29" s="609"/>
      <c r="C29" s="610" t="s">
        <v>799</v>
      </c>
      <c r="D29" s="611">
        <f>D26*5%</f>
        <v>30</v>
      </c>
      <c r="E29" s="612"/>
      <c r="F29" s="611"/>
      <c r="G29" s="613"/>
      <c r="H29" s="613"/>
      <c r="I29" s="611"/>
      <c r="J29" s="614"/>
      <c r="K29" s="614"/>
      <c r="L29" s="614"/>
      <c r="N29" s="643"/>
    </row>
    <row r="30" spans="2:34" outlineLevel="1" x14ac:dyDescent="0.35">
      <c r="B30" s="609"/>
      <c r="C30" s="610" t="s">
        <v>792</v>
      </c>
      <c r="D30" s="611">
        <f>D26*5%</f>
        <v>30</v>
      </c>
      <c r="E30" s="612"/>
      <c r="F30" s="611"/>
      <c r="G30" s="613"/>
      <c r="H30" s="613"/>
      <c r="I30" s="611"/>
      <c r="J30" s="614"/>
      <c r="K30" s="614"/>
      <c r="L30" s="614"/>
      <c r="N30" s="643"/>
    </row>
    <row r="31" spans="2:34" s="636" customFormat="1" ht="13" outlineLevel="1" x14ac:dyDescent="0.35">
      <c r="B31" s="627"/>
      <c r="C31" s="628" t="s">
        <v>793</v>
      </c>
      <c r="D31" s="629">
        <f>SUM(D27:D30)</f>
        <v>600</v>
      </c>
      <c r="E31" s="630"/>
      <c r="F31" s="631">
        <f>SUM(F27:F30)</f>
        <v>540</v>
      </c>
      <c r="G31" s="631">
        <f>SUM(G27:G30)</f>
        <v>2.0499999999999998</v>
      </c>
      <c r="H31" s="631">
        <f>SUM(H27:H30)</f>
        <v>709.5</v>
      </c>
      <c r="I31" s="631"/>
      <c r="J31" s="632"/>
      <c r="K31" s="632"/>
      <c r="L31" s="632"/>
      <c r="M31" s="633">
        <f>AVERAGE(M27:M30)</f>
        <v>12900</v>
      </c>
      <c r="N31" s="644"/>
      <c r="O31" s="635"/>
      <c r="P31" s="635"/>
    </row>
    <row r="33" spans="3:28" x14ac:dyDescent="0.35">
      <c r="C33" s="656" t="s">
        <v>805</v>
      </c>
      <c r="AB33" s="652">
        <v>16300</v>
      </c>
    </row>
  </sheetData>
  <mergeCells count="7">
    <mergeCell ref="L27:L28"/>
    <mergeCell ref="D3:E3"/>
    <mergeCell ref="J3:K3"/>
    <mergeCell ref="M3:N3"/>
    <mergeCell ref="D4:E4"/>
    <mergeCell ref="L7:L14"/>
    <mergeCell ref="D24:E24"/>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58B9-999B-4D16-897F-1B55753367AE}">
  <sheetPr>
    <tabColor rgb="FF0000FF"/>
  </sheetPr>
  <dimension ref="B2:T31"/>
  <sheetViews>
    <sheetView topLeftCell="G1" zoomScale="85" zoomScaleNormal="85" workbookViewId="0">
      <selection activeCell="T7" sqref="T7"/>
    </sheetView>
  </sheetViews>
  <sheetFormatPr defaultColWidth="8.7265625" defaultRowHeight="12.5" outlineLevelRow="1" outlineLevelCol="1" x14ac:dyDescent="0.35"/>
  <cols>
    <col min="1" max="1" width="3.54296875" style="586" customWidth="1"/>
    <col min="2" max="2" width="11" style="586" customWidth="1"/>
    <col min="3" max="3" width="27.453125" style="586" customWidth="1"/>
    <col min="4" max="5" width="10.81640625" style="586" customWidth="1"/>
    <col min="6" max="6" width="12.54296875" style="586" customWidth="1"/>
    <col min="7" max="8" width="13.1796875" style="586" customWidth="1"/>
    <col min="9" max="9" width="15.26953125" style="586" customWidth="1"/>
    <col min="10" max="10" width="14" style="586" customWidth="1"/>
    <col min="11" max="11" width="13.54296875" style="586" customWidth="1"/>
    <col min="12" max="12" width="23" style="586" customWidth="1"/>
    <col min="13" max="13" width="11.453125" style="587" customWidth="1" outlineLevel="1"/>
    <col min="14" max="14" width="8.7265625" style="587" outlineLevel="1"/>
    <col min="15" max="16" width="8.7265625" style="587"/>
    <col min="17" max="17" width="9.1796875" style="586" bestFit="1" customWidth="1"/>
    <col min="18" max="18" width="11" style="586" bestFit="1" customWidth="1"/>
    <col min="19" max="16384" width="8.7265625" style="586"/>
  </cols>
  <sheetData>
    <row r="2" spans="2:20" ht="20" x14ac:dyDescent="0.35">
      <c r="B2" s="588" t="s">
        <v>754</v>
      </c>
      <c r="C2" s="588"/>
      <c r="D2" s="588"/>
      <c r="E2" s="588"/>
      <c r="F2" s="588"/>
      <c r="G2" s="588"/>
      <c r="H2" s="588"/>
      <c r="I2" s="588"/>
      <c r="J2" s="588"/>
      <c r="K2" s="588"/>
      <c r="L2" s="588"/>
    </row>
    <row r="3" spans="2:20" ht="13" x14ac:dyDescent="0.35">
      <c r="D3" s="1106"/>
      <c r="E3" s="1106"/>
      <c r="F3" s="589"/>
      <c r="G3" s="589"/>
      <c r="H3" s="589"/>
      <c r="I3" s="589"/>
      <c r="J3" s="1107"/>
      <c r="K3" s="1107"/>
      <c r="M3" s="1108" t="s">
        <v>755</v>
      </c>
      <c r="N3" s="1108"/>
    </row>
    <row r="4" spans="2:20" s="597" customFormat="1" ht="52" x14ac:dyDescent="0.35">
      <c r="B4" s="591" t="s">
        <v>756</v>
      </c>
      <c r="C4" s="592" t="s">
        <v>757</v>
      </c>
      <c r="D4" s="1109" t="s">
        <v>758</v>
      </c>
      <c r="E4" s="1109"/>
      <c r="F4" s="593" t="s">
        <v>759</v>
      </c>
      <c r="G4" s="657" t="s">
        <v>760</v>
      </c>
      <c r="H4" s="593" t="s">
        <v>761</v>
      </c>
      <c r="I4" s="593" t="s">
        <v>762</v>
      </c>
      <c r="J4" s="594" t="s">
        <v>763</v>
      </c>
      <c r="K4" s="594" t="s">
        <v>764</v>
      </c>
      <c r="L4" s="594" t="s">
        <v>16</v>
      </c>
      <c r="M4" s="595" t="s">
        <v>765</v>
      </c>
      <c r="N4" s="596" t="s">
        <v>766</v>
      </c>
      <c r="O4" s="590"/>
      <c r="P4" s="590" t="s">
        <v>767</v>
      </c>
      <c r="Q4" s="597" t="s">
        <v>768</v>
      </c>
      <c r="R4" s="597" t="s">
        <v>769</v>
      </c>
      <c r="S4" s="597" t="s">
        <v>454</v>
      </c>
      <c r="T4" s="597" t="s">
        <v>455</v>
      </c>
    </row>
    <row r="5" spans="2:20" ht="13" x14ac:dyDescent="0.3">
      <c r="B5" s="598"/>
      <c r="C5" s="599"/>
      <c r="D5" s="600" t="s">
        <v>770</v>
      </c>
      <c r="E5" s="600" t="s">
        <v>486</v>
      </c>
      <c r="F5" s="601" t="s">
        <v>771</v>
      </c>
      <c r="G5" s="661" t="s">
        <v>772</v>
      </c>
      <c r="H5" s="601" t="s">
        <v>773</v>
      </c>
      <c r="I5" s="601" t="s">
        <v>774</v>
      </c>
      <c r="J5" s="600" t="s">
        <v>486</v>
      </c>
      <c r="K5" s="600" t="s">
        <v>486</v>
      </c>
      <c r="L5" s="602"/>
      <c r="N5" s="603"/>
    </row>
    <row r="6" spans="2:20" ht="13" outlineLevel="1" x14ac:dyDescent="0.35">
      <c r="B6" s="604" t="s">
        <v>775</v>
      </c>
      <c r="C6" s="605" t="s">
        <v>776</v>
      </c>
      <c r="D6" s="606">
        <v>1000</v>
      </c>
      <c r="E6" s="607">
        <f>SUM(E7:E20)</f>
        <v>1.0000000000000002</v>
      </c>
      <c r="F6" s="607"/>
      <c r="G6" s="662"/>
      <c r="H6" s="608"/>
      <c r="I6" s="606">
        <f>D6*10000</f>
        <v>10000000</v>
      </c>
      <c r="J6" s="607">
        <f>SUM(J7:J19)</f>
        <v>1</v>
      </c>
      <c r="K6" s="607">
        <f>SUM(K7:K19)</f>
        <v>1</v>
      </c>
      <c r="L6" s="607"/>
      <c r="N6" s="603"/>
      <c r="Q6" s="587">
        <v>3000</v>
      </c>
    </row>
    <row r="7" spans="2:20" outlineLevel="1" x14ac:dyDescent="0.35">
      <c r="B7" s="609" t="s">
        <v>777</v>
      </c>
      <c r="C7" s="610" t="s">
        <v>503</v>
      </c>
      <c r="D7" s="611">
        <v>540</v>
      </c>
      <c r="E7" s="612">
        <v>0.54</v>
      </c>
      <c r="F7" s="611">
        <f>D7</f>
        <v>540</v>
      </c>
      <c r="G7" s="658">
        <v>1.25</v>
      </c>
      <c r="H7" s="613">
        <f t="shared" ref="H7:H14" si="0">F7*G7</f>
        <v>675</v>
      </c>
      <c r="I7" s="611">
        <f t="shared" ref="I7:I14" si="1">$I$6/$H$21*H7</f>
        <v>6422454.8049476696</v>
      </c>
      <c r="J7" s="614">
        <f t="shared" ref="J7:J14" si="2">I7/$I$6</f>
        <v>0.64224548049476693</v>
      </c>
      <c r="K7" s="614">
        <f>J7</f>
        <v>0.64224548049476693</v>
      </c>
      <c r="L7" s="1110" t="s">
        <v>778</v>
      </c>
      <c r="M7" s="587">
        <f>ROUND(11000+11000*14%+4000,-2)</f>
        <v>16500</v>
      </c>
      <c r="N7" s="615">
        <f>M7/$M$21</f>
        <v>1.2222222222222223</v>
      </c>
      <c r="P7" s="587">
        <f>I7/F7</f>
        <v>11893.434823977166</v>
      </c>
      <c r="Q7" s="587">
        <f>$Q$6*K7</f>
        <v>1926.7364414843007</v>
      </c>
      <c r="R7" s="616">
        <f>P7+Q7</f>
        <v>13820.171265461468</v>
      </c>
      <c r="S7" s="616">
        <f>M7-R7</f>
        <v>2679.8287345385324</v>
      </c>
      <c r="T7" s="617">
        <f>S7/M7</f>
        <v>0.16241386269930499</v>
      </c>
    </row>
    <row r="8" spans="2:20" outlineLevel="1" x14ac:dyDescent="0.35">
      <c r="B8" s="609" t="s">
        <v>779</v>
      </c>
      <c r="C8" s="610" t="s">
        <v>50</v>
      </c>
      <c r="D8" s="611"/>
      <c r="E8" s="612"/>
      <c r="F8" s="611">
        <f>D8</f>
        <v>0</v>
      </c>
      <c r="G8" s="658"/>
      <c r="H8" s="613">
        <f t="shared" si="0"/>
        <v>0</v>
      </c>
      <c r="I8" s="611">
        <f t="shared" si="1"/>
        <v>0</v>
      </c>
      <c r="J8" s="614">
        <f t="shared" si="2"/>
        <v>0</v>
      </c>
      <c r="K8" s="614">
        <f t="shared" ref="K8:K14" si="3">J8</f>
        <v>0</v>
      </c>
      <c r="L8" s="1111"/>
      <c r="N8" s="615">
        <f t="shared" ref="N8:N13" si="4">M8/$M$21</f>
        <v>0</v>
      </c>
      <c r="P8" s="587" t="e">
        <f t="shared" ref="P8:P20" si="5">I8/F8</f>
        <v>#DIV/0!</v>
      </c>
      <c r="Q8" s="587">
        <f t="shared" ref="Q8:Q20" si="6">$Q$6*K8</f>
        <v>0</v>
      </c>
      <c r="R8" s="616" t="e">
        <f t="shared" ref="R8:R20" si="7">P8+Q8</f>
        <v>#DIV/0!</v>
      </c>
      <c r="S8" s="616" t="e">
        <f t="shared" ref="S8:S20" si="8">M8-R8</f>
        <v>#DIV/0!</v>
      </c>
      <c r="T8" s="617" t="e">
        <f t="shared" ref="T8:T21" si="9">S8/M8</f>
        <v>#DIV/0!</v>
      </c>
    </row>
    <row r="9" spans="2:20" outlineLevel="1" x14ac:dyDescent="0.35">
      <c r="B9" s="609" t="s">
        <v>780</v>
      </c>
      <c r="C9" s="610" t="s">
        <v>22</v>
      </c>
      <c r="D9" s="611">
        <v>30</v>
      </c>
      <c r="E9" s="612">
        <v>0.03</v>
      </c>
      <c r="F9" s="611">
        <f t="shared" ref="F9:F14" si="10">D9</f>
        <v>30</v>
      </c>
      <c r="G9" s="658">
        <v>1.1000000000000001</v>
      </c>
      <c r="H9" s="613">
        <f t="shared" si="0"/>
        <v>33</v>
      </c>
      <c r="I9" s="611">
        <f t="shared" si="1"/>
        <v>313986.67935299716</v>
      </c>
      <c r="J9" s="614">
        <f t="shared" si="2"/>
        <v>3.1398667935299718E-2</v>
      </c>
      <c r="K9" s="614">
        <f t="shared" si="3"/>
        <v>3.1398667935299718E-2</v>
      </c>
      <c r="L9" s="1111"/>
      <c r="M9" s="587">
        <f>ROUND(11000+11000*14%+2500,-2)</f>
        <v>15000</v>
      </c>
      <c r="N9" s="615">
        <f t="shared" si="4"/>
        <v>1.1111111111111112</v>
      </c>
      <c r="P9" s="587">
        <f t="shared" si="5"/>
        <v>10466.222645099906</v>
      </c>
      <c r="Q9" s="587">
        <f t="shared" si="6"/>
        <v>94.196003805899153</v>
      </c>
      <c r="R9" s="616">
        <f t="shared" si="7"/>
        <v>10560.418648905805</v>
      </c>
      <c r="S9" s="616">
        <f t="shared" si="8"/>
        <v>4439.5813510941953</v>
      </c>
      <c r="T9" s="617">
        <f t="shared" si="9"/>
        <v>0.29597209007294634</v>
      </c>
    </row>
    <row r="10" spans="2:20" outlineLevel="1" x14ac:dyDescent="0.35">
      <c r="B10" s="609" t="s">
        <v>781</v>
      </c>
      <c r="C10" s="610" t="s">
        <v>27</v>
      </c>
      <c r="D10" s="611">
        <v>20</v>
      </c>
      <c r="E10" s="612">
        <v>0.02</v>
      </c>
      <c r="F10" s="611">
        <f>D10</f>
        <v>20</v>
      </c>
      <c r="G10" s="658">
        <v>1</v>
      </c>
      <c r="H10" s="613">
        <f t="shared" si="0"/>
        <v>20</v>
      </c>
      <c r="I10" s="611">
        <f t="shared" si="1"/>
        <v>190294.95718363466</v>
      </c>
      <c r="J10" s="614">
        <f t="shared" si="2"/>
        <v>1.9029495718363466E-2</v>
      </c>
      <c r="K10" s="614">
        <f t="shared" si="3"/>
        <v>1.9029495718363466E-2</v>
      </c>
      <c r="L10" s="1111"/>
      <c r="M10" s="587">
        <f>ROUND(11000+11000*14%+1000,-2)</f>
        <v>13500</v>
      </c>
      <c r="N10" s="615">
        <f>M10/$M$21</f>
        <v>1</v>
      </c>
      <c r="P10" s="587">
        <f t="shared" si="5"/>
        <v>9514.7478591817326</v>
      </c>
      <c r="Q10" s="587">
        <f t="shared" si="6"/>
        <v>57.088487155090398</v>
      </c>
      <c r="R10" s="616">
        <f t="shared" si="7"/>
        <v>9571.8363463368223</v>
      </c>
      <c r="S10" s="616">
        <f t="shared" si="8"/>
        <v>3928.1636536631777</v>
      </c>
      <c r="T10" s="617">
        <f t="shared" si="9"/>
        <v>0.29097508545653167</v>
      </c>
    </row>
    <row r="11" spans="2:20" outlineLevel="1" x14ac:dyDescent="0.35">
      <c r="B11" s="609" t="s">
        <v>782</v>
      </c>
      <c r="C11" s="610" t="s">
        <v>29</v>
      </c>
      <c r="D11" s="611">
        <v>20</v>
      </c>
      <c r="E11" s="612">
        <v>0.02</v>
      </c>
      <c r="F11" s="611">
        <f t="shared" si="10"/>
        <v>20</v>
      </c>
      <c r="G11" s="658">
        <v>1</v>
      </c>
      <c r="H11" s="613">
        <f t="shared" si="0"/>
        <v>20</v>
      </c>
      <c r="I11" s="611">
        <f t="shared" si="1"/>
        <v>190294.95718363466</v>
      </c>
      <c r="J11" s="614">
        <f t="shared" si="2"/>
        <v>1.9029495718363466E-2</v>
      </c>
      <c r="K11" s="614">
        <f t="shared" si="3"/>
        <v>1.9029495718363466E-2</v>
      </c>
      <c r="L11" s="1111"/>
      <c r="M11" s="587">
        <f>ROUND(11000+11000*14%+1000,-2)</f>
        <v>13500</v>
      </c>
      <c r="N11" s="615">
        <f>M11/$M$21</f>
        <v>1</v>
      </c>
      <c r="P11" s="587">
        <f t="shared" si="5"/>
        <v>9514.7478591817326</v>
      </c>
      <c r="Q11" s="587">
        <f t="shared" si="6"/>
        <v>57.088487155090398</v>
      </c>
      <c r="R11" s="616">
        <f t="shared" si="7"/>
        <v>9571.8363463368223</v>
      </c>
      <c r="S11" s="616">
        <f t="shared" si="8"/>
        <v>3928.1636536631777</v>
      </c>
      <c r="T11" s="617">
        <f t="shared" si="9"/>
        <v>0.29097508545653167</v>
      </c>
    </row>
    <row r="12" spans="2:20" outlineLevel="1" x14ac:dyDescent="0.35">
      <c r="B12" s="609"/>
      <c r="C12" s="610" t="s">
        <v>32</v>
      </c>
      <c r="D12" s="611"/>
      <c r="E12" s="612"/>
      <c r="F12" s="611">
        <f>D12</f>
        <v>0</v>
      </c>
      <c r="G12" s="658"/>
      <c r="H12" s="613">
        <f t="shared" si="0"/>
        <v>0</v>
      </c>
      <c r="I12" s="611">
        <f t="shared" si="1"/>
        <v>0</v>
      </c>
      <c r="J12" s="614">
        <f t="shared" si="2"/>
        <v>0</v>
      </c>
      <c r="K12" s="614">
        <f t="shared" si="3"/>
        <v>0</v>
      </c>
      <c r="L12" s="1111"/>
      <c r="N12" s="615">
        <f t="shared" si="4"/>
        <v>0</v>
      </c>
      <c r="P12" s="587" t="e">
        <f t="shared" si="5"/>
        <v>#DIV/0!</v>
      </c>
      <c r="Q12" s="587">
        <f t="shared" si="6"/>
        <v>0</v>
      </c>
      <c r="R12" s="616" t="e">
        <f t="shared" si="7"/>
        <v>#DIV/0!</v>
      </c>
      <c r="S12" s="616" t="e">
        <f t="shared" si="8"/>
        <v>#DIV/0!</v>
      </c>
      <c r="T12" s="617" t="e">
        <f t="shared" si="9"/>
        <v>#DIV/0!</v>
      </c>
    </row>
    <row r="13" spans="2:20" outlineLevel="1" x14ac:dyDescent="0.35">
      <c r="B13" s="609" t="s">
        <v>783</v>
      </c>
      <c r="C13" s="610" t="s">
        <v>19</v>
      </c>
      <c r="D13" s="611">
        <v>270</v>
      </c>
      <c r="E13" s="612">
        <v>0.27</v>
      </c>
      <c r="F13" s="611">
        <f t="shared" si="10"/>
        <v>270</v>
      </c>
      <c r="G13" s="658">
        <v>1.1000000000000001</v>
      </c>
      <c r="H13" s="613">
        <f t="shared" si="0"/>
        <v>297</v>
      </c>
      <c r="I13" s="611">
        <f t="shared" si="1"/>
        <v>2825880.1141769746</v>
      </c>
      <c r="J13" s="614">
        <f t="shared" si="2"/>
        <v>0.28258801141769746</v>
      </c>
      <c r="K13" s="614">
        <f t="shared" si="3"/>
        <v>0.28258801141769746</v>
      </c>
      <c r="L13" s="1111"/>
      <c r="M13" s="587">
        <f>ROUND(11000+11000*14%+2500,-2)</f>
        <v>15000</v>
      </c>
      <c r="N13" s="615">
        <f t="shared" si="4"/>
        <v>1.1111111111111112</v>
      </c>
      <c r="P13" s="587">
        <f t="shared" si="5"/>
        <v>10466.222645099906</v>
      </c>
      <c r="Q13" s="587">
        <f t="shared" si="6"/>
        <v>847.7640342530924</v>
      </c>
      <c r="R13" s="616">
        <f t="shared" si="7"/>
        <v>11313.986679352998</v>
      </c>
      <c r="S13" s="616">
        <f t="shared" si="8"/>
        <v>3686.0133206470018</v>
      </c>
      <c r="T13" s="617">
        <f t="shared" si="9"/>
        <v>0.24573422137646678</v>
      </c>
    </row>
    <row r="14" spans="2:20" outlineLevel="1" x14ac:dyDescent="0.35">
      <c r="B14" s="609" t="s">
        <v>784</v>
      </c>
      <c r="C14" s="610" t="s">
        <v>80</v>
      </c>
      <c r="D14" s="611">
        <v>10</v>
      </c>
      <c r="E14" s="612">
        <v>0.01</v>
      </c>
      <c r="F14" s="611">
        <f t="shared" si="10"/>
        <v>10</v>
      </c>
      <c r="G14" s="658">
        <v>0.6</v>
      </c>
      <c r="H14" s="613">
        <f t="shared" si="0"/>
        <v>6</v>
      </c>
      <c r="I14" s="611">
        <f t="shared" si="1"/>
        <v>57088.487155090392</v>
      </c>
      <c r="J14" s="614">
        <f t="shared" si="2"/>
        <v>5.708848715509039E-3</v>
      </c>
      <c r="K14" s="614">
        <f t="shared" si="3"/>
        <v>5.708848715509039E-3</v>
      </c>
      <c r="L14" s="1112"/>
      <c r="M14" s="587">
        <f>ROUND(11000+11000*14%-5000,-2)</f>
        <v>7500</v>
      </c>
      <c r="N14" s="615">
        <f>M14/$M$21</f>
        <v>0.55555555555555558</v>
      </c>
      <c r="P14" s="587">
        <f t="shared" si="5"/>
        <v>5708.8487155090388</v>
      </c>
      <c r="Q14" s="587">
        <f t="shared" si="6"/>
        <v>17.126546146527119</v>
      </c>
      <c r="R14" s="616">
        <f t="shared" si="7"/>
        <v>5725.9752616555661</v>
      </c>
      <c r="S14" s="616">
        <f t="shared" si="8"/>
        <v>1774.0247383444339</v>
      </c>
      <c r="T14" s="617">
        <f t="shared" si="9"/>
        <v>0.23653663177925785</v>
      </c>
    </row>
    <row r="15" spans="2:20" outlineLevel="1" x14ac:dyDescent="0.35">
      <c r="B15" s="609"/>
      <c r="C15" s="610" t="s">
        <v>35</v>
      </c>
      <c r="D15" s="611"/>
      <c r="E15" s="612">
        <v>0</v>
      </c>
      <c r="F15" s="611"/>
      <c r="G15" s="658"/>
      <c r="H15" s="613"/>
      <c r="I15" s="611"/>
      <c r="J15" s="614"/>
      <c r="K15" s="614"/>
      <c r="L15" s="614"/>
      <c r="N15" s="615">
        <f>M15/$M$21</f>
        <v>0</v>
      </c>
      <c r="P15" s="587" t="e">
        <f t="shared" si="5"/>
        <v>#DIV/0!</v>
      </c>
      <c r="Q15" s="587">
        <f t="shared" si="6"/>
        <v>0</v>
      </c>
      <c r="R15" s="616" t="e">
        <f t="shared" si="7"/>
        <v>#DIV/0!</v>
      </c>
      <c r="S15" s="616" t="e">
        <f t="shared" si="8"/>
        <v>#DIV/0!</v>
      </c>
      <c r="T15" s="617" t="e">
        <f t="shared" si="9"/>
        <v>#DIV/0!</v>
      </c>
    </row>
    <row r="16" spans="2:20" outlineLevel="1" x14ac:dyDescent="0.35">
      <c r="B16" s="609" t="s">
        <v>785</v>
      </c>
      <c r="C16" s="610" t="s">
        <v>261</v>
      </c>
      <c r="D16" s="611"/>
      <c r="E16" s="612">
        <v>0</v>
      </c>
      <c r="F16" s="611"/>
      <c r="G16" s="658"/>
      <c r="H16" s="613"/>
      <c r="I16" s="611"/>
      <c r="J16" s="614"/>
      <c r="K16" s="614"/>
      <c r="L16" s="614"/>
      <c r="N16" s="615">
        <f>M16/$M$21</f>
        <v>0</v>
      </c>
      <c r="P16" s="587" t="e">
        <f t="shared" si="5"/>
        <v>#DIV/0!</v>
      </c>
      <c r="Q16" s="587">
        <f t="shared" si="6"/>
        <v>0</v>
      </c>
      <c r="R16" s="616" t="e">
        <f t="shared" si="7"/>
        <v>#DIV/0!</v>
      </c>
      <c r="S16" s="616" t="e">
        <f t="shared" si="8"/>
        <v>#DIV/0!</v>
      </c>
      <c r="T16" s="617" t="e">
        <f t="shared" si="9"/>
        <v>#DIV/0!</v>
      </c>
    </row>
    <row r="17" spans="2:20" outlineLevel="1" x14ac:dyDescent="0.35">
      <c r="B17" s="609" t="s">
        <v>786</v>
      </c>
      <c r="C17" s="610" t="s">
        <v>787</v>
      </c>
      <c r="D17" s="611"/>
      <c r="E17" s="612">
        <v>0</v>
      </c>
      <c r="F17" s="611"/>
      <c r="G17" s="658"/>
      <c r="H17" s="613"/>
      <c r="I17" s="611"/>
      <c r="J17" s="614"/>
      <c r="K17" s="614"/>
      <c r="L17" s="614"/>
      <c r="N17" s="615">
        <f>M17/$M$21</f>
        <v>0</v>
      </c>
      <c r="P17" s="587" t="e">
        <f t="shared" si="5"/>
        <v>#DIV/0!</v>
      </c>
      <c r="Q17" s="587">
        <f t="shared" si="6"/>
        <v>0</v>
      </c>
      <c r="R17" s="616" t="e">
        <f t="shared" si="7"/>
        <v>#DIV/0!</v>
      </c>
      <c r="S17" s="616" t="e">
        <f t="shared" si="8"/>
        <v>#DIV/0!</v>
      </c>
      <c r="T17" s="617" t="e">
        <f t="shared" si="9"/>
        <v>#DIV/0!</v>
      </c>
    </row>
    <row r="18" spans="2:20" outlineLevel="1" x14ac:dyDescent="0.35">
      <c r="B18" s="609" t="s">
        <v>788</v>
      </c>
      <c r="C18" s="610" t="s">
        <v>789</v>
      </c>
      <c r="D18" s="611">
        <v>10</v>
      </c>
      <c r="E18" s="612">
        <v>0.01</v>
      </c>
      <c r="F18" s="611"/>
      <c r="G18" s="658"/>
      <c r="H18" s="613"/>
      <c r="I18" s="612"/>
      <c r="J18" s="614"/>
      <c r="K18" s="614"/>
      <c r="L18" s="614"/>
      <c r="N18" s="615"/>
      <c r="P18" s="587" t="e">
        <f t="shared" si="5"/>
        <v>#DIV/0!</v>
      </c>
      <c r="Q18" s="587">
        <f t="shared" si="6"/>
        <v>0</v>
      </c>
      <c r="R18" s="616" t="e">
        <f t="shared" si="7"/>
        <v>#DIV/0!</v>
      </c>
      <c r="S18" s="616" t="e">
        <f t="shared" si="8"/>
        <v>#DIV/0!</v>
      </c>
      <c r="T18" s="617" t="e">
        <f t="shared" si="9"/>
        <v>#DIV/0!</v>
      </c>
    </row>
    <row r="19" spans="2:20" s="626" customFormat="1" outlineLevel="1" x14ac:dyDescent="0.35">
      <c r="B19" s="618" t="s">
        <v>790</v>
      </c>
      <c r="C19" s="619" t="s">
        <v>791</v>
      </c>
      <c r="D19" s="620">
        <v>60</v>
      </c>
      <c r="E19" s="621">
        <v>0.06</v>
      </c>
      <c r="F19" s="611"/>
      <c r="G19" s="659"/>
      <c r="H19" s="622"/>
      <c r="I19" s="621"/>
      <c r="J19" s="614"/>
      <c r="K19" s="614"/>
      <c r="L19" s="623"/>
      <c r="M19" s="587"/>
      <c r="N19" s="624"/>
      <c r="O19" s="625"/>
      <c r="P19" s="587" t="e">
        <f t="shared" si="5"/>
        <v>#DIV/0!</v>
      </c>
      <c r="Q19" s="587">
        <f t="shared" si="6"/>
        <v>0</v>
      </c>
      <c r="R19" s="616" t="e">
        <f t="shared" si="7"/>
        <v>#DIV/0!</v>
      </c>
      <c r="S19" s="616" t="e">
        <f t="shared" si="8"/>
        <v>#DIV/0!</v>
      </c>
      <c r="T19" s="617" t="e">
        <f t="shared" si="9"/>
        <v>#DIV/0!</v>
      </c>
    </row>
    <row r="20" spans="2:20" s="626" customFormat="1" outlineLevel="1" x14ac:dyDescent="0.35">
      <c r="B20" s="618"/>
      <c r="C20" s="619" t="s">
        <v>792</v>
      </c>
      <c r="D20" s="622">
        <f>D6-SUM(D7:D19)</f>
        <v>40</v>
      </c>
      <c r="E20" s="621">
        <v>0.04</v>
      </c>
      <c r="F20" s="611"/>
      <c r="G20" s="659"/>
      <c r="H20" s="622"/>
      <c r="I20" s="621"/>
      <c r="J20" s="623"/>
      <c r="K20" s="623"/>
      <c r="L20" s="623"/>
      <c r="M20" s="625"/>
      <c r="N20" s="624"/>
      <c r="O20" s="625"/>
      <c r="P20" s="587" t="e">
        <f t="shared" si="5"/>
        <v>#DIV/0!</v>
      </c>
      <c r="Q20" s="587">
        <f t="shared" si="6"/>
        <v>0</v>
      </c>
      <c r="R20" s="616" t="e">
        <f t="shared" si="7"/>
        <v>#DIV/0!</v>
      </c>
      <c r="S20" s="616" t="e">
        <f t="shared" si="8"/>
        <v>#DIV/0!</v>
      </c>
      <c r="T20" s="617" t="e">
        <f t="shared" si="9"/>
        <v>#DIV/0!</v>
      </c>
    </row>
    <row r="21" spans="2:20" s="636" customFormat="1" ht="13" outlineLevel="1" x14ac:dyDescent="0.35">
      <c r="B21" s="627"/>
      <c r="C21" s="628" t="s">
        <v>793</v>
      </c>
      <c r="D21" s="629">
        <f t="shared" ref="D21:I21" si="11">SUM(D7:D20)</f>
        <v>1000</v>
      </c>
      <c r="E21" s="630">
        <f t="shared" si="11"/>
        <v>1.0000000000000002</v>
      </c>
      <c r="F21" s="629">
        <f>SUM(F7:F20)</f>
        <v>890</v>
      </c>
      <c r="G21" s="660">
        <f t="shared" si="11"/>
        <v>6.0499999999999989</v>
      </c>
      <c r="H21" s="631">
        <f t="shared" si="11"/>
        <v>1051</v>
      </c>
      <c r="I21" s="631">
        <f t="shared" si="11"/>
        <v>10000000.000000002</v>
      </c>
      <c r="J21" s="632"/>
      <c r="K21" s="632"/>
      <c r="L21" s="632"/>
      <c r="M21" s="633">
        <f>AVERAGE(M7:M19)</f>
        <v>13500</v>
      </c>
      <c r="N21" s="634"/>
      <c r="O21" s="635"/>
      <c r="P21" s="587">
        <f>I21/F21</f>
        <v>11235.955056179777</v>
      </c>
      <c r="T21" s="617">
        <f t="shared" si="9"/>
        <v>0</v>
      </c>
    </row>
    <row r="22" spans="2:20" x14ac:dyDescent="0.35">
      <c r="P22" s="587">
        <f>10000/(F21/1000)-P21</f>
        <v>0</v>
      </c>
    </row>
    <row r="24" spans="2:20" s="597" customFormat="1" ht="52" x14ac:dyDescent="0.35">
      <c r="B24" s="591" t="s">
        <v>794</v>
      </c>
      <c r="C24" s="591" t="s">
        <v>795</v>
      </c>
      <c r="D24" s="1109" t="s">
        <v>758</v>
      </c>
      <c r="E24" s="1109"/>
      <c r="F24" s="593" t="s">
        <v>759</v>
      </c>
      <c r="G24" s="593" t="s">
        <v>760</v>
      </c>
      <c r="H24" s="593" t="s">
        <v>761</v>
      </c>
      <c r="I24" s="593" t="s">
        <v>762</v>
      </c>
      <c r="J24" s="594" t="s">
        <v>763</v>
      </c>
      <c r="K24" s="594" t="s">
        <v>764</v>
      </c>
      <c r="L24" s="594" t="s">
        <v>16</v>
      </c>
      <c r="M24" s="595" t="s">
        <v>765</v>
      </c>
      <c r="N24" s="637" t="s">
        <v>766</v>
      </c>
      <c r="O24" s="590"/>
      <c r="P24" s="590"/>
    </row>
    <row r="25" spans="2:20" ht="13" x14ac:dyDescent="0.3">
      <c r="B25" s="598"/>
      <c r="C25" s="599"/>
      <c r="D25" s="600" t="s">
        <v>770</v>
      </c>
      <c r="E25" s="600" t="s">
        <v>486</v>
      </c>
      <c r="F25" s="601" t="s">
        <v>771</v>
      </c>
      <c r="G25" s="601" t="s">
        <v>772</v>
      </c>
      <c r="H25" s="601" t="s">
        <v>773</v>
      </c>
      <c r="I25" s="601" t="s">
        <v>774</v>
      </c>
      <c r="J25" s="600" t="s">
        <v>486</v>
      </c>
      <c r="K25" s="600" t="s">
        <v>486</v>
      </c>
      <c r="L25" s="602"/>
      <c r="N25" s="638"/>
    </row>
    <row r="26" spans="2:20" ht="13" x14ac:dyDescent="0.3">
      <c r="B26" s="599" t="s">
        <v>783</v>
      </c>
      <c r="C26" s="599" t="s">
        <v>19</v>
      </c>
      <c r="D26" s="600">
        <v>600</v>
      </c>
      <c r="E26" s="600"/>
      <c r="F26" s="639">
        <f>SUM(F27:F31)</f>
        <v>1080</v>
      </c>
      <c r="G26" s="640">
        <f>SUM(G27:G31)</f>
        <v>4.0999999999999996</v>
      </c>
      <c r="H26" s="601"/>
      <c r="I26" s="641">
        <f>I13/F13*D26</f>
        <v>6279733.5870599439</v>
      </c>
      <c r="J26" s="600"/>
      <c r="K26" s="600"/>
      <c r="L26" s="602"/>
      <c r="N26" s="638"/>
    </row>
    <row r="27" spans="2:20" outlineLevel="1" x14ac:dyDescent="0.35">
      <c r="B27" s="609" t="s">
        <v>796</v>
      </c>
      <c r="C27" s="610" t="s">
        <v>45</v>
      </c>
      <c r="D27" s="611">
        <f>D26*E27</f>
        <v>510</v>
      </c>
      <c r="E27" s="612">
        <v>0.85</v>
      </c>
      <c r="F27" s="611">
        <f>D27</f>
        <v>510</v>
      </c>
      <c r="G27" s="613">
        <v>1.35</v>
      </c>
      <c r="H27" s="613">
        <f>F27*G27</f>
        <v>688.5</v>
      </c>
      <c r="I27" s="611">
        <f>$I$26/$H$31*H27</f>
        <v>6093864.0939968592</v>
      </c>
      <c r="J27" s="614">
        <f>I27/$I$26</f>
        <v>0.97040169133192389</v>
      </c>
      <c r="K27" s="614">
        <f>J27</f>
        <v>0.97040169133192389</v>
      </c>
      <c r="L27" s="1104" t="s">
        <v>778</v>
      </c>
      <c r="M27" s="587">
        <v>18500</v>
      </c>
      <c r="N27" s="642">
        <f>M27/$M$31</f>
        <v>1.3214285714285714</v>
      </c>
    </row>
    <row r="28" spans="2:20" outlineLevel="1" x14ac:dyDescent="0.35">
      <c r="B28" s="609" t="s">
        <v>797</v>
      </c>
      <c r="C28" s="610" t="s">
        <v>798</v>
      </c>
      <c r="D28" s="611">
        <f>D26*E28</f>
        <v>30</v>
      </c>
      <c r="E28" s="612">
        <v>0.05</v>
      </c>
      <c r="F28" s="611">
        <f>D28</f>
        <v>30</v>
      </c>
      <c r="G28" s="613">
        <v>0.7</v>
      </c>
      <c r="H28" s="613">
        <f>F28*G28</f>
        <v>21</v>
      </c>
      <c r="I28" s="611">
        <f>$I$26/$H$31*H28</f>
        <v>185869.49306308504</v>
      </c>
      <c r="J28" s="614">
        <f>I28/$I$26</f>
        <v>2.9598308668076112E-2</v>
      </c>
      <c r="K28" s="614">
        <f>J28</f>
        <v>2.9598308668076112E-2</v>
      </c>
      <c r="L28" s="1105"/>
      <c r="M28" s="587">
        <v>9500</v>
      </c>
      <c r="N28" s="642">
        <f>M28/$M$31</f>
        <v>0.6785714285714286</v>
      </c>
    </row>
    <row r="29" spans="2:20" outlineLevel="1" x14ac:dyDescent="0.35">
      <c r="B29" s="609"/>
      <c r="C29" s="610" t="s">
        <v>799</v>
      </c>
      <c r="D29" s="611">
        <f>D26*5%</f>
        <v>30</v>
      </c>
      <c r="E29" s="612"/>
      <c r="F29" s="611"/>
      <c r="G29" s="613"/>
      <c r="H29" s="613"/>
      <c r="I29" s="611"/>
      <c r="J29" s="614"/>
      <c r="K29" s="614"/>
      <c r="L29" s="614"/>
      <c r="N29" s="643"/>
    </row>
    <row r="30" spans="2:20" outlineLevel="1" x14ac:dyDescent="0.35">
      <c r="B30" s="609"/>
      <c r="C30" s="610" t="s">
        <v>792</v>
      </c>
      <c r="D30" s="611">
        <f>D26*5%</f>
        <v>30</v>
      </c>
      <c r="E30" s="612"/>
      <c r="F30" s="611"/>
      <c r="G30" s="613"/>
      <c r="H30" s="613"/>
      <c r="I30" s="611"/>
      <c r="J30" s="614"/>
      <c r="K30" s="614"/>
      <c r="L30" s="614"/>
      <c r="N30" s="643"/>
    </row>
    <row r="31" spans="2:20" s="636" customFormat="1" ht="13" outlineLevel="1" x14ac:dyDescent="0.35">
      <c r="B31" s="627"/>
      <c r="C31" s="628" t="s">
        <v>793</v>
      </c>
      <c r="D31" s="629">
        <f>SUM(D27:D30)</f>
        <v>600</v>
      </c>
      <c r="E31" s="630"/>
      <c r="F31" s="631">
        <f>SUM(F27:F30)</f>
        <v>540</v>
      </c>
      <c r="G31" s="631">
        <f>SUM(G27:G30)</f>
        <v>2.0499999999999998</v>
      </c>
      <c r="H31" s="631">
        <f>SUM(H27:H30)</f>
        <v>709.5</v>
      </c>
      <c r="I31" s="631"/>
      <c r="J31" s="632"/>
      <c r="K31" s="632"/>
      <c r="L31" s="632"/>
      <c r="M31" s="633">
        <f>AVERAGE(M27:M30)</f>
        <v>14000</v>
      </c>
      <c r="N31" s="644"/>
      <c r="O31" s="635"/>
      <c r="P31" s="635"/>
    </row>
  </sheetData>
  <mergeCells count="7">
    <mergeCell ref="L27:L28"/>
    <mergeCell ref="J3:K3"/>
    <mergeCell ref="M3:N3"/>
    <mergeCell ref="D4:E4"/>
    <mergeCell ref="L7:L14"/>
    <mergeCell ref="D24:E24"/>
    <mergeCell ref="D3:E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760F-DA5C-4BB4-B80F-9942BA08DE97}">
  <dimension ref="A2:Q30"/>
  <sheetViews>
    <sheetView topLeftCell="B1" zoomScaleNormal="100" workbookViewId="0">
      <selection activeCell="I12" sqref="I12"/>
    </sheetView>
  </sheetViews>
  <sheetFormatPr defaultColWidth="8.7265625" defaultRowHeight="14.5" outlineLevelCol="1" x14ac:dyDescent="0.35"/>
  <cols>
    <col min="1" max="1" width="8.7265625" style="211" hidden="1" customWidth="1"/>
    <col min="2" max="2" width="18.453125" style="211" customWidth="1"/>
    <col min="3" max="3" width="34.1796875" style="211" bestFit="1" customWidth="1"/>
    <col min="4" max="4" width="14.90625" style="211" customWidth="1"/>
    <col min="5" max="5" width="10.1796875" style="211" customWidth="1" outlineLevel="1"/>
    <col min="6" max="6" width="11" style="211" customWidth="1" outlineLevel="1"/>
    <col min="7" max="7" width="14.08984375" style="211" customWidth="1" outlineLevel="1"/>
    <col min="8" max="8" width="13.08984375" style="211" customWidth="1" outlineLevel="1"/>
    <col min="9" max="9" width="12.453125" style="211" customWidth="1"/>
    <col min="10" max="10" width="7.7265625" style="211" bestFit="1" customWidth="1"/>
    <col min="11" max="11" width="10.36328125" style="211" bestFit="1" customWidth="1"/>
    <col min="12" max="12" width="10.08984375" style="211" customWidth="1"/>
    <col min="13" max="16384" width="8.7265625" style="211"/>
  </cols>
  <sheetData>
    <row r="2" spans="2:17" ht="15" thickBot="1" x14ac:dyDescent="0.4"/>
    <row r="3" spans="2:17" ht="21" x14ac:dyDescent="0.35">
      <c r="B3" s="1114" t="s">
        <v>477</v>
      </c>
      <c r="C3" s="1115"/>
      <c r="D3" s="1115"/>
      <c r="E3" s="1115"/>
      <c r="F3" s="1115"/>
      <c r="G3" s="1115"/>
      <c r="H3" s="1115"/>
      <c r="I3" s="1116"/>
    </row>
    <row r="4" spans="2:17" ht="16" x14ac:dyDescent="0.35">
      <c r="B4" s="1117"/>
      <c r="C4" s="1118"/>
      <c r="D4" s="1118"/>
      <c r="E4" s="1118"/>
      <c r="F4" s="1118"/>
      <c r="G4" s="1118"/>
      <c r="H4" s="1118"/>
      <c r="I4" s="1119"/>
      <c r="J4" s="211" t="s">
        <v>478</v>
      </c>
      <c r="K4" s="211" t="s">
        <v>478</v>
      </c>
      <c r="L4" s="515" t="s">
        <v>478</v>
      </c>
      <c r="M4" s="515" t="s">
        <v>478</v>
      </c>
      <c r="N4" s="515" t="s">
        <v>478</v>
      </c>
      <c r="O4" s="515" t="s">
        <v>654</v>
      </c>
    </row>
    <row r="5" spans="2:17" x14ac:dyDescent="0.35">
      <c r="B5" s="212"/>
      <c r="I5" s="213" t="s">
        <v>479</v>
      </c>
      <c r="J5" s="214">
        <v>9500</v>
      </c>
      <c r="K5" s="214">
        <v>10000</v>
      </c>
      <c r="L5" s="214">
        <v>10000</v>
      </c>
      <c r="M5" s="214">
        <v>11300</v>
      </c>
      <c r="N5" s="214">
        <v>12500</v>
      </c>
      <c r="O5" s="214">
        <v>14000</v>
      </c>
    </row>
    <row r="6" spans="2:17" ht="16" x14ac:dyDescent="0.35">
      <c r="B6" s="1120" t="s">
        <v>480</v>
      </c>
      <c r="C6" s="1122" t="s">
        <v>481</v>
      </c>
      <c r="D6" s="1122" t="s">
        <v>478</v>
      </c>
      <c r="E6" s="1124" t="s">
        <v>482</v>
      </c>
      <c r="F6" s="1125"/>
      <c r="G6" s="1122" t="s">
        <v>483</v>
      </c>
      <c r="H6" s="1126" t="s">
        <v>484</v>
      </c>
      <c r="I6" s="1128" t="s">
        <v>485</v>
      </c>
      <c r="J6" s="214"/>
      <c r="K6" s="214"/>
    </row>
    <row r="7" spans="2:17" ht="16" x14ac:dyDescent="0.35">
      <c r="B7" s="1121"/>
      <c r="C7" s="1123"/>
      <c r="D7" s="1123"/>
      <c r="E7" s="215" t="s">
        <v>486</v>
      </c>
      <c r="F7" s="215" t="s">
        <v>487</v>
      </c>
      <c r="G7" s="1123"/>
      <c r="H7" s="1127"/>
      <c r="I7" s="1129"/>
      <c r="J7" s="214"/>
      <c r="K7" s="214"/>
    </row>
    <row r="8" spans="2:17" ht="16" x14ac:dyDescent="0.35">
      <c r="B8" s="216" t="s">
        <v>488</v>
      </c>
      <c r="C8" s="217"/>
      <c r="D8" s="217"/>
      <c r="E8" s="218"/>
      <c r="F8" s="218"/>
      <c r="G8" s="217"/>
      <c r="H8" s="219"/>
      <c r="I8" s="220"/>
      <c r="J8" s="214"/>
      <c r="K8" s="214"/>
    </row>
    <row r="9" spans="2:17" ht="32" x14ac:dyDescent="0.35">
      <c r="B9" s="221" t="s">
        <v>489</v>
      </c>
      <c r="C9" s="222" t="s">
        <v>490</v>
      </c>
      <c r="D9" s="223">
        <v>11300</v>
      </c>
      <c r="E9" s="224">
        <v>0.11</v>
      </c>
      <c r="F9" s="225">
        <f>D9*E9</f>
        <v>1243</v>
      </c>
      <c r="G9" s="223">
        <v>3500</v>
      </c>
      <c r="H9" s="226">
        <f>D9+F9+G9</f>
        <v>16043</v>
      </c>
      <c r="I9" s="227">
        <v>16300</v>
      </c>
      <c r="J9" s="214">
        <f>I9-D9</f>
        <v>5000</v>
      </c>
      <c r="K9" s="214">
        <v>5000</v>
      </c>
      <c r="L9" s="228">
        <v>15800</v>
      </c>
      <c r="M9" s="214">
        <v>16300</v>
      </c>
      <c r="N9" s="214">
        <v>17500</v>
      </c>
      <c r="O9" s="214">
        <v>18000</v>
      </c>
      <c r="P9" s="214">
        <f>'[5]BOM (DLoc) (18.05)'!$M$7</f>
        <v>17100</v>
      </c>
      <c r="Q9" s="228">
        <f>P9-O9</f>
        <v>-900</v>
      </c>
    </row>
    <row r="10" spans="2:17" ht="16" x14ac:dyDescent="0.35">
      <c r="B10" s="229" t="s">
        <v>491</v>
      </c>
      <c r="C10" s="230" t="s">
        <v>492</v>
      </c>
      <c r="D10" s="223">
        <v>11300</v>
      </c>
      <c r="E10" s="224">
        <v>0.11</v>
      </c>
      <c r="F10" s="231">
        <f>D10*E10</f>
        <v>1243</v>
      </c>
      <c r="G10" s="232">
        <v>500</v>
      </c>
      <c r="H10" s="233">
        <f>D10+F10+G10</f>
        <v>13043</v>
      </c>
      <c r="I10" s="234">
        <v>13300</v>
      </c>
      <c r="J10" s="214">
        <f>I10-D10</f>
        <v>2000</v>
      </c>
      <c r="K10" s="214">
        <v>2000</v>
      </c>
      <c r="L10" s="228">
        <v>12800</v>
      </c>
      <c r="M10" s="214">
        <v>13300</v>
      </c>
      <c r="N10" s="214">
        <v>14500</v>
      </c>
      <c r="O10" s="214">
        <v>15000</v>
      </c>
      <c r="P10" s="214"/>
    </row>
    <row r="11" spans="2:17" ht="16" x14ac:dyDescent="0.35">
      <c r="B11" s="229" t="s">
        <v>493</v>
      </c>
      <c r="C11" s="230" t="s">
        <v>494</v>
      </c>
      <c r="D11" s="223">
        <v>11300</v>
      </c>
      <c r="E11" s="224">
        <v>0.11</v>
      </c>
      <c r="F11" s="231">
        <f>D11*E11</f>
        <v>1243</v>
      </c>
      <c r="G11" s="232">
        <v>2000</v>
      </c>
      <c r="H11" s="233">
        <f>D11+F11+G11</f>
        <v>14543</v>
      </c>
      <c r="I11" s="234">
        <v>14800</v>
      </c>
      <c r="J11" s="214">
        <f>I11-D11</f>
        <v>3500</v>
      </c>
      <c r="K11" s="214">
        <v>3500</v>
      </c>
      <c r="L11" s="228">
        <v>14300</v>
      </c>
      <c r="M11" s="214">
        <v>14800</v>
      </c>
      <c r="N11" s="214">
        <v>16000</v>
      </c>
      <c r="O11" s="214">
        <v>16500</v>
      </c>
      <c r="P11" s="214">
        <f>'[5]BOM (DLoc) (18.05)'!$M$13</f>
        <v>14100</v>
      </c>
      <c r="Q11" s="228">
        <f>P11-O11</f>
        <v>-2400</v>
      </c>
    </row>
    <row r="12" spans="2:17" ht="16" x14ac:dyDescent="0.35">
      <c r="B12" s="235" t="s">
        <v>495</v>
      </c>
      <c r="C12" s="236" t="s">
        <v>496</v>
      </c>
      <c r="D12" s="223">
        <v>11300</v>
      </c>
      <c r="E12" s="224">
        <v>0.11</v>
      </c>
      <c r="F12" s="237">
        <f>D12*E12</f>
        <v>1243</v>
      </c>
      <c r="G12" s="238">
        <v>-5000</v>
      </c>
      <c r="H12" s="239">
        <f>D12+F12+G12</f>
        <v>7543</v>
      </c>
      <c r="I12" s="240">
        <v>7800</v>
      </c>
      <c r="J12" s="214">
        <f>I12-D12</f>
        <v>-3500</v>
      </c>
      <c r="K12" s="214">
        <v>-3500</v>
      </c>
      <c r="L12" s="228">
        <v>7300</v>
      </c>
      <c r="M12" s="214">
        <v>7800</v>
      </c>
      <c r="N12" s="214">
        <v>9000</v>
      </c>
      <c r="O12" s="214">
        <v>9500</v>
      </c>
      <c r="P12" s="214">
        <f>'[5]BOM (DLoc) (18.05)'!$M$14</f>
        <v>7300</v>
      </c>
      <c r="Q12" s="228">
        <f>P12-O12</f>
        <v>-2200</v>
      </c>
    </row>
    <row r="13" spans="2:17" ht="16" x14ac:dyDescent="0.35">
      <c r="B13" s="216" t="s">
        <v>497</v>
      </c>
      <c r="C13" s="217"/>
      <c r="D13" s="217"/>
      <c r="E13" s="218"/>
      <c r="F13" s="218"/>
      <c r="G13" s="217"/>
      <c r="H13" s="219"/>
      <c r="I13" s="220"/>
      <c r="J13" s="214"/>
      <c r="K13" s="214"/>
      <c r="L13" s="228">
        <f t="shared" ref="L13" si="0">J13-K13</f>
        <v>0</v>
      </c>
    </row>
    <row r="14" spans="2:17" ht="16.5" thickBot="1" x14ac:dyDescent="0.4">
      <c r="B14" s="241" t="s">
        <v>498</v>
      </c>
      <c r="C14" s="242" t="s">
        <v>499</v>
      </c>
      <c r="D14" s="243">
        <f>I11</f>
        <v>14800</v>
      </c>
      <c r="E14" s="244">
        <v>0.08</v>
      </c>
      <c r="F14" s="245">
        <f>D14*E14</f>
        <v>1184</v>
      </c>
      <c r="G14" s="243">
        <v>2000</v>
      </c>
      <c r="H14" s="246">
        <f>D14+F14+G14</f>
        <v>17984</v>
      </c>
      <c r="I14" s="247">
        <v>17800</v>
      </c>
      <c r="J14" s="214">
        <f>I14-D14</f>
        <v>3000</v>
      </c>
      <c r="K14" s="214">
        <v>3000</v>
      </c>
      <c r="L14" s="228">
        <v>17300</v>
      </c>
      <c r="M14" s="214">
        <v>17800</v>
      </c>
      <c r="N14" s="214">
        <v>19000</v>
      </c>
      <c r="O14" s="214">
        <v>19000</v>
      </c>
    </row>
    <row r="15" spans="2:17" x14ac:dyDescent="0.35">
      <c r="C15" s="211" t="s">
        <v>747</v>
      </c>
      <c r="K15" s="214">
        <v>-8000</v>
      </c>
    </row>
    <row r="16" spans="2:17" x14ac:dyDescent="0.35">
      <c r="B16" s="1113" t="s">
        <v>500</v>
      </c>
      <c r="C16" s="1113"/>
      <c r="D16" s="1113"/>
    </row>
    <row r="17" spans="2:8" x14ac:dyDescent="0.35">
      <c r="B17" s="248" t="s">
        <v>71</v>
      </c>
      <c r="C17" s="249" t="s">
        <v>501</v>
      </c>
      <c r="D17" s="248" t="s">
        <v>502</v>
      </c>
    </row>
    <row r="18" spans="2:8" x14ac:dyDescent="0.35">
      <c r="B18" s="250"/>
      <c r="C18" s="251" t="s">
        <v>503</v>
      </c>
      <c r="D18" s="252">
        <f>$I$9</f>
        <v>16300</v>
      </c>
    </row>
    <row r="19" spans="2:8" x14ac:dyDescent="0.35">
      <c r="B19" s="250"/>
      <c r="C19" s="251" t="s">
        <v>504</v>
      </c>
      <c r="D19" s="253">
        <f>D18-500</f>
        <v>15800</v>
      </c>
    </row>
    <row r="20" spans="2:8" x14ac:dyDescent="0.35">
      <c r="B20" s="250"/>
      <c r="C20" s="251" t="s">
        <v>50</v>
      </c>
      <c r="D20" s="252">
        <f>$I$9</f>
        <v>16300</v>
      </c>
    </row>
    <row r="21" spans="2:8" x14ac:dyDescent="0.35">
      <c r="B21" s="250">
        <v>150000004</v>
      </c>
      <c r="C21" s="251" t="s">
        <v>23</v>
      </c>
      <c r="D21" s="252">
        <f>$I$9</f>
        <v>16300</v>
      </c>
    </row>
    <row r="22" spans="2:8" x14ac:dyDescent="0.35">
      <c r="B22" s="250">
        <v>150000050</v>
      </c>
      <c r="C22" s="251" t="s">
        <v>22</v>
      </c>
      <c r="D22" s="252">
        <f>$I$11</f>
        <v>14800</v>
      </c>
    </row>
    <row r="23" spans="2:8" x14ac:dyDescent="0.35">
      <c r="B23" s="250">
        <v>150000005</v>
      </c>
      <c r="C23" s="251" t="s">
        <v>25</v>
      </c>
      <c r="D23" s="252">
        <f>$I$9</f>
        <v>16300</v>
      </c>
    </row>
    <row r="24" spans="2:8" x14ac:dyDescent="0.35">
      <c r="B24" s="250">
        <v>150000014</v>
      </c>
      <c r="C24" s="251" t="s">
        <v>27</v>
      </c>
      <c r="D24" s="252">
        <f>$I$10</f>
        <v>13300</v>
      </c>
    </row>
    <row r="25" spans="2:8" x14ac:dyDescent="0.35">
      <c r="B25" s="250">
        <v>150000015</v>
      </c>
      <c r="C25" s="251" t="s">
        <v>29</v>
      </c>
      <c r="D25" s="252">
        <f>$I$10</f>
        <v>13300</v>
      </c>
    </row>
    <row r="26" spans="2:8" x14ac:dyDescent="0.35">
      <c r="B26" s="250">
        <v>150000016</v>
      </c>
      <c r="C26" s="251" t="s">
        <v>32</v>
      </c>
      <c r="D26" s="252">
        <f>$I$9</f>
        <v>16300</v>
      </c>
    </row>
    <row r="27" spans="2:8" x14ac:dyDescent="0.35">
      <c r="B27" s="250">
        <v>150000114</v>
      </c>
      <c r="C27" s="251" t="s">
        <v>19</v>
      </c>
      <c r="D27" s="252">
        <f>$I$11</f>
        <v>14800</v>
      </c>
    </row>
    <row r="28" spans="2:8" s="254" customFormat="1" x14ac:dyDescent="0.35">
      <c r="B28" s="250"/>
      <c r="C28" s="251" t="s">
        <v>505</v>
      </c>
      <c r="D28" s="252">
        <f>$I$12</f>
        <v>7800</v>
      </c>
      <c r="G28" s="211"/>
      <c r="H28" s="211"/>
    </row>
    <row r="29" spans="2:8" x14ac:dyDescent="0.35">
      <c r="B29" s="250"/>
      <c r="C29" s="251" t="s">
        <v>506</v>
      </c>
      <c r="D29" s="252">
        <f>$I$12</f>
        <v>7800</v>
      </c>
    </row>
    <row r="30" spans="2:8" x14ac:dyDescent="0.35">
      <c r="B30" s="255">
        <v>150000061</v>
      </c>
      <c r="C30" s="256" t="s">
        <v>45</v>
      </c>
      <c r="D30" s="257">
        <f>I14</f>
        <v>17800</v>
      </c>
    </row>
  </sheetData>
  <mergeCells count="10">
    <mergeCell ref="B16:D16"/>
    <mergeCell ref="B3:I3"/>
    <mergeCell ref="B4:I4"/>
    <mergeCell ref="B6:B7"/>
    <mergeCell ref="C6:C7"/>
    <mergeCell ref="D6:D7"/>
    <mergeCell ref="E6:F6"/>
    <mergeCell ref="G6:G7"/>
    <mergeCell ref="H6:H7"/>
    <mergeCell ref="I6:I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2E31-EB5C-474D-A4FF-946F4A80AD80}">
  <sheetPr>
    <tabColor rgb="FFFFFF00"/>
  </sheetPr>
  <dimension ref="A2:S30"/>
  <sheetViews>
    <sheetView topLeftCell="C1" zoomScaleNormal="100" workbookViewId="0">
      <selection activeCell="M12" sqref="M12"/>
    </sheetView>
  </sheetViews>
  <sheetFormatPr defaultColWidth="8.7265625" defaultRowHeight="14.5" outlineLevelCol="1" x14ac:dyDescent="0.35"/>
  <cols>
    <col min="1" max="1" width="8.7265625" style="211" hidden="1" customWidth="1"/>
    <col min="2" max="2" width="18.453125" style="211" customWidth="1"/>
    <col min="3" max="3" width="34.1796875" style="211" bestFit="1" customWidth="1"/>
    <col min="4" max="4" width="14.90625" style="211" customWidth="1"/>
    <col min="5" max="5" width="10.1796875" style="211" customWidth="1" outlineLevel="1"/>
    <col min="6" max="6" width="11" style="211" customWidth="1" outlineLevel="1"/>
    <col min="7" max="7" width="14.08984375" style="211" customWidth="1" outlineLevel="1"/>
    <col min="8" max="8" width="13.08984375" style="211" customWidth="1" outlineLevel="1"/>
    <col min="9" max="9" width="12.453125" style="211" customWidth="1"/>
    <col min="10" max="10" width="17.36328125" style="211" customWidth="1"/>
    <col min="11" max="11" width="10.36328125" style="211" hidden="1" customWidth="1"/>
    <col min="12" max="12" width="10.08984375" style="211" hidden="1" customWidth="1"/>
    <col min="13" max="13" width="8.7265625" style="211"/>
    <col min="14" max="17" width="0" style="211" hidden="1" customWidth="1"/>
    <col min="18" max="18" width="8.7265625" style="880"/>
    <col min="19" max="16384" width="8.7265625" style="211"/>
  </cols>
  <sheetData>
    <row r="2" spans="2:19" ht="15" thickBot="1" x14ac:dyDescent="0.4"/>
    <row r="3" spans="2:19" ht="21" x14ac:dyDescent="0.35">
      <c r="B3" s="1114" t="s">
        <v>477</v>
      </c>
      <c r="C3" s="1115"/>
      <c r="D3" s="1115"/>
      <c r="E3" s="1115"/>
      <c r="F3" s="1115"/>
      <c r="G3" s="1115"/>
      <c r="H3" s="1115"/>
      <c r="I3" s="1116"/>
    </row>
    <row r="4" spans="2:19" ht="29" x14ac:dyDescent="0.35">
      <c r="B4" s="1117"/>
      <c r="C4" s="1118"/>
      <c r="D4" s="1118"/>
      <c r="E4" s="1118"/>
      <c r="F4" s="1118"/>
      <c r="G4" s="1118"/>
      <c r="H4" s="1118"/>
      <c r="I4" s="1119"/>
      <c r="J4" s="1122" t="s">
        <v>483</v>
      </c>
      <c r="K4" s="211" t="s">
        <v>478</v>
      </c>
      <c r="L4" s="515" t="s">
        <v>478</v>
      </c>
      <c r="M4" s="515" t="s">
        <v>478</v>
      </c>
      <c r="N4" s="515" t="s">
        <v>478</v>
      </c>
      <c r="O4" s="515" t="s">
        <v>654</v>
      </c>
      <c r="R4" s="6" t="s">
        <v>948</v>
      </c>
    </row>
    <row r="5" spans="2:19" x14ac:dyDescent="0.35">
      <c r="B5" s="212"/>
      <c r="I5" s="213" t="s">
        <v>479</v>
      </c>
      <c r="J5" s="1123"/>
      <c r="K5" s="214">
        <v>10000</v>
      </c>
      <c r="L5" s="214">
        <v>10000</v>
      </c>
      <c r="M5" s="214">
        <v>11300</v>
      </c>
      <c r="N5" s="214">
        <v>12500</v>
      </c>
      <c r="O5" s="214">
        <v>14000</v>
      </c>
    </row>
    <row r="6" spans="2:19" ht="16" x14ac:dyDescent="0.35">
      <c r="B6" s="1120" t="s">
        <v>480</v>
      </c>
      <c r="C6" s="1122" t="s">
        <v>481</v>
      </c>
      <c r="D6" s="1122" t="s">
        <v>478</v>
      </c>
      <c r="E6" s="1124" t="s">
        <v>482</v>
      </c>
      <c r="F6" s="1125"/>
      <c r="G6" s="1122" t="s">
        <v>949</v>
      </c>
      <c r="H6" s="1126" t="s">
        <v>484</v>
      </c>
      <c r="I6" s="1128" t="s">
        <v>485</v>
      </c>
      <c r="J6" s="214"/>
      <c r="K6" s="214"/>
    </row>
    <row r="7" spans="2:19" ht="16" x14ac:dyDescent="0.35">
      <c r="B7" s="1121"/>
      <c r="C7" s="1123"/>
      <c r="D7" s="1123"/>
      <c r="E7" s="215" t="s">
        <v>486</v>
      </c>
      <c r="F7" s="215" t="s">
        <v>487</v>
      </c>
      <c r="G7" s="1123"/>
      <c r="H7" s="1127"/>
      <c r="I7" s="1129"/>
      <c r="J7" s="214"/>
      <c r="K7" s="214"/>
    </row>
    <row r="8" spans="2:19" ht="16" x14ac:dyDescent="0.35">
      <c r="B8" s="216" t="s">
        <v>488</v>
      </c>
      <c r="C8" s="217"/>
      <c r="D8" s="217"/>
      <c r="E8" s="218"/>
      <c r="F8" s="218"/>
      <c r="G8" s="217"/>
      <c r="H8" s="219"/>
      <c r="I8" s="220"/>
      <c r="J8" s="214"/>
      <c r="K8" s="214"/>
    </row>
    <row r="9" spans="2:19" ht="32" x14ac:dyDescent="0.35">
      <c r="B9" s="221" t="s">
        <v>489</v>
      </c>
      <c r="C9" s="222" t="s">
        <v>490</v>
      </c>
      <c r="D9" s="223">
        <v>11300</v>
      </c>
      <c r="E9" s="224">
        <v>0.11</v>
      </c>
      <c r="F9" s="225">
        <f>D9*E9</f>
        <v>1243</v>
      </c>
      <c r="G9" s="870">
        <f>3500-200</f>
        <v>3300</v>
      </c>
      <c r="H9" s="226">
        <f>D9+F9+G9</f>
        <v>15843</v>
      </c>
      <c r="I9" s="227">
        <v>15800</v>
      </c>
      <c r="J9" s="878">
        <f>I9-D9</f>
        <v>4500</v>
      </c>
      <c r="K9" s="214">
        <v>5000</v>
      </c>
      <c r="L9" s="228">
        <v>15800</v>
      </c>
      <c r="M9" s="214">
        <v>16300</v>
      </c>
      <c r="N9" s="214">
        <v>17500</v>
      </c>
      <c r="O9" s="214">
        <v>18000</v>
      </c>
      <c r="P9" s="214">
        <f>'[5]BOM (DLoc) (18.05)'!$M$7</f>
        <v>17100</v>
      </c>
      <c r="Q9" s="228">
        <f>P9-O9</f>
        <v>-900</v>
      </c>
      <c r="R9" s="881">
        <f>I9-M9</f>
        <v>-500</v>
      </c>
      <c r="S9" s="214">
        <v>5000</v>
      </c>
    </row>
    <row r="10" spans="2:19" ht="16" x14ac:dyDescent="0.35">
      <c r="B10" s="229" t="s">
        <v>491</v>
      </c>
      <c r="C10" s="230" t="s">
        <v>492</v>
      </c>
      <c r="D10" s="223">
        <v>11300</v>
      </c>
      <c r="E10" s="224">
        <v>0.11</v>
      </c>
      <c r="F10" s="231">
        <f>D10*E10</f>
        <v>1243</v>
      </c>
      <c r="G10" s="232">
        <v>500</v>
      </c>
      <c r="H10" s="233">
        <f>D10+F10+G10</f>
        <v>13043</v>
      </c>
      <c r="I10" s="234">
        <v>13000</v>
      </c>
      <c r="J10" s="878">
        <f>I10-D10</f>
        <v>1700</v>
      </c>
      <c r="K10" s="214">
        <v>2000</v>
      </c>
      <c r="L10" s="228">
        <v>12800</v>
      </c>
      <c r="M10" s="214">
        <v>13300</v>
      </c>
      <c r="N10" s="214">
        <v>14500</v>
      </c>
      <c r="O10" s="214">
        <v>15000</v>
      </c>
      <c r="P10" s="214"/>
      <c r="R10" s="881">
        <f t="shared" ref="R10:R12" si="0">I10-M10</f>
        <v>-300</v>
      </c>
      <c r="S10" s="214">
        <v>2000</v>
      </c>
    </row>
    <row r="11" spans="2:19" ht="16" x14ac:dyDescent="0.35">
      <c r="B11" s="229" t="s">
        <v>493</v>
      </c>
      <c r="C11" s="230" t="s">
        <v>494</v>
      </c>
      <c r="D11" s="223">
        <v>11300</v>
      </c>
      <c r="E11" s="224">
        <v>0.11</v>
      </c>
      <c r="F11" s="231">
        <f>D11*E11</f>
        <v>1243</v>
      </c>
      <c r="G11" s="869">
        <f>2000-200</f>
        <v>1800</v>
      </c>
      <c r="H11" s="233">
        <f>D11+F11+G11</f>
        <v>14343</v>
      </c>
      <c r="I11" s="234">
        <v>14300</v>
      </c>
      <c r="J11" s="878">
        <f>I11-D11</f>
        <v>3000</v>
      </c>
      <c r="K11" s="214">
        <v>3500</v>
      </c>
      <c r="L11" s="228">
        <v>14300</v>
      </c>
      <c r="M11" s="214">
        <v>14800</v>
      </c>
      <c r="N11" s="214">
        <v>16000</v>
      </c>
      <c r="O11" s="214">
        <v>16500</v>
      </c>
      <c r="P11" s="214">
        <f>'[5]BOM (DLoc) (18.05)'!$M$13</f>
        <v>14100</v>
      </c>
      <c r="Q11" s="228">
        <f>P11-O11</f>
        <v>-2400</v>
      </c>
      <c r="R11" s="881">
        <f t="shared" si="0"/>
        <v>-500</v>
      </c>
      <c r="S11" s="214">
        <v>3500</v>
      </c>
    </row>
    <row r="12" spans="2:19" ht="16" x14ac:dyDescent="0.35">
      <c r="B12" s="235" t="s">
        <v>495</v>
      </c>
      <c r="C12" s="236" t="s">
        <v>496</v>
      </c>
      <c r="D12" s="879">
        <v>11300</v>
      </c>
      <c r="E12" s="224">
        <v>0.11</v>
      </c>
      <c r="F12" s="237">
        <f>D12*E12</f>
        <v>1243</v>
      </c>
      <c r="G12" s="238">
        <v>-5000</v>
      </c>
      <c r="H12" s="239">
        <f>D12+F12+G12</f>
        <v>7543</v>
      </c>
      <c r="I12" s="240">
        <v>7500</v>
      </c>
      <c r="J12" s="214">
        <f>I12-D12</f>
        <v>-3800</v>
      </c>
      <c r="K12" s="214">
        <v>-3500</v>
      </c>
      <c r="L12" s="228">
        <v>7300</v>
      </c>
      <c r="M12" s="214">
        <v>7800</v>
      </c>
      <c r="N12" s="214">
        <v>9000</v>
      </c>
      <c r="O12" s="214">
        <v>9500</v>
      </c>
      <c r="P12" s="214">
        <f>'[5]BOM (DLoc) (18.05)'!$M$14</f>
        <v>7300</v>
      </c>
      <c r="Q12" s="228">
        <f>P12-O12</f>
        <v>-2200</v>
      </c>
      <c r="R12" s="881">
        <f t="shared" si="0"/>
        <v>-300</v>
      </c>
      <c r="S12" s="214">
        <v>-3500</v>
      </c>
    </row>
    <row r="13" spans="2:19" ht="16" x14ac:dyDescent="0.35">
      <c r="B13" s="216" t="s">
        <v>497</v>
      </c>
      <c r="C13" s="217"/>
      <c r="D13" s="217"/>
      <c r="E13" s="218"/>
      <c r="F13" s="218"/>
      <c r="G13" s="217"/>
      <c r="H13" s="219"/>
      <c r="I13" s="220"/>
      <c r="J13" s="214"/>
      <c r="K13" s="214"/>
      <c r="L13" s="228">
        <f t="shared" ref="L13" si="1">J13-K13</f>
        <v>0</v>
      </c>
      <c r="S13" s="214"/>
    </row>
    <row r="14" spans="2:19" ht="16.5" thickBot="1" x14ac:dyDescent="0.4">
      <c r="B14" s="241" t="s">
        <v>498</v>
      </c>
      <c r="C14" s="242" t="s">
        <v>499</v>
      </c>
      <c r="D14" s="243">
        <f>I11</f>
        <v>14300</v>
      </c>
      <c r="E14" s="244">
        <v>0.08</v>
      </c>
      <c r="F14" s="245">
        <f>D14*E14</f>
        <v>1144</v>
      </c>
      <c r="G14" s="243">
        <v>2000</v>
      </c>
      <c r="H14" s="246">
        <f>D14+F14+G14</f>
        <v>17444</v>
      </c>
      <c r="I14" s="247">
        <v>17300</v>
      </c>
      <c r="J14" s="214">
        <f>I14-D14</f>
        <v>3000</v>
      </c>
      <c r="K14" s="214">
        <v>3000</v>
      </c>
      <c r="L14" s="228">
        <v>17300</v>
      </c>
      <c r="M14" s="214">
        <v>17800</v>
      </c>
      <c r="N14" s="214">
        <v>19000</v>
      </c>
      <c r="O14" s="214">
        <v>19000</v>
      </c>
      <c r="R14" s="881">
        <f>I14-M14</f>
        <v>-500</v>
      </c>
      <c r="S14" s="214">
        <v>3000</v>
      </c>
    </row>
    <row r="15" spans="2:19" x14ac:dyDescent="0.35">
      <c r="C15" s="211" t="s">
        <v>747</v>
      </c>
      <c r="K15" s="214">
        <v>-8000</v>
      </c>
      <c r="S15" s="214">
        <v>-8000</v>
      </c>
    </row>
    <row r="16" spans="2:19" x14ac:dyDescent="0.35">
      <c r="B16" s="1113" t="s">
        <v>500</v>
      </c>
      <c r="C16" s="1113"/>
      <c r="D16" s="1113"/>
    </row>
    <row r="17" spans="2:18" x14ac:dyDescent="0.35">
      <c r="B17" s="248" t="s">
        <v>71</v>
      </c>
      <c r="C17" s="249" t="s">
        <v>501</v>
      </c>
      <c r="D17" s="248" t="s">
        <v>502</v>
      </c>
    </row>
    <row r="18" spans="2:18" x14ac:dyDescent="0.35">
      <c r="B18" s="250"/>
      <c r="C18" s="251" t="s">
        <v>503</v>
      </c>
      <c r="D18" s="252">
        <f>$I$9</f>
        <v>15800</v>
      </c>
    </row>
    <row r="19" spans="2:18" x14ac:dyDescent="0.35">
      <c r="B19" s="250"/>
      <c r="C19" s="251" t="s">
        <v>504</v>
      </c>
      <c r="D19" s="253">
        <f>D18-500</f>
        <v>15300</v>
      </c>
    </row>
    <row r="20" spans="2:18" x14ac:dyDescent="0.35">
      <c r="B20" s="250"/>
      <c r="C20" s="251" t="s">
        <v>50</v>
      </c>
      <c r="D20" s="252">
        <f>$I$9</f>
        <v>15800</v>
      </c>
    </row>
    <row r="21" spans="2:18" x14ac:dyDescent="0.35">
      <c r="B21" s="250">
        <v>150000004</v>
      </c>
      <c r="C21" s="251" t="s">
        <v>23</v>
      </c>
      <c r="D21" s="252">
        <f>$I$9</f>
        <v>15800</v>
      </c>
    </row>
    <row r="22" spans="2:18" x14ac:dyDescent="0.35">
      <c r="B22" s="250">
        <v>150000050</v>
      </c>
      <c r="C22" s="251" t="s">
        <v>22</v>
      </c>
      <c r="D22" s="252">
        <f>$I$11</f>
        <v>14300</v>
      </c>
    </row>
    <row r="23" spans="2:18" x14ac:dyDescent="0.35">
      <c r="B23" s="250">
        <v>150000005</v>
      </c>
      <c r="C23" s="251" t="s">
        <v>25</v>
      </c>
      <c r="D23" s="252">
        <f>$I$9</f>
        <v>15800</v>
      </c>
    </row>
    <row r="24" spans="2:18" x14ac:dyDescent="0.35">
      <c r="B24" s="250">
        <v>150000014</v>
      </c>
      <c r="C24" s="251" t="s">
        <v>27</v>
      </c>
      <c r="D24" s="252">
        <f>$I$10</f>
        <v>13000</v>
      </c>
    </row>
    <row r="25" spans="2:18" x14ac:dyDescent="0.35">
      <c r="B25" s="250">
        <v>150000015</v>
      </c>
      <c r="C25" s="251" t="s">
        <v>29</v>
      </c>
      <c r="D25" s="252">
        <f>$I$10</f>
        <v>13000</v>
      </c>
    </row>
    <row r="26" spans="2:18" x14ac:dyDescent="0.35">
      <c r="B26" s="250">
        <v>150000016</v>
      </c>
      <c r="C26" s="251" t="s">
        <v>32</v>
      </c>
      <c r="D26" s="252">
        <f>$I$9</f>
        <v>15800</v>
      </c>
    </row>
    <row r="27" spans="2:18" x14ac:dyDescent="0.35">
      <c r="B27" s="250">
        <v>150000114</v>
      </c>
      <c r="C27" s="251" t="s">
        <v>19</v>
      </c>
      <c r="D27" s="252">
        <f>$I$11</f>
        <v>14300</v>
      </c>
    </row>
    <row r="28" spans="2:18" s="254" customFormat="1" x14ac:dyDescent="0.35">
      <c r="B28" s="250"/>
      <c r="C28" s="251" t="s">
        <v>505</v>
      </c>
      <c r="D28" s="252">
        <f>$I$12</f>
        <v>7500</v>
      </c>
      <c r="G28" s="211"/>
      <c r="H28" s="211"/>
      <c r="R28" s="882"/>
    </row>
    <row r="29" spans="2:18" x14ac:dyDescent="0.35">
      <c r="B29" s="250"/>
      <c r="C29" s="251" t="s">
        <v>506</v>
      </c>
      <c r="D29" s="252">
        <f>$I$12</f>
        <v>7500</v>
      </c>
    </row>
    <row r="30" spans="2:18" x14ac:dyDescent="0.35">
      <c r="B30" s="255">
        <v>150000061</v>
      </c>
      <c r="C30" s="256" t="s">
        <v>45</v>
      </c>
      <c r="D30" s="257">
        <f>I14</f>
        <v>17300</v>
      </c>
    </row>
  </sheetData>
  <mergeCells count="11">
    <mergeCell ref="J4:J5"/>
    <mergeCell ref="B16:D16"/>
    <mergeCell ref="B3:I3"/>
    <mergeCell ref="B4:I4"/>
    <mergeCell ref="B6:B7"/>
    <mergeCell ref="C6:C7"/>
    <mergeCell ref="D6:D7"/>
    <mergeCell ref="E6:F6"/>
    <mergeCell ref="G6:G7"/>
    <mergeCell ref="H6:H7"/>
    <mergeCell ref="I6:I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10D2-2330-403E-A14C-11982C556573}">
  <sheetPr>
    <tabColor rgb="FFFFFF00"/>
  </sheetPr>
  <dimension ref="A2:R30"/>
  <sheetViews>
    <sheetView topLeftCell="C1" zoomScaleNormal="100" workbookViewId="0">
      <selection activeCell="H12" sqref="H12"/>
    </sheetView>
  </sheetViews>
  <sheetFormatPr defaultColWidth="8.7265625" defaultRowHeight="14.5" outlineLevelCol="1" x14ac:dyDescent="0.35"/>
  <cols>
    <col min="1" max="1" width="8.7265625" style="211" hidden="1" customWidth="1"/>
    <col min="2" max="2" width="18.453125" style="211" customWidth="1"/>
    <col min="3" max="3" width="34.1796875" style="211" bestFit="1" customWidth="1"/>
    <col min="4" max="4" width="14.90625" style="211" customWidth="1"/>
    <col min="5" max="5" width="10.1796875" style="211" customWidth="1" outlineLevel="1"/>
    <col min="6" max="6" width="11" style="211" customWidth="1" outlineLevel="1"/>
    <col min="7" max="7" width="14.08984375" style="211" customWidth="1" outlineLevel="1"/>
    <col min="8" max="8" width="13.08984375" style="211" customWidth="1" outlineLevel="1"/>
    <col min="9" max="9" width="12.453125" style="211" customWidth="1"/>
    <col min="10" max="10" width="7.7265625" style="211" bestFit="1" customWidth="1"/>
    <col min="11" max="11" width="10.36328125" style="211" bestFit="1" customWidth="1"/>
    <col min="12" max="12" width="10.08984375" style="211" customWidth="1"/>
    <col min="13" max="17" width="8.7265625" style="211"/>
    <col min="18" max="18" width="8.7265625" style="880"/>
    <col min="19" max="16384" width="8.7265625" style="211"/>
  </cols>
  <sheetData>
    <row r="2" spans="2:18" ht="15" thickBot="1" x14ac:dyDescent="0.4"/>
    <row r="3" spans="2:18" ht="21" x14ac:dyDescent="0.35">
      <c r="B3" s="1114" t="s">
        <v>477</v>
      </c>
      <c r="C3" s="1115"/>
      <c r="D3" s="1115"/>
      <c r="E3" s="1115"/>
      <c r="F3" s="1115"/>
      <c r="G3" s="1115"/>
      <c r="H3" s="1115"/>
      <c r="I3" s="1116"/>
    </row>
    <row r="4" spans="2:18" ht="16" x14ac:dyDescent="0.35">
      <c r="B4" s="1117"/>
      <c r="C4" s="1118"/>
      <c r="D4" s="1118"/>
      <c r="E4" s="1118"/>
      <c r="F4" s="1118"/>
      <c r="G4" s="1118"/>
      <c r="H4" s="1118"/>
      <c r="I4" s="1119"/>
      <c r="J4" s="211" t="s">
        <v>478</v>
      </c>
      <c r="K4" s="211" t="s">
        <v>478</v>
      </c>
      <c r="L4" s="515" t="s">
        <v>478</v>
      </c>
      <c r="M4" s="515" t="s">
        <v>478</v>
      </c>
      <c r="N4" s="515" t="s">
        <v>478</v>
      </c>
      <c r="O4" s="515" t="s">
        <v>654</v>
      </c>
      <c r="R4" s="880" t="s">
        <v>948</v>
      </c>
    </row>
    <row r="5" spans="2:18" x14ac:dyDescent="0.35">
      <c r="B5" s="212"/>
      <c r="I5" s="213" t="s">
        <v>479</v>
      </c>
      <c r="J5" s="214">
        <v>9500</v>
      </c>
      <c r="K5" s="214">
        <v>10000</v>
      </c>
      <c r="L5" s="214">
        <v>10000</v>
      </c>
      <c r="M5" s="214">
        <v>11300</v>
      </c>
      <c r="N5" s="214">
        <v>12500</v>
      </c>
      <c r="O5" s="214">
        <v>14000</v>
      </c>
    </row>
    <row r="6" spans="2:18" ht="16" x14ac:dyDescent="0.35">
      <c r="B6" s="1120" t="s">
        <v>480</v>
      </c>
      <c r="C6" s="1122" t="s">
        <v>481</v>
      </c>
      <c r="D6" s="1122" t="s">
        <v>478</v>
      </c>
      <c r="E6" s="1124" t="s">
        <v>482</v>
      </c>
      <c r="F6" s="1125"/>
      <c r="G6" s="1122" t="s">
        <v>483</v>
      </c>
      <c r="H6" s="1126" t="s">
        <v>484</v>
      </c>
      <c r="I6" s="1128" t="s">
        <v>485</v>
      </c>
      <c r="J6" s="214"/>
      <c r="K6" s="214"/>
    </row>
    <row r="7" spans="2:18" ht="16" x14ac:dyDescent="0.35">
      <c r="B7" s="1121"/>
      <c r="C7" s="1123"/>
      <c r="D7" s="1123"/>
      <c r="E7" s="215" t="s">
        <v>486</v>
      </c>
      <c r="F7" s="215" t="s">
        <v>487</v>
      </c>
      <c r="G7" s="1123"/>
      <c r="H7" s="1127"/>
      <c r="I7" s="1129"/>
      <c r="J7" s="214"/>
      <c r="K7" s="214"/>
    </row>
    <row r="8" spans="2:18" ht="16" x14ac:dyDescent="0.35">
      <c r="B8" s="216" t="s">
        <v>488</v>
      </c>
      <c r="C8" s="217"/>
      <c r="D8" s="217"/>
      <c r="E8" s="218"/>
      <c r="F8" s="218"/>
      <c r="G8" s="217"/>
      <c r="H8" s="219"/>
      <c r="I8" s="220"/>
      <c r="J8" s="214"/>
      <c r="K8" s="214"/>
    </row>
    <row r="9" spans="2:18" ht="32" x14ac:dyDescent="0.35">
      <c r="B9" s="221" t="s">
        <v>489</v>
      </c>
      <c r="C9" s="222" t="s">
        <v>490</v>
      </c>
      <c r="D9" s="223">
        <v>11300</v>
      </c>
      <c r="E9" s="224">
        <v>0.11</v>
      </c>
      <c r="F9" s="225">
        <f>D9*E9</f>
        <v>1243</v>
      </c>
      <c r="G9" s="870">
        <f>3500-200</f>
        <v>3300</v>
      </c>
      <c r="H9" s="226">
        <f>D9+F9+G9</f>
        <v>15843</v>
      </c>
      <c r="I9" s="227">
        <v>15800</v>
      </c>
      <c r="J9" s="878">
        <f>I9-D9</f>
        <v>4500</v>
      </c>
      <c r="K9" s="214">
        <v>5000</v>
      </c>
      <c r="L9" s="228">
        <v>15800</v>
      </c>
      <c r="M9" s="214">
        <v>16300</v>
      </c>
      <c r="N9" s="214">
        <v>17500</v>
      </c>
      <c r="O9" s="214">
        <v>18000</v>
      </c>
      <c r="P9" s="214">
        <f>'[5]BOM (DLoc) (18.05)'!$M$7</f>
        <v>17100</v>
      </c>
      <c r="Q9" s="228">
        <f>P9-O9</f>
        <v>-900</v>
      </c>
      <c r="R9" s="881">
        <f>I9-M9</f>
        <v>-500</v>
      </c>
    </row>
    <row r="10" spans="2:18" ht="16" x14ac:dyDescent="0.35">
      <c r="B10" s="229" t="s">
        <v>491</v>
      </c>
      <c r="C10" s="230" t="s">
        <v>492</v>
      </c>
      <c r="D10" s="223">
        <v>11300</v>
      </c>
      <c r="E10" s="224">
        <v>0.11</v>
      </c>
      <c r="F10" s="231">
        <f>D10*E10</f>
        <v>1243</v>
      </c>
      <c r="G10" s="232">
        <v>500</v>
      </c>
      <c r="H10" s="233">
        <f>D10+F10+G10</f>
        <v>13043</v>
      </c>
      <c r="I10" s="234">
        <v>13000</v>
      </c>
      <c r="J10" s="878">
        <f>I10-D10</f>
        <v>1700</v>
      </c>
      <c r="K10" s="214">
        <v>2000</v>
      </c>
      <c r="L10" s="228">
        <v>12800</v>
      </c>
      <c r="M10" s="214">
        <v>13300</v>
      </c>
      <c r="N10" s="214">
        <v>14500</v>
      </c>
      <c r="O10" s="214">
        <v>15000</v>
      </c>
      <c r="P10" s="214"/>
      <c r="R10" s="881">
        <f t="shared" ref="R10:R12" si="0">I10-M10</f>
        <v>-300</v>
      </c>
    </row>
    <row r="11" spans="2:18" ht="16" x14ac:dyDescent="0.35">
      <c r="B11" s="229" t="s">
        <v>493</v>
      </c>
      <c r="C11" s="230" t="s">
        <v>494</v>
      </c>
      <c r="D11" s="223">
        <v>11300</v>
      </c>
      <c r="E11" s="224">
        <v>0.11</v>
      </c>
      <c r="F11" s="231">
        <f>D11*E11</f>
        <v>1243</v>
      </c>
      <c r="G11" s="869">
        <f>2000-200</f>
        <v>1800</v>
      </c>
      <c r="H11" s="233">
        <f>D11+F11+G11</f>
        <v>14343</v>
      </c>
      <c r="I11" s="234">
        <v>14300</v>
      </c>
      <c r="J11" s="878">
        <f>I11-D11</f>
        <v>3000</v>
      </c>
      <c r="K11" s="214">
        <v>3500</v>
      </c>
      <c r="L11" s="228">
        <v>14300</v>
      </c>
      <c r="M11" s="214">
        <v>14800</v>
      </c>
      <c r="N11" s="214">
        <v>16000</v>
      </c>
      <c r="O11" s="214">
        <v>16500</v>
      </c>
      <c r="P11" s="214">
        <f>'[5]BOM (DLoc) (18.05)'!$M$13</f>
        <v>14100</v>
      </c>
      <c r="Q11" s="228">
        <f>P11-O11</f>
        <v>-2400</v>
      </c>
      <c r="R11" s="881">
        <f t="shared" si="0"/>
        <v>-500</v>
      </c>
    </row>
    <row r="12" spans="2:18" ht="16" x14ac:dyDescent="0.35">
      <c r="B12" s="235" t="s">
        <v>495</v>
      </c>
      <c r="C12" s="236" t="s">
        <v>496</v>
      </c>
      <c r="D12" s="223">
        <v>11300</v>
      </c>
      <c r="E12" s="224">
        <v>0.11</v>
      </c>
      <c r="F12" s="237">
        <f>D12*E12</f>
        <v>1243</v>
      </c>
      <c r="G12" s="238">
        <v>-5000</v>
      </c>
      <c r="H12" s="239">
        <f>D12+F12+G12</f>
        <v>7543</v>
      </c>
      <c r="I12" s="240">
        <v>7500</v>
      </c>
      <c r="J12" s="214">
        <f>I12-D12</f>
        <v>-3800</v>
      </c>
      <c r="K12" s="214">
        <v>-3500</v>
      </c>
      <c r="L12" s="228">
        <v>7300</v>
      </c>
      <c r="M12" s="214">
        <v>7800</v>
      </c>
      <c r="N12" s="214">
        <v>9000</v>
      </c>
      <c r="O12" s="214">
        <v>9500</v>
      </c>
      <c r="P12" s="214">
        <f>'[5]BOM (DLoc) (18.05)'!$M$14</f>
        <v>7300</v>
      </c>
      <c r="Q12" s="228">
        <f>P12-O12</f>
        <v>-2200</v>
      </c>
      <c r="R12" s="881">
        <f t="shared" si="0"/>
        <v>-300</v>
      </c>
    </row>
    <row r="13" spans="2:18" ht="16" x14ac:dyDescent="0.35">
      <c r="B13" s="216" t="s">
        <v>497</v>
      </c>
      <c r="C13" s="217"/>
      <c r="D13" s="217"/>
      <c r="E13" s="218"/>
      <c r="F13" s="218"/>
      <c r="G13" s="217"/>
      <c r="H13" s="219"/>
      <c r="I13" s="220"/>
      <c r="J13" s="214"/>
      <c r="K13" s="214"/>
      <c r="L13" s="228">
        <f t="shared" ref="L13" si="1">J13-K13</f>
        <v>0</v>
      </c>
    </row>
    <row r="14" spans="2:18" ht="16.5" thickBot="1" x14ac:dyDescent="0.4">
      <c r="B14" s="241" t="s">
        <v>498</v>
      </c>
      <c r="C14" s="242" t="s">
        <v>499</v>
      </c>
      <c r="D14" s="243">
        <f>I11</f>
        <v>14300</v>
      </c>
      <c r="E14" s="244">
        <v>0.08</v>
      </c>
      <c r="F14" s="245">
        <f>D14*E14</f>
        <v>1144</v>
      </c>
      <c r="G14" s="243">
        <v>2000</v>
      </c>
      <c r="H14" s="246">
        <f>D14+F14+G14</f>
        <v>17444</v>
      </c>
      <c r="I14" s="247">
        <v>17300</v>
      </c>
      <c r="J14" s="214">
        <f>I14-D14</f>
        <v>3000</v>
      </c>
      <c r="K14" s="214">
        <v>3000</v>
      </c>
      <c r="L14" s="228">
        <v>17300</v>
      </c>
      <c r="M14" s="214">
        <v>17800</v>
      </c>
      <c r="N14" s="214">
        <v>19000</v>
      </c>
      <c r="O14" s="214">
        <v>19000</v>
      </c>
      <c r="R14" s="881">
        <f>I14-M14</f>
        <v>-500</v>
      </c>
    </row>
    <row r="15" spans="2:18" x14ac:dyDescent="0.35">
      <c r="C15" s="211" t="s">
        <v>747</v>
      </c>
      <c r="K15" s="214">
        <v>-8000</v>
      </c>
    </row>
    <row r="16" spans="2:18" x14ac:dyDescent="0.35">
      <c r="B16" s="1113" t="s">
        <v>500</v>
      </c>
      <c r="C16" s="1113"/>
      <c r="D16" s="1113"/>
    </row>
    <row r="17" spans="2:18" x14ac:dyDescent="0.35">
      <c r="B17" s="248" t="s">
        <v>71</v>
      </c>
      <c r="C17" s="249" t="s">
        <v>501</v>
      </c>
      <c r="D17" s="248" t="s">
        <v>502</v>
      </c>
    </row>
    <row r="18" spans="2:18" x14ac:dyDescent="0.35">
      <c r="B18" s="250"/>
      <c r="C18" s="251" t="s">
        <v>503</v>
      </c>
      <c r="D18" s="252">
        <f>$I$9</f>
        <v>15800</v>
      </c>
    </row>
    <row r="19" spans="2:18" x14ac:dyDescent="0.35">
      <c r="B19" s="250"/>
      <c r="C19" s="251" t="s">
        <v>504</v>
      </c>
      <c r="D19" s="253">
        <f>D18-500</f>
        <v>15300</v>
      </c>
    </row>
    <row r="20" spans="2:18" x14ac:dyDescent="0.35">
      <c r="B20" s="250"/>
      <c r="C20" s="251" t="s">
        <v>50</v>
      </c>
      <c r="D20" s="252">
        <f>$I$9</f>
        <v>15800</v>
      </c>
    </row>
    <row r="21" spans="2:18" x14ac:dyDescent="0.35">
      <c r="B21" s="250">
        <v>150000004</v>
      </c>
      <c r="C21" s="251" t="s">
        <v>23</v>
      </c>
      <c r="D21" s="252">
        <f>$I$9</f>
        <v>15800</v>
      </c>
    </row>
    <row r="22" spans="2:18" x14ac:dyDescent="0.35">
      <c r="B22" s="250">
        <v>150000050</v>
      </c>
      <c r="C22" s="251" t="s">
        <v>22</v>
      </c>
      <c r="D22" s="252">
        <f>$I$11</f>
        <v>14300</v>
      </c>
    </row>
    <row r="23" spans="2:18" x14ac:dyDescent="0.35">
      <c r="B23" s="250">
        <v>150000005</v>
      </c>
      <c r="C23" s="251" t="s">
        <v>25</v>
      </c>
      <c r="D23" s="252">
        <f>$I$9</f>
        <v>15800</v>
      </c>
    </row>
    <row r="24" spans="2:18" x14ac:dyDescent="0.35">
      <c r="B24" s="250">
        <v>150000014</v>
      </c>
      <c r="C24" s="251" t="s">
        <v>27</v>
      </c>
      <c r="D24" s="252">
        <f>$I$10</f>
        <v>13000</v>
      </c>
    </row>
    <row r="25" spans="2:18" x14ac:dyDescent="0.35">
      <c r="B25" s="250">
        <v>150000015</v>
      </c>
      <c r="C25" s="251" t="s">
        <v>29</v>
      </c>
      <c r="D25" s="252">
        <f>$I$10</f>
        <v>13000</v>
      </c>
    </row>
    <row r="26" spans="2:18" x14ac:dyDescent="0.35">
      <c r="B26" s="250">
        <v>150000016</v>
      </c>
      <c r="C26" s="251" t="s">
        <v>32</v>
      </c>
      <c r="D26" s="252">
        <f>$I$9</f>
        <v>15800</v>
      </c>
    </row>
    <row r="27" spans="2:18" x14ac:dyDescent="0.35">
      <c r="B27" s="250">
        <v>150000114</v>
      </c>
      <c r="C27" s="251" t="s">
        <v>19</v>
      </c>
      <c r="D27" s="252">
        <f>$I$11</f>
        <v>14300</v>
      </c>
    </row>
    <row r="28" spans="2:18" s="254" customFormat="1" x14ac:dyDescent="0.35">
      <c r="B28" s="250"/>
      <c r="C28" s="251" t="s">
        <v>505</v>
      </c>
      <c r="D28" s="252">
        <f>$I$12</f>
        <v>7500</v>
      </c>
      <c r="G28" s="211"/>
      <c r="H28" s="211"/>
      <c r="R28" s="882"/>
    </row>
    <row r="29" spans="2:18" x14ac:dyDescent="0.35">
      <c r="B29" s="250"/>
      <c r="C29" s="251" t="s">
        <v>506</v>
      </c>
      <c r="D29" s="252">
        <f>$I$12</f>
        <v>7500</v>
      </c>
    </row>
    <row r="30" spans="2:18" x14ac:dyDescent="0.35">
      <c r="B30" s="255">
        <v>150000061</v>
      </c>
      <c r="C30" s="256" t="s">
        <v>45</v>
      </c>
      <c r="D30" s="257">
        <f>I14</f>
        <v>17300</v>
      </c>
    </row>
  </sheetData>
  <mergeCells count="10">
    <mergeCell ref="B16:D16"/>
    <mergeCell ref="B3:I3"/>
    <mergeCell ref="B4:I4"/>
    <mergeCell ref="B6:B7"/>
    <mergeCell ref="C6:C7"/>
    <mergeCell ref="D6:D7"/>
    <mergeCell ref="E6:F6"/>
    <mergeCell ref="G6:G7"/>
    <mergeCell ref="H6:H7"/>
    <mergeCell ref="I6:I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8602-8234-4787-BA46-6035A9CB693F}">
  <sheetPr>
    <tabColor rgb="FFFFFF00"/>
  </sheetPr>
  <dimension ref="A2:Q30"/>
  <sheetViews>
    <sheetView topLeftCell="D1" zoomScaleNormal="100" workbookViewId="0">
      <selection activeCell="G9" sqref="G9"/>
    </sheetView>
  </sheetViews>
  <sheetFormatPr defaultColWidth="8.7265625" defaultRowHeight="14.5" outlineLevelCol="1" x14ac:dyDescent="0.35"/>
  <cols>
    <col min="1" max="1" width="8.7265625" style="211" hidden="1" customWidth="1"/>
    <col min="2" max="2" width="18.453125" style="211" customWidth="1"/>
    <col min="3" max="3" width="34.1796875" style="211" bestFit="1" customWidth="1"/>
    <col min="4" max="4" width="14.90625" style="211" customWidth="1"/>
    <col min="5" max="5" width="10.1796875" style="211" customWidth="1" outlineLevel="1"/>
    <col min="6" max="6" width="11" style="211" customWidth="1" outlineLevel="1"/>
    <col min="7" max="7" width="14.08984375" style="211" customWidth="1" outlineLevel="1"/>
    <col min="8" max="8" width="13.08984375" style="211" customWidth="1" outlineLevel="1"/>
    <col min="9" max="9" width="12.453125" style="211" customWidth="1"/>
    <col min="10" max="10" width="7.7265625" style="211" bestFit="1" customWidth="1"/>
    <col min="11" max="11" width="10.36328125" style="211" bestFit="1" customWidth="1"/>
    <col min="12" max="12" width="10.08984375" style="211" customWidth="1"/>
    <col min="13" max="16384" width="8.7265625" style="211"/>
  </cols>
  <sheetData>
    <row r="2" spans="2:17" ht="15" thickBot="1" x14ac:dyDescent="0.4"/>
    <row r="3" spans="2:17" ht="21" x14ac:dyDescent="0.35">
      <c r="B3" s="1114" t="s">
        <v>477</v>
      </c>
      <c r="C3" s="1115"/>
      <c r="D3" s="1115"/>
      <c r="E3" s="1115"/>
      <c r="F3" s="1115"/>
      <c r="G3" s="1115"/>
      <c r="H3" s="1115"/>
      <c r="I3" s="1116"/>
    </row>
    <row r="4" spans="2:17" ht="16" x14ac:dyDescent="0.35">
      <c r="B4" s="1117"/>
      <c r="C4" s="1118"/>
      <c r="D4" s="1118"/>
      <c r="E4" s="1118"/>
      <c r="F4" s="1118"/>
      <c r="G4" s="1118"/>
      <c r="H4" s="1118"/>
      <c r="I4" s="1119"/>
      <c r="J4" s="211" t="s">
        <v>478</v>
      </c>
      <c r="K4" s="211" t="s">
        <v>478</v>
      </c>
      <c r="L4" s="515" t="s">
        <v>478</v>
      </c>
      <c r="M4" s="515" t="s">
        <v>478</v>
      </c>
      <c r="N4" s="515" t="s">
        <v>478</v>
      </c>
      <c r="O4" s="515" t="s">
        <v>654</v>
      </c>
    </row>
    <row r="5" spans="2:17" x14ac:dyDescent="0.35">
      <c r="B5" s="212"/>
      <c r="I5" s="213" t="s">
        <v>479</v>
      </c>
      <c r="J5" s="214">
        <v>9500</v>
      </c>
      <c r="K5" s="214">
        <v>10000</v>
      </c>
      <c r="L5" s="214">
        <v>10000</v>
      </c>
      <c r="M5" s="214">
        <v>11300</v>
      </c>
      <c r="N5" s="214">
        <v>12500</v>
      </c>
      <c r="O5" s="214">
        <v>14000</v>
      </c>
    </row>
    <row r="6" spans="2:17" ht="16" x14ac:dyDescent="0.35">
      <c r="B6" s="1120" t="s">
        <v>480</v>
      </c>
      <c r="C6" s="1122" t="s">
        <v>481</v>
      </c>
      <c r="D6" s="1122" t="s">
        <v>478</v>
      </c>
      <c r="E6" s="1124" t="s">
        <v>482</v>
      </c>
      <c r="F6" s="1125"/>
      <c r="G6" s="1122" t="s">
        <v>483</v>
      </c>
      <c r="H6" s="1126" t="s">
        <v>484</v>
      </c>
      <c r="I6" s="1128" t="s">
        <v>485</v>
      </c>
      <c r="J6" s="214"/>
      <c r="K6" s="214"/>
    </row>
    <row r="7" spans="2:17" ht="16" x14ac:dyDescent="0.35">
      <c r="B7" s="1121"/>
      <c r="C7" s="1123"/>
      <c r="D7" s="1123"/>
      <c r="E7" s="215" t="s">
        <v>486</v>
      </c>
      <c r="F7" s="215" t="s">
        <v>487</v>
      </c>
      <c r="G7" s="1123"/>
      <c r="H7" s="1127"/>
      <c r="I7" s="1129"/>
      <c r="J7" s="214"/>
      <c r="K7" s="214"/>
    </row>
    <row r="8" spans="2:17" ht="16" x14ac:dyDescent="0.35">
      <c r="B8" s="216" t="s">
        <v>488</v>
      </c>
      <c r="C8" s="217"/>
      <c r="D8" s="217"/>
      <c r="E8" s="218"/>
      <c r="F8" s="218"/>
      <c r="G8" s="217"/>
      <c r="H8" s="219"/>
      <c r="I8" s="220"/>
      <c r="J8" s="214"/>
      <c r="K8" s="214"/>
    </row>
    <row r="9" spans="2:17" ht="32" x14ac:dyDescent="0.35">
      <c r="B9" s="221" t="s">
        <v>489</v>
      </c>
      <c r="C9" s="222" t="s">
        <v>490</v>
      </c>
      <c r="D9" s="223">
        <v>11300</v>
      </c>
      <c r="E9" s="224">
        <v>0.11</v>
      </c>
      <c r="F9" s="225">
        <f>D9*E9</f>
        <v>1243</v>
      </c>
      <c r="G9" s="870">
        <f>3500+200</f>
        <v>3700</v>
      </c>
      <c r="H9" s="226">
        <f>D9+F9+G9</f>
        <v>16243</v>
      </c>
      <c r="I9" s="227">
        <v>16300</v>
      </c>
      <c r="J9" s="871">
        <f>I9-D9</f>
        <v>5000</v>
      </c>
      <c r="K9" s="214">
        <v>5000</v>
      </c>
      <c r="L9" s="228">
        <v>15800</v>
      </c>
      <c r="M9" s="214">
        <v>16300</v>
      </c>
      <c r="N9" s="214">
        <v>17500</v>
      </c>
      <c r="O9" s="214">
        <v>18000</v>
      </c>
      <c r="P9" s="214">
        <f>'[5]BOM (DLoc) (18.05)'!$M$7</f>
        <v>17100</v>
      </c>
      <c r="Q9" s="228">
        <f>P9-O9</f>
        <v>-900</v>
      </c>
    </row>
    <row r="10" spans="2:17" ht="16" x14ac:dyDescent="0.35">
      <c r="B10" s="229" t="s">
        <v>491</v>
      </c>
      <c r="C10" s="230" t="s">
        <v>492</v>
      </c>
      <c r="D10" s="223">
        <v>11300</v>
      </c>
      <c r="E10" s="224">
        <v>0.11</v>
      </c>
      <c r="F10" s="231">
        <f>D10*E10</f>
        <v>1243</v>
      </c>
      <c r="G10" s="869">
        <f>500+200</f>
        <v>700</v>
      </c>
      <c r="H10" s="233">
        <f>D10+F10+G10</f>
        <v>13243</v>
      </c>
      <c r="I10" s="234">
        <v>13300</v>
      </c>
      <c r="J10" s="871">
        <f>I10-D10</f>
        <v>2000</v>
      </c>
      <c r="K10" s="214">
        <v>2000</v>
      </c>
      <c r="L10" s="228">
        <v>12800</v>
      </c>
      <c r="M10" s="214">
        <v>13300</v>
      </c>
      <c r="N10" s="214">
        <v>14500</v>
      </c>
      <c r="O10" s="214">
        <v>15000</v>
      </c>
      <c r="P10" s="214"/>
    </row>
    <row r="11" spans="2:17" ht="16" x14ac:dyDescent="0.35">
      <c r="B11" s="229" t="s">
        <v>493</v>
      </c>
      <c r="C11" s="230" t="s">
        <v>494</v>
      </c>
      <c r="D11" s="223">
        <v>11300</v>
      </c>
      <c r="E11" s="224">
        <v>0.11</v>
      </c>
      <c r="F11" s="231">
        <f>D11*E11</f>
        <v>1243</v>
      </c>
      <c r="G11" s="869">
        <f>2000</f>
        <v>2000</v>
      </c>
      <c r="H11" s="233">
        <f>D11+F11+G11</f>
        <v>14543</v>
      </c>
      <c r="I11" s="234">
        <v>14800</v>
      </c>
      <c r="J11" s="214">
        <f>I11-D11</f>
        <v>3500</v>
      </c>
      <c r="K11" s="214">
        <v>3500</v>
      </c>
      <c r="L11" s="228">
        <v>14300</v>
      </c>
      <c r="M11" s="214">
        <v>14800</v>
      </c>
      <c r="N11" s="214">
        <v>16000</v>
      </c>
      <c r="O11" s="214">
        <v>16500</v>
      </c>
      <c r="P11" s="214">
        <f>'[5]BOM (DLoc) (18.05)'!$M$13</f>
        <v>14100</v>
      </c>
      <c r="Q11" s="228">
        <f>P11-O11</f>
        <v>-2400</v>
      </c>
    </row>
    <row r="12" spans="2:17" ht="16" x14ac:dyDescent="0.35">
      <c r="B12" s="235" t="s">
        <v>495</v>
      </c>
      <c r="C12" s="236" t="s">
        <v>496</v>
      </c>
      <c r="D12" s="223">
        <v>11300</v>
      </c>
      <c r="E12" s="224">
        <v>0.11</v>
      </c>
      <c r="F12" s="237">
        <f>D12*E12</f>
        <v>1243</v>
      </c>
      <c r="G12" s="238">
        <v>-5000</v>
      </c>
      <c r="H12" s="239">
        <f>D12+F12+G12</f>
        <v>7543</v>
      </c>
      <c r="I12" s="240">
        <v>7500</v>
      </c>
      <c r="J12" s="214">
        <f>I12-D12</f>
        <v>-3800</v>
      </c>
      <c r="K12" s="214">
        <v>-3500</v>
      </c>
      <c r="L12" s="228">
        <v>7300</v>
      </c>
      <c r="M12" s="214">
        <v>7800</v>
      </c>
      <c r="N12" s="214">
        <v>9000</v>
      </c>
      <c r="O12" s="214">
        <v>9500</v>
      </c>
      <c r="P12" s="214">
        <f>'[5]BOM (DLoc) (18.05)'!$M$14</f>
        <v>7300</v>
      </c>
      <c r="Q12" s="228">
        <f>P12-O12</f>
        <v>-2200</v>
      </c>
    </row>
    <row r="13" spans="2:17" ht="16" x14ac:dyDescent="0.35">
      <c r="B13" s="216" t="s">
        <v>497</v>
      </c>
      <c r="C13" s="217"/>
      <c r="D13" s="217"/>
      <c r="E13" s="218"/>
      <c r="F13" s="218"/>
      <c r="G13" s="217"/>
      <c r="H13" s="219"/>
      <c r="I13" s="220"/>
      <c r="J13" s="214"/>
      <c r="K13" s="214"/>
      <c r="L13" s="228">
        <f t="shared" ref="L13" si="0">J13-K13</f>
        <v>0</v>
      </c>
    </row>
    <row r="14" spans="2:17" ht="16.5" thickBot="1" x14ac:dyDescent="0.4">
      <c r="B14" s="241" t="s">
        <v>498</v>
      </c>
      <c r="C14" s="242" t="s">
        <v>499</v>
      </c>
      <c r="D14" s="243">
        <f>I11</f>
        <v>14800</v>
      </c>
      <c r="E14" s="244">
        <v>0.08</v>
      </c>
      <c r="F14" s="245">
        <f>D14*E14</f>
        <v>1184</v>
      </c>
      <c r="G14" s="243">
        <v>2000</v>
      </c>
      <c r="H14" s="246">
        <f>D14+F14+G14</f>
        <v>17984</v>
      </c>
      <c r="I14" s="247">
        <v>17800</v>
      </c>
      <c r="J14" s="214">
        <f>I14-D14</f>
        <v>3000</v>
      </c>
      <c r="K14" s="214">
        <v>3000</v>
      </c>
      <c r="L14" s="228">
        <v>17300</v>
      </c>
      <c r="M14" s="214">
        <v>17800</v>
      </c>
      <c r="N14" s="214">
        <v>19000</v>
      </c>
      <c r="O14" s="214">
        <v>19000</v>
      </c>
    </row>
    <row r="15" spans="2:17" x14ac:dyDescent="0.35">
      <c r="C15" s="211" t="s">
        <v>747</v>
      </c>
      <c r="K15" s="214">
        <v>-8000</v>
      </c>
    </row>
    <row r="16" spans="2:17" x14ac:dyDescent="0.35">
      <c r="B16" s="1113" t="s">
        <v>500</v>
      </c>
      <c r="C16" s="1113"/>
      <c r="D16" s="1113"/>
    </row>
    <row r="17" spans="2:8" x14ac:dyDescent="0.35">
      <c r="B17" s="248" t="s">
        <v>71</v>
      </c>
      <c r="C17" s="249" t="s">
        <v>501</v>
      </c>
      <c r="D17" s="248" t="s">
        <v>502</v>
      </c>
    </row>
    <row r="18" spans="2:8" x14ac:dyDescent="0.35">
      <c r="B18" s="250"/>
      <c r="C18" s="251" t="s">
        <v>503</v>
      </c>
      <c r="D18" s="252">
        <f>$I$9</f>
        <v>16300</v>
      </c>
    </row>
    <row r="19" spans="2:8" x14ac:dyDescent="0.35">
      <c r="B19" s="250"/>
      <c r="C19" s="251" t="s">
        <v>504</v>
      </c>
      <c r="D19" s="253">
        <f>D18-500</f>
        <v>15800</v>
      </c>
    </row>
    <row r="20" spans="2:8" x14ac:dyDescent="0.35">
      <c r="B20" s="250"/>
      <c r="C20" s="251" t="s">
        <v>50</v>
      </c>
      <c r="D20" s="252">
        <f>$I$9</f>
        <v>16300</v>
      </c>
    </row>
    <row r="21" spans="2:8" x14ac:dyDescent="0.35">
      <c r="B21" s="250">
        <v>150000004</v>
      </c>
      <c r="C21" s="251" t="s">
        <v>23</v>
      </c>
      <c r="D21" s="252">
        <f>$I$9</f>
        <v>16300</v>
      </c>
    </row>
    <row r="22" spans="2:8" x14ac:dyDescent="0.35">
      <c r="B22" s="250">
        <v>150000050</v>
      </c>
      <c r="C22" s="251" t="s">
        <v>22</v>
      </c>
      <c r="D22" s="252">
        <f>$I$11</f>
        <v>14800</v>
      </c>
    </row>
    <row r="23" spans="2:8" x14ac:dyDescent="0.35">
      <c r="B23" s="250">
        <v>150000005</v>
      </c>
      <c r="C23" s="251" t="s">
        <v>25</v>
      </c>
      <c r="D23" s="252">
        <f>$I$9</f>
        <v>16300</v>
      </c>
    </row>
    <row r="24" spans="2:8" x14ac:dyDescent="0.35">
      <c r="B24" s="250">
        <v>150000014</v>
      </c>
      <c r="C24" s="251" t="s">
        <v>27</v>
      </c>
      <c r="D24" s="252">
        <f>$I$10</f>
        <v>13300</v>
      </c>
    </row>
    <row r="25" spans="2:8" x14ac:dyDescent="0.35">
      <c r="B25" s="250">
        <v>150000015</v>
      </c>
      <c r="C25" s="251" t="s">
        <v>29</v>
      </c>
      <c r="D25" s="252">
        <f>$I$10</f>
        <v>13300</v>
      </c>
    </row>
    <row r="26" spans="2:8" x14ac:dyDescent="0.35">
      <c r="B26" s="250">
        <v>150000016</v>
      </c>
      <c r="C26" s="251" t="s">
        <v>32</v>
      </c>
      <c r="D26" s="252">
        <f>$I$9</f>
        <v>16300</v>
      </c>
    </row>
    <row r="27" spans="2:8" x14ac:dyDescent="0.35">
      <c r="B27" s="250">
        <v>150000114</v>
      </c>
      <c r="C27" s="251" t="s">
        <v>19</v>
      </c>
      <c r="D27" s="252">
        <f>$I$11</f>
        <v>14800</v>
      </c>
    </row>
    <row r="28" spans="2:8" s="254" customFormat="1" x14ac:dyDescent="0.35">
      <c r="B28" s="250"/>
      <c r="C28" s="251" t="s">
        <v>505</v>
      </c>
      <c r="D28" s="252">
        <f>$I$12</f>
        <v>7500</v>
      </c>
      <c r="G28" s="211"/>
      <c r="H28" s="211"/>
    </row>
    <row r="29" spans="2:8" x14ac:dyDescent="0.35">
      <c r="B29" s="250"/>
      <c r="C29" s="251" t="s">
        <v>506</v>
      </c>
      <c r="D29" s="252">
        <f>$I$12</f>
        <v>7500</v>
      </c>
    </row>
    <row r="30" spans="2:8" x14ac:dyDescent="0.35">
      <c r="B30" s="255">
        <v>150000061</v>
      </c>
      <c r="C30" s="256" t="s">
        <v>45</v>
      </c>
      <c r="D30" s="257">
        <f>I14</f>
        <v>17800</v>
      </c>
    </row>
  </sheetData>
  <mergeCells count="10">
    <mergeCell ref="B16:D16"/>
    <mergeCell ref="B3:I3"/>
    <mergeCell ref="B4:I4"/>
    <mergeCell ref="B6:B7"/>
    <mergeCell ref="C6:C7"/>
    <mergeCell ref="D6:D7"/>
    <mergeCell ref="E6:F6"/>
    <mergeCell ref="G6:G7"/>
    <mergeCell ref="H6:H7"/>
    <mergeCell ref="I6:I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A58D-A3E8-4903-AFCD-6B6088705E30}">
  <sheetPr>
    <tabColor rgb="FF00B0F0"/>
  </sheetPr>
  <dimension ref="A1:AI28"/>
  <sheetViews>
    <sheetView topLeftCell="H1" zoomScaleNormal="100" workbookViewId="0">
      <selection activeCell="M12" sqref="M12"/>
    </sheetView>
  </sheetViews>
  <sheetFormatPr defaultRowHeight="14.5" x14ac:dyDescent="0.35"/>
  <cols>
    <col min="1" max="1" width="4" bestFit="1" customWidth="1"/>
    <col min="2" max="2" width="18.6328125" customWidth="1"/>
    <col min="3" max="3" width="15.1796875" bestFit="1" customWidth="1"/>
    <col min="4" max="4" width="14.1796875" bestFit="1" customWidth="1"/>
    <col min="6" max="6" width="11.1796875" bestFit="1" customWidth="1"/>
    <col min="8" max="8" width="12.90625" bestFit="1" customWidth="1"/>
    <col min="11" max="11" width="18.6328125" bestFit="1" customWidth="1"/>
    <col min="12" max="12" width="18.90625" bestFit="1" customWidth="1"/>
    <col min="13" max="13" width="13.26953125" bestFit="1" customWidth="1"/>
    <col min="16" max="16" width="8.26953125" bestFit="1" customWidth="1"/>
    <col min="17" max="17" width="12.90625" bestFit="1" customWidth="1"/>
    <col min="19" max="19" width="4" bestFit="1" customWidth="1"/>
    <col min="20" max="20" width="18.6328125" bestFit="1" customWidth="1"/>
    <col min="21" max="21" width="15.1796875" bestFit="1" customWidth="1"/>
    <col min="22" max="22" width="14.7265625" customWidth="1"/>
    <col min="24" max="24" width="10.1796875" bestFit="1" customWidth="1"/>
    <col min="26" max="26" width="12.90625" bestFit="1" customWidth="1"/>
    <col min="28" max="28" width="4" bestFit="1" customWidth="1"/>
    <col min="29" max="29" width="18.6328125" bestFit="1" customWidth="1"/>
    <col min="30" max="30" width="15.1796875" bestFit="1" customWidth="1"/>
    <col min="31" max="31" width="14.1796875" bestFit="1" customWidth="1"/>
    <col min="35" max="35" width="12.90625" bestFit="1" customWidth="1"/>
  </cols>
  <sheetData>
    <row r="1" spans="1:31" x14ac:dyDescent="0.35">
      <c r="B1" s="117" t="s">
        <v>396</v>
      </c>
      <c r="C1" s="136">
        <v>10000</v>
      </c>
      <c r="K1" s="117" t="s">
        <v>396</v>
      </c>
      <c r="L1" s="136">
        <v>10000</v>
      </c>
      <c r="T1" s="117" t="s">
        <v>396</v>
      </c>
      <c r="U1" s="136">
        <v>10000</v>
      </c>
      <c r="AC1" s="117" t="s">
        <v>396</v>
      </c>
      <c r="AD1" s="136">
        <v>11300</v>
      </c>
    </row>
    <row r="2" spans="1:31" x14ac:dyDescent="0.35">
      <c r="B2" s="117" t="s">
        <v>397</v>
      </c>
      <c r="C2" s="136">
        <v>3000</v>
      </c>
      <c r="K2" s="117" t="s">
        <v>397</v>
      </c>
      <c r="L2" s="136">
        <v>3000</v>
      </c>
      <c r="T2" s="117" t="s">
        <v>397</v>
      </c>
      <c r="U2" s="136">
        <v>3000</v>
      </c>
      <c r="AC2" s="117" t="s">
        <v>397</v>
      </c>
      <c r="AD2" s="136">
        <v>3000</v>
      </c>
    </row>
    <row r="3" spans="1:31" x14ac:dyDescent="0.35">
      <c r="B3" s="117" t="s">
        <v>398</v>
      </c>
      <c r="C3" s="138">
        <v>0.1</v>
      </c>
      <c r="K3" s="117" t="s">
        <v>398</v>
      </c>
      <c r="L3" s="138">
        <v>0.1</v>
      </c>
      <c r="T3" s="117" t="s">
        <v>398</v>
      </c>
      <c r="U3" s="138">
        <v>0.1</v>
      </c>
      <c r="AC3" s="117" t="s">
        <v>398</v>
      </c>
      <c r="AD3" s="138">
        <v>0.1</v>
      </c>
    </row>
    <row r="4" spans="1:31" x14ac:dyDescent="0.35">
      <c r="B4" s="117" t="s">
        <v>399</v>
      </c>
      <c r="C4" s="139">
        <f>SUM(C1:C2)</f>
        <v>13000</v>
      </c>
      <c r="K4" s="117" t="s">
        <v>399</v>
      </c>
      <c r="L4" s="139">
        <f>SUM(L1:L2)</f>
        <v>13000</v>
      </c>
      <c r="T4" s="117" t="s">
        <v>399</v>
      </c>
      <c r="U4" s="139">
        <f>SUM(U1:U2)</f>
        <v>13000</v>
      </c>
      <c r="AC4" s="117" t="s">
        <v>399</v>
      </c>
      <c r="AD4" s="139">
        <f>SUM(AD1:AD2)</f>
        <v>14300</v>
      </c>
    </row>
    <row r="5" spans="1:31" x14ac:dyDescent="0.35">
      <c r="B5" s="117" t="s">
        <v>400</v>
      </c>
      <c r="C5" s="139">
        <f>C4*C3/(1-C3)</f>
        <v>1444.4444444444443</v>
      </c>
      <c r="K5" s="117" t="s">
        <v>400</v>
      </c>
      <c r="L5" s="139">
        <f>L4*L3/(1-L3)</f>
        <v>1444.4444444444443</v>
      </c>
      <c r="T5" s="117" t="s">
        <v>400</v>
      </c>
      <c r="U5" s="139">
        <f>U4*U3/(1-U3)</f>
        <v>1444.4444444444443</v>
      </c>
      <c r="AC5" s="117" t="s">
        <v>400</v>
      </c>
      <c r="AD5" s="139">
        <f>AD4*AD3/(1-AD3)</f>
        <v>1588.8888888888889</v>
      </c>
    </row>
    <row r="6" spans="1:31" x14ac:dyDescent="0.35">
      <c r="B6" s="117" t="s">
        <v>401</v>
      </c>
      <c r="C6" s="139">
        <f>+C4/(1-C3)</f>
        <v>14444.444444444443</v>
      </c>
      <c r="K6" s="117" t="s">
        <v>401</v>
      </c>
      <c r="L6" s="139">
        <f>+L4/(1-L3)</f>
        <v>14444.444444444443</v>
      </c>
      <c r="T6" s="117" t="s">
        <v>401</v>
      </c>
      <c r="U6" s="139">
        <f>+U4/(1-U3)</f>
        <v>14444.444444444443</v>
      </c>
      <c r="AC6" s="117" t="s">
        <v>401</v>
      </c>
      <c r="AD6" s="139">
        <f>+AD4/(1-AD3)</f>
        <v>15888.888888888889</v>
      </c>
    </row>
    <row r="7" spans="1:31" ht="32" x14ac:dyDescent="0.35">
      <c r="A7" s="141" t="s">
        <v>0</v>
      </c>
      <c r="B7" s="141" t="s">
        <v>407</v>
      </c>
      <c r="C7" s="141" t="s">
        <v>745</v>
      </c>
      <c r="D7" s="143" t="s">
        <v>746</v>
      </c>
      <c r="J7" s="141" t="s">
        <v>0</v>
      </c>
      <c r="K7" s="141" t="s">
        <v>407</v>
      </c>
      <c r="L7" s="141" t="s">
        <v>745</v>
      </c>
      <c r="M7" s="143" t="s">
        <v>746</v>
      </c>
      <c r="S7" s="141" t="s">
        <v>0</v>
      </c>
      <c r="T7" s="141" t="s">
        <v>407</v>
      </c>
      <c r="U7" s="141" t="s">
        <v>745</v>
      </c>
      <c r="V7" s="143" t="s">
        <v>746</v>
      </c>
      <c r="AB7" s="141" t="s">
        <v>0</v>
      </c>
      <c r="AC7" s="141" t="s">
        <v>407</v>
      </c>
      <c r="AD7" s="141" t="s">
        <v>745</v>
      </c>
      <c r="AE7" s="143" t="s">
        <v>746</v>
      </c>
    </row>
    <row r="8" spans="1:31" x14ac:dyDescent="0.35">
      <c r="A8" s="144">
        <v>1</v>
      </c>
      <c r="B8" s="145" t="s">
        <v>429</v>
      </c>
      <c r="C8" s="146">
        <f>'[6]4. 3 Trạm'!$S334</f>
        <v>0.51133536259282808</v>
      </c>
      <c r="D8" s="130">
        <f>$C$1+GAP!$K$9</f>
        <v>15000</v>
      </c>
      <c r="J8" s="144">
        <v>1</v>
      </c>
      <c r="K8" s="145" t="s">
        <v>429</v>
      </c>
      <c r="L8" s="146">
        <f>'[6]4. 3 Trạm'!$T334</f>
        <v>0.49706416331589559</v>
      </c>
      <c r="M8" s="130">
        <f>$L$1+GAP!$K$9</f>
        <v>15000</v>
      </c>
      <c r="S8" s="144">
        <v>1</v>
      </c>
      <c r="T8" s="145" t="s">
        <v>429</v>
      </c>
      <c r="U8" s="146">
        <f>'[6]4. 3 Trạm'!$U334</f>
        <v>0.50434738700552417</v>
      </c>
      <c r="V8" s="130">
        <f>$U$1+GAP!$K$9</f>
        <v>15000</v>
      </c>
      <c r="AB8" s="144">
        <v>1</v>
      </c>
      <c r="AC8" s="145" t="s">
        <v>429</v>
      </c>
      <c r="AD8" s="146">
        <f>'[6]4. 3 Trạm'!$V334</f>
        <v>0.51736864881993272</v>
      </c>
      <c r="AE8" s="130">
        <f>$AD$1+GAP!$K$9</f>
        <v>16300</v>
      </c>
    </row>
    <row r="9" spans="1:31" x14ac:dyDescent="0.35">
      <c r="A9" s="144">
        <v>5</v>
      </c>
      <c r="B9" s="145" t="s">
        <v>22</v>
      </c>
      <c r="C9" s="146">
        <f>'[6]4. 3 Trạm'!$S335</f>
        <v>6.4970641388642225E-2</v>
      </c>
      <c r="D9" s="130">
        <f>$C$1+GAP!$K$11</f>
        <v>13500</v>
      </c>
      <c r="J9" s="144">
        <v>5</v>
      </c>
      <c r="K9" s="145" t="s">
        <v>22</v>
      </c>
      <c r="L9" s="146">
        <f>'[6]4. 3 Trạm'!$T335</f>
        <v>5.8399136842366708E-2</v>
      </c>
      <c r="M9" s="130">
        <f>$L$1+GAP!$K$11</f>
        <v>13500</v>
      </c>
      <c r="S9" s="144">
        <v>5</v>
      </c>
      <c r="T9" s="145" t="s">
        <v>22</v>
      </c>
      <c r="U9" s="146">
        <f>'[6]4. 3 Trạm'!$U335</f>
        <v>5.5507957307370223E-2</v>
      </c>
      <c r="V9" s="130">
        <f>$U$1+GAP!$K$11</f>
        <v>13500</v>
      </c>
      <c r="AB9" s="144">
        <v>5</v>
      </c>
      <c r="AC9" s="145" t="s">
        <v>22</v>
      </c>
      <c r="AD9" s="146">
        <f>'[6]4. 3 Trạm'!$V335</f>
        <v>4.4495103812786721E-2</v>
      </c>
      <c r="AE9" s="130">
        <f>$AD$1+GAP!$K$11</f>
        <v>14800</v>
      </c>
    </row>
    <row r="10" spans="1:31" x14ac:dyDescent="0.35">
      <c r="A10" s="144">
        <v>7</v>
      </c>
      <c r="B10" s="145" t="s">
        <v>27</v>
      </c>
      <c r="C10" s="146">
        <f>'[6]4. 3 Trạm'!$S337</f>
        <v>1.5890206111695566E-2</v>
      </c>
      <c r="D10" s="130">
        <f>$C$1+GAP!$K$10</f>
        <v>12000</v>
      </c>
      <c r="J10" s="144">
        <v>7</v>
      </c>
      <c r="K10" s="145" t="s">
        <v>27</v>
      </c>
      <c r="L10" s="146">
        <f>'[6]4. 3 Trạm'!$T337</f>
        <v>1.6398176315514271E-2</v>
      </c>
      <c r="M10" s="130">
        <f>$L$1+GAP!$K$10</f>
        <v>12000</v>
      </c>
      <c r="S10" s="144">
        <v>7</v>
      </c>
      <c r="T10" s="145" t="s">
        <v>27</v>
      </c>
      <c r="U10" s="146">
        <f>'[6]4. 3 Trạm'!$U337</f>
        <v>1.571854014390894E-2</v>
      </c>
      <c r="V10" s="130">
        <f>$U$1+GAP!$K$10</f>
        <v>12000</v>
      </c>
      <c r="AB10" s="144">
        <v>7</v>
      </c>
      <c r="AC10" s="145" t="s">
        <v>27</v>
      </c>
      <c r="AD10" s="146">
        <f>'[6]4. 3 Trạm'!$V337</f>
        <v>1.5093887507831869E-2</v>
      </c>
      <c r="AE10" s="130">
        <f>$AD$1+GAP!$K$10</f>
        <v>13300</v>
      </c>
    </row>
    <row r="11" spans="1:31" x14ac:dyDescent="0.35">
      <c r="A11" s="144">
        <v>8</v>
      </c>
      <c r="B11" s="145" t="s">
        <v>29</v>
      </c>
      <c r="C11" s="146">
        <f>'[6]4. 3 Trạm'!$S338</f>
        <v>1.6100854377153202E-2</v>
      </c>
      <c r="D11" s="130">
        <f>$C$1+GAP!$K$10</f>
        <v>12000</v>
      </c>
      <c r="J11" s="144">
        <v>8</v>
      </c>
      <c r="K11" s="145" t="s">
        <v>29</v>
      </c>
      <c r="L11" s="146">
        <f>'[6]4. 3 Trạm'!$T338</f>
        <v>1.5470359223063121E-2</v>
      </c>
      <c r="M11" s="130">
        <f>$L$1+GAP!$K$10</f>
        <v>12000</v>
      </c>
      <c r="S11" s="144">
        <v>8</v>
      </c>
      <c r="T11" s="145" t="s">
        <v>29</v>
      </c>
      <c r="U11" s="146">
        <f>'[6]4. 3 Trạm'!$U338</f>
        <v>1.547886970853728E-2</v>
      </c>
      <c r="V11" s="130">
        <f>$U$1+GAP!$K$10</f>
        <v>12000</v>
      </c>
      <c r="AB11" s="144">
        <v>8</v>
      </c>
      <c r="AC11" s="145" t="s">
        <v>29</v>
      </c>
      <c r="AD11" s="146">
        <f>'[6]4. 3 Trạm'!$V338</f>
        <v>1.5516824853526845E-2</v>
      </c>
      <c r="AE11" s="130">
        <f>$AD$1+GAP!$K$10</f>
        <v>13300</v>
      </c>
    </row>
    <row r="12" spans="1:31" x14ac:dyDescent="0.35">
      <c r="A12" s="144">
        <v>10</v>
      </c>
      <c r="B12" s="145" t="s">
        <v>19</v>
      </c>
      <c r="C12" s="155">
        <f>'[6]4. 3 Trạm'!$S336</f>
        <v>0.26768431439746443</v>
      </c>
      <c r="D12" s="130">
        <f>$C$1+GAP!$K$11</f>
        <v>13500</v>
      </c>
      <c r="J12" s="144">
        <v>10</v>
      </c>
      <c r="K12" s="145" t="s">
        <v>19</v>
      </c>
      <c r="L12" s="155">
        <f>'[6]4. 3 Trạm'!$T336</f>
        <v>0.29014887216136792</v>
      </c>
      <c r="M12" s="130">
        <f>$L$1+GAP!$K$11</f>
        <v>13500</v>
      </c>
      <c r="S12" s="144">
        <v>10</v>
      </c>
      <c r="T12" s="145" t="s">
        <v>19</v>
      </c>
      <c r="U12" s="155">
        <f>'[6]4. 3 Trạm'!$U336</f>
        <v>0.27717466249673295</v>
      </c>
      <c r="V12" s="130">
        <f>$U$1+GAP!$K$11</f>
        <v>13500</v>
      </c>
      <c r="AB12" s="144">
        <v>10</v>
      </c>
      <c r="AC12" s="145" t="s">
        <v>19</v>
      </c>
      <c r="AD12" s="155">
        <f>'[6]4. 3 Trạm'!$V336</f>
        <v>0.27679036383741662</v>
      </c>
      <c r="AE12" s="130">
        <f>$AD$1+GAP!$K$11</f>
        <v>14800</v>
      </c>
    </row>
    <row r="13" spans="1:31" x14ac:dyDescent="0.35">
      <c r="A13" s="144">
        <v>11</v>
      </c>
      <c r="B13" s="145" t="s">
        <v>430</v>
      </c>
      <c r="C13" s="146">
        <f>'[6]4. 3 Trạm'!$S339</f>
        <v>1.5679732296147216E-2</v>
      </c>
      <c r="D13" s="130">
        <f>$C$1+GAP!$K$12</f>
        <v>6500</v>
      </c>
      <c r="J13" s="144">
        <v>11</v>
      </c>
      <c r="K13" s="145" t="s">
        <v>430</v>
      </c>
      <c r="L13" s="146">
        <f>'[6]4. 3 Trạm'!$T339</f>
        <v>1.8909498676781628E-2</v>
      </c>
      <c r="M13" s="130">
        <f>$L$1+GAP!$K$12</f>
        <v>6500</v>
      </c>
      <c r="S13" s="144">
        <v>11</v>
      </c>
      <c r="T13" s="145" t="s">
        <v>430</v>
      </c>
      <c r="U13" s="146">
        <f>'[6]4. 3 Trạm'!$U339</f>
        <v>1.8094122207030449E-2</v>
      </c>
      <c r="V13" s="130">
        <f>$U$1+GAP!$K$12</f>
        <v>6500</v>
      </c>
      <c r="AB13" s="144">
        <v>11</v>
      </c>
      <c r="AC13" s="145" t="s">
        <v>430</v>
      </c>
      <c r="AD13" s="146">
        <f>'[6]4. 3 Trạm'!$V339</f>
        <v>2.3950693100032536E-2</v>
      </c>
      <c r="AE13" s="130">
        <f>$AD$1+GAP!$K$12</f>
        <v>7800</v>
      </c>
    </row>
    <row r="14" spans="1:31" x14ac:dyDescent="0.35">
      <c r="A14" s="144">
        <v>12</v>
      </c>
      <c r="B14" s="158" t="s">
        <v>747</v>
      </c>
      <c r="C14" s="146">
        <f>'[6]4. 3 Trạm'!$S341</f>
        <v>3.8483649987539918E-3</v>
      </c>
      <c r="D14" s="130">
        <f>$C$1+GAP!$K$15</f>
        <v>2000</v>
      </c>
      <c r="J14" s="144">
        <v>12</v>
      </c>
      <c r="K14" s="158" t="s">
        <v>747</v>
      </c>
      <c r="L14" s="146">
        <f>'[6]4. 3 Trạm'!$T341</f>
        <v>4.0771833612101467E-3</v>
      </c>
      <c r="M14" s="130">
        <f>$L$1+GAP!$K$15</f>
        <v>2000</v>
      </c>
      <c r="S14" s="144">
        <v>12</v>
      </c>
      <c r="T14" s="158" t="s">
        <v>747</v>
      </c>
      <c r="U14" s="146">
        <f>'[6]4. 3 Trạm'!$U341</f>
        <v>7.6438511554141868E-3</v>
      </c>
      <c r="V14" s="130">
        <f>$U$1+GAP!$K$15</f>
        <v>2000</v>
      </c>
      <c r="AB14" s="144">
        <v>12</v>
      </c>
      <c r="AC14" s="158" t="s">
        <v>747</v>
      </c>
      <c r="AD14" s="146">
        <f>'[6]4. 3 Trạm'!$V341</f>
        <v>4.2130059126117168E-3</v>
      </c>
      <c r="AE14" s="130">
        <f>$AD$1+GAP!$K$15</f>
        <v>3300</v>
      </c>
    </row>
    <row r="15" spans="1:31" x14ac:dyDescent="0.35">
      <c r="A15" s="572">
        <v>13</v>
      </c>
      <c r="B15" s="75" t="s">
        <v>482</v>
      </c>
      <c r="C15" s="159">
        <f>'[6]4. 3 Trạm'!$S$342</f>
        <v>0.10316976357414369</v>
      </c>
      <c r="D15" s="130">
        <f>C15*$C$1</f>
        <v>1031.6976357414369</v>
      </c>
      <c r="J15" s="572">
        <v>13</v>
      </c>
      <c r="K15" s="75" t="s">
        <v>482</v>
      </c>
      <c r="L15" s="159">
        <f>'[6]4. 3 Trạm'!$S$342</f>
        <v>0.10316976357414369</v>
      </c>
      <c r="M15" s="130">
        <f>L15*$L$1</f>
        <v>1031.6976357414369</v>
      </c>
      <c r="S15" s="572">
        <v>13</v>
      </c>
      <c r="T15" s="75" t="s">
        <v>482</v>
      </c>
      <c r="U15" s="159">
        <f>'[6]4. 3 Trạm'!$S$342</f>
        <v>0.10316976357414369</v>
      </c>
      <c r="V15" s="130">
        <f>U15*$U$1</f>
        <v>1031.6976357414369</v>
      </c>
      <c r="AB15" s="572">
        <v>13</v>
      </c>
      <c r="AC15" s="75" t="s">
        <v>482</v>
      </c>
      <c r="AD15" s="159">
        <f>'[6]4. 3 Trạm'!$S$342</f>
        <v>0.10316976357414369</v>
      </c>
      <c r="AE15" s="130">
        <f>AD15*$AD$1</f>
        <v>1165.8183283878236</v>
      </c>
    </row>
    <row r="16" spans="1:31" ht="5.5" customHeight="1" x14ac:dyDescent="0.35"/>
    <row r="17" spans="1:35" s="3" customFormat="1" ht="32" customHeight="1" x14ac:dyDescent="0.35">
      <c r="E17" s="1130" t="s">
        <v>748</v>
      </c>
      <c r="F17" s="1130"/>
      <c r="G17" s="1130"/>
      <c r="H17" s="1130"/>
      <c r="N17" s="1130" t="s">
        <v>749</v>
      </c>
      <c r="O17" s="1130"/>
      <c r="P17" s="1130"/>
      <c r="Q17" s="1130"/>
      <c r="W17" s="1130" t="s">
        <v>750</v>
      </c>
      <c r="X17" s="1130"/>
      <c r="Y17" s="1130"/>
      <c r="Z17" s="1130"/>
      <c r="AF17" s="1130" t="s">
        <v>752</v>
      </c>
      <c r="AG17" s="1130"/>
      <c r="AH17" s="1130"/>
      <c r="AI17" s="1130"/>
    </row>
    <row r="18" spans="1:35" ht="38" customHeight="1" x14ac:dyDescent="0.35">
      <c r="C18" s="141" t="s">
        <v>408</v>
      </c>
      <c r="D18" s="141" t="s">
        <v>751</v>
      </c>
      <c r="E18" s="143" t="s">
        <v>741</v>
      </c>
      <c r="F18" s="143" t="s">
        <v>742</v>
      </c>
      <c r="G18" s="143" t="s">
        <v>743</v>
      </c>
      <c r="H18" s="143" t="s">
        <v>744</v>
      </c>
      <c r="L18" s="141" t="s">
        <v>408</v>
      </c>
      <c r="M18" s="141" t="s">
        <v>751</v>
      </c>
      <c r="N18" s="143" t="s">
        <v>741</v>
      </c>
      <c r="O18" s="143" t="s">
        <v>742</v>
      </c>
      <c r="P18" s="143" t="s">
        <v>743</v>
      </c>
      <c r="Q18" s="143" t="s">
        <v>744</v>
      </c>
      <c r="U18" s="141" t="s">
        <v>408</v>
      </c>
      <c r="V18" s="141" t="s">
        <v>751</v>
      </c>
      <c r="W18" s="143" t="s">
        <v>741</v>
      </c>
      <c r="X18" s="143" t="s">
        <v>742</v>
      </c>
      <c r="Y18" s="143" t="s">
        <v>743</v>
      </c>
      <c r="Z18" s="143" t="s">
        <v>744</v>
      </c>
      <c r="AD18" s="141" t="s">
        <v>408</v>
      </c>
      <c r="AE18" s="141" t="s">
        <v>751</v>
      </c>
      <c r="AF18" s="143" t="s">
        <v>741</v>
      </c>
      <c r="AG18" s="143" t="s">
        <v>742</v>
      </c>
      <c r="AH18" s="143" t="s">
        <v>743</v>
      </c>
      <c r="AI18" s="143" t="s">
        <v>744</v>
      </c>
    </row>
    <row r="19" spans="1:35" x14ac:dyDescent="0.35">
      <c r="A19" s="144">
        <v>1</v>
      </c>
      <c r="B19" s="145" t="s">
        <v>429</v>
      </c>
      <c r="C19" s="146">
        <v>0.54</v>
      </c>
      <c r="D19" s="571">
        <f>C8-C19</f>
        <v>-2.8664637407171956E-2</v>
      </c>
      <c r="E19" s="109">
        <f t="shared" ref="E19:E25" si="0">D8*D19</f>
        <v>-429.96956110757935</v>
      </c>
      <c r="F19" s="109">
        <f>'[6]4. 3 Trạm'!S89</f>
        <v>467032</v>
      </c>
      <c r="G19" s="109">
        <f>F19*D19</f>
        <v>-13387.302937546332</v>
      </c>
      <c r="H19" s="130">
        <f t="shared" ref="H19:H25" si="1">D8*G19</f>
        <v>-200809544.06319499</v>
      </c>
      <c r="J19" s="144">
        <v>1</v>
      </c>
      <c r="K19" s="145" t="s">
        <v>429</v>
      </c>
      <c r="L19" s="146">
        <v>0.54</v>
      </c>
      <c r="M19" s="571">
        <f>L8-L19</f>
        <v>-4.2935836684104445E-2</v>
      </c>
      <c r="N19" s="109">
        <f t="shared" ref="N19:N25" si="2">M8*M19</f>
        <v>-644.03755026156671</v>
      </c>
      <c r="O19" s="109">
        <f>'[6]4. 3 Trạm'!T89</f>
        <v>299036</v>
      </c>
      <c r="P19" s="109">
        <f>O19*M19</f>
        <v>-12839.360858667857</v>
      </c>
      <c r="Q19" s="130">
        <f t="shared" ref="Q19:Q25" si="3">M8*P19</f>
        <v>-192590412.88001785</v>
      </c>
      <c r="S19" s="144">
        <v>1</v>
      </c>
      <c r="T19" s="145" t="s">
        <v>429</v>
      </c>
      <c r="U19" s="146">
        <v>0.54</v>
      </c>
      <c r="V19" s="571">
        <f>U8-U19</f>
        <v>-3.5652612994475863E-2</v>
      </c>
      <c r="W19" s="109">
        <f t="shared" ref="W19:W25" si="4">V8*V19</f>
        <v>-534.78919491713793</v>
      </c>
      <c r="X19" s="109">
        <f>'[6]4. 3 Trạm'!U89</f>
        <v>848224</v>
      </c>
      <c r="Y19" s="109">
        <f>X19*V19</f>
        <v>-30241.402004626296</v>
      </c>
      <c r="Z19" s="130">
        <f t="shared" ref="Z19:Z25" si="5">V8*Y19</f>
        <v>-453621030.06939441</v>
      </c>
      <c r="AB19" s="144">
        <v>1</v>
      </c>
      <c r="AC19" s="145" t="s">
        <v>429</v>
      </c>
      <c r="AD19" s="146">
        <v>0.54</v>
      </c>
      <c r="AE19" s="571">
        <f>AD8-AD19</f>
        <v>-2.2631351180067316E-2</v>
      </c>
      <c r="AF19" s="109">
        <f t="shared" ref="AF19:AF25" si="6">AE8*AE19</f>
        <v>-368.89102423509723</v>
      </c>
      <c r="AG19" s="109">
        <f>'[6]4. 3 Trạm'!V89</f>
        <v>446897</v>
      </c>
      <c r="AH19" s="109">
        <f>AG19*AE19</f>
        <v>-10113.882948318544</v>
      </c>
      <c r="AI19" s="130">
        <f t="shared" ref="AI19:AI25" si="7">AE8*AH19</f>
        <v>-164856292.05759227</v>
      </c>
    </row>
    <row r="20" spans="1:35" x14ac:dyDescent="0.35">
      <c r="A20" s="144">
        <v>5</v>
      </c>
      <c r="B20" s="145" t="s">
        <v>22</v>
      </c>
      <c r="C20" s="146">
        <v>0.03</v>
      </c>
      <c r="D20" s="571">
        <f t="shared" ref="D20:D26" si="8">C9-C20</f>
        <v>3.4970641388642226E-2</v>
      </c>
      <c r="E20" s="109">
        <f t="shared" si="0"/>
        <v>472.10365874667008</v>
      </c>
      <c r="F20" s="109">
        <f>'[6]4. 3 Trạm'!S90</f>
        <v>45769</v>
      </c>
      <c r="G20" s="109">
        <f t="shared" ref="G20:G25" si="9">F20*D20</f>
        <v>1600.5712857167659</v>
      </c>
      <c r="H20" s="130">
        <f t="shared" si="1"/>
        <v>21607712.357176341</v>
      </c>
      <c r="J20" s="144">
        <v>5</v>
      </c>
      <c r="K20" s="145" t="s">
        <v>22</v>
      </c>
      <c r="L20" s="146">
        <v>0.03</v>
      </c>
      <c r="M20" s="571">
        <f t="shared" ref="M20:M26" si="10">L9-L20</f>
        <v>2.839913684236671E-2</v>
      </c>
      <c r="N20" s="109">
        <f t="shared" si="2"/>
        <v>383.3883473719506</v>
      </c>
      <c r="O20" s="109">
        <f>'[6]4. 3 Trạm'!T90</f>
        <v>23322</v>
      </c>
      <c r="P20" s="109">
        <f t="shared" ref="P20:P22" si="11">O20*M20</f>
        <v>662.32466943767645</v>
      </c>
      <c r="Q20" s="130">
        <f t="shared" si="3"/>
        <v>8941383.0374086313</v>
      </c>
      <c r="S20" s="144">
        <v>5</v>
      </c>
      <c r="T20" s="145" t="s">
        <v>22</v>
      </c>
      <c r="U20" s="146">
        <v>0.03</v>
      </c>
      <c r="V20" s="571">
        <f t="shared" ref="V20:V26" si="12">U9-U20</f>
        <v>2.5507957307370224E-2</v>
      </c>
      <c r="W20" s="109">
        <f t="shared" si="4"/>
        <v>344.357423649498</v>
      </c>
      <c r="X20" s="109">
        <f>'[6]4. 3 Trạm'!U90</f>
        <v>88500</v>
      </c>
      <c r="Y20" s="109">
        <f t="shared" ref="Y20:Y22" si="13">X20*V20</f>
        <v>2257.4542217022649</v>
      </c>
      <c r="Z20" s="130">
        <f t="shared" si="5"/>
        <v>30475631.992980577</v>
      </c>
      <c r="AB20" s="144">
        <v>5</v>
      </c>
      <c r="AC20" s="145" t="s">
        <v>22</v>
      </c>
      <c r="AD20" s="146">
        <v>0.03</v>
      </c>
      <c r="AE20" s="571">
        <f t="shared" ref="AE20:AE26" si="14">AD9-AD20</f>
        <v>1.4495103812786722E-2</v>
      </c>
      <c r="AF20" s="109">
        <f t="shared" si="6"/>
        <v>214.5275364292435</v>
      </c>
      <c r="AG20" s="109">
        <f>'[6]4. 3 Trạm'!V90</f>
        <v>31654</v>
      </c>
      <c r="AH20" s="109">
        <f t="shared" ref="AH20:AH22" si="15">AG20*AE20</f>
        <v>458.82801608995089</v>
      </c>
      <c r="AI20" s="130">
        <f t="shared" si="7"/>
        <v>6790654.638131273</v>
      </c>
    </row>
    <row r="21" spans="1:35" x14ac:dyDescent="0.35">
      <c r="A21" s="144">
        <v>7</v>
      </c>
      <c r="B21" s="145" t="s">
        <v>27</v>
      </c>
      <c r="C21" s="146">
        <v>0.02</v>
      </c>
      <c r="D21" s="571">
        <f t="shared" si="8"/>
        <v>-4.109793888304434E-3</v>
      </c>
      <c r="E21" s="109">
        <f t="shared" si="0"/>
        <v>-49.317526659653204</v>
      </c>
      <c r="F21" s="109">
        <f>'[6]4. 3 Trạm'!S92</f>
        <v>14995</v>
      </c>
      <c r="G21" s="109">
        <f t="shared" si="9"/>
        <v>-61.62635935512499</v>
      </c>
      <c r="H21" s="130">
        <f t="shared" si="1"/>
        <v>-739516.31226149993</v>
      </c>
      <c r="J21" s="144">
        <v>7</v>
      </c>
      <c r="K21" s="145" t="s">
        <v>27</v>
      </c>
      <c r="L21" s="146">
        <v>0.02</v>
      </c>
      <c r="M21" s="571">
        <f t="shared" si="10"/>
        <v>-3.601823684485729E-3</v>
      </c>
      <c r="N21" s="109">
        <f t="shared" si="2"/>
        <v>-43.221884213828751</v>
      </c>
      <c r="O21" s="109">
        <f>'[6]4. 3 Trạm'!T92</f>
        <v>10167</v>
      </c>
      <c r="P21" s="109">
        <f t="shared" si="11"/>
        <v>-36.619741400166404</v>
      </c>
      <c r="Q21" s="130">
        <f t="shared" si="3"/>
        <v>-439436.89680199686</v>
      </c>
      <c r="S21" s="144">
        <v>7</v>
      </c>
      <c r="T21" s="145" t="s">
        <v>27</v>
      </c>
      <c r="U21" s="146">
        <v>0.02</v>
      </c>
      <c r="V21" s="571">
        <f t="shared" si="12"/>
        <v>-4.2814598560910605E-3</v>
      </c>
      <c r="W21" s="109">
        <f t="shared" si="4"/>
        <v>-51.377518273092726</v>
      </c>
      <c r="X21" s="109">
        <f>'[6]4. 3 Trạm'!U92</f>
        <v>28617</v>
      </c>
      <c r="Y21" s="109">
        <f t="shared" si="13"/>
        <v>-122.52253670175787</v>
      </c>
      <c r="Z21" s="130">
        <f t="shared" si="5"/>
        <v>-1470270.4404210944</v>
      </c>
      <c r="AB21" s="144">
        <v>7</v>
      </c>
      <c r="AC21" s="145" t="s">
        <v>27</v>
      </c>
      <c r="AD21" s="146">
        <v>0.02</v>
      </c>
      <c r="AE21" s="571">
        <f t="shared" si="14"/>
        <v>-4.9061124921681316E-3</v>
      </c>
      <c r="AF21" s="109">
        <f t="shared" si="6"/>
        <v>-65.25129614583615</v>
      </c>
      <c r="AG21" s="109">
        <f>'[6]4. 3 Trạm'!V92</f>
        <v>14779</v>
      </c>
      <c r="AH21" s="109">
        <f t="shared" si="15"/>
        <v>-72.507436521752823</v>
      </c>
      <c r="AI21" s="130">
        <f t="shared" si="7"/>
        <v>-964348.90573931253</v>
      </c>
    </row>
    <row r="22" spans="1:35" x14ac:dyDescent="0.35">
      <c r="A22" s="144">
        <v>8</v>
      </c>
      <c r="B22" s="145" t="s">
        <v>29</v>
      </c>
      <c r="C22" s="146">
        <v>0.02</v>
      </c>
      <c r="D22" s="571">
        <f t="shared" si="8"/>
        <v>-3.8991456228467981E-3</v>
      </c>
      <c r="E22" s="109">
        <f t="shared" si="0"/>
        <v>-46.78974747416158</v>
      </c>
      <c r="F22" s="109">
        <f>'[6]4. 3 Trạm'!S93</f>
        <v>12807</v>
      </c>
      <c r="G22" s="109">
        <f t="shared" si="9"/>
        <v>-49.936357991798943</v>
      </c>
      <c r="H22" s="130">
        <f t="shared" si="1"/>
        <v>-599236.29590158735</v>
      </c>
      <c r="J22" s="144">
        <v>8</v>
      </c>
      <c r="K22" s="145" t="s">
        <v>29</v>
      </c>
      <c r="L22" s="146">
        <v>0.02</v>
      </c>
      <c r="M22" s="571">
        <f t="shared" si="10"/>
        <v>-4.5296407769368791E-3</v>
      </c>
      <c r="N22" s="109">
        <f t="shared" si="2"/>
        <v>-54.355689323242551</v>
      </c>
      <c r="O22" s="109">
        <f>'[6]4. 3 Trạm'!T93</f>
        <v>8490</v>
      </c>
      <c r="P22" s="109">
        <f t="shared" si="11"/>
        <v>-38.456650196194104</v>
      </c>
      <c r="Q22" s="130">
        <f t="shared" si="3"/>
        <v>-461479.80235432927</v>
      </c>
      <c r="S22" s="144">
        <v>8</v>
      </c>
      <c r="T22" s="145" t="s">
        <v>29</v>
      </c>
      <c r="U22" s="146">
        <v>0.02</v>
      </c>
      <c r="V22" s="571">
        <f t="shared" si="12"/>
        <v>-4.5211302914627202E-3</v>
      </c>
      <c r="W22" s="109">
        <f t="shared" si="4"/>
        <v>-54.253563497552641</v>
      </c>
      <c r="X22" s="109">
        <f>'[6]4. 3 Trạm'!U93</f>
        <v>22312</v>
      </c>
      <c r="Y22" s="109">
        <f t="shared" si="13"/>
        <v>-100.87545906311621</v>
      </c>
      <c r="Z22" s="130">
        <f t="shared" si="5"/>
        <v>-1210505.5087573945</v>
      </c>
      <c r="AB22" s="144">
        <v>8</v>
      </c>
      <c r="AC22" s="145" t="s">
        <v>29</v>
      </c>
      <c r="AD22" s="146">
        <v>0.02</v>
      </c>
      <c r="AE22" s="571">
        <f t="shared" si="14"/>
        <v>-4.4831751464731555E-3</v>
      </c>
      <c r="AF22" s="109">
        <f t="shared" si="6"/>
        <v>-59.626229448092971</v>
      </c>
      <c r="AG22" s="109">
        <f>'[6]4. 3 Trạm'!V93</f>
        <v>12733</v>
      </c>
      <c r="AH22" s="109">
        <f t="shared" si="15"/>
        <v>-57.084269140042686</v>
      </c>
      <c r="AI22" s="130">
        <f t="shared" si="7"/>
        <v>-759220.77956256771</v>
      </c>
    </row>
    <row r="23" spans="1:35" x14ac:dyDescent="0.35">
      <c r="A23" s="144">
        <v>10</v>
      </c>
      <c r="B23" s="145" t="s">
        <v>19</v>
      </c>
      <c r="C23" s="146">
        <v>0.28000000000000003</v>
      </c>
      <c r="D23" s="571">
        <f t="shared" si="8"/>
        <v>-1.2315685602535598E-2</v>
      </c>
      <c r="E23" s="109">
        <f t="shared" si="0"/>
        <v>-166.26175563423058</v>
      </c>
      <c r="F23" s="109">
        <f>'[6]4. 3 Trạm'!S91</f>
        <v>275166</v>
      </c>
      <c r="G23" s="109">
        <f>F23*D23</f>
        <v>-3388.8579445073101</v>
      </c>
      <c r="H23" s="130">
        <f t="shared" si="1"/>
        <v>-45749582.250848688</v>
      </c>
      <c r="J23" s="144">
        <v>10</v>
      </c>
      <c r="K23" s="145" t="s">
        <v>19</v>
      </c>
      <c r="L23" s="146">
        <v>0.28000000000000003</v>
      </c>
      <c r="M23" s="571">
        <f t="shared" si="10"/>
        <v>1.0148872161367894E-2</v>
      </c>
      <c r="N23" s="109">
        <f t="shared" si="2"/>
        <v>137.00977417846659</v>
      </c>
      <c r="O23" s="109">
        <f>'[6]4. 3 Trạm'!T91</f>
        <v>202466</v>
      </c>
      <c r="P23" s="109">
        <f>O23*M23</f>
        <v>2054.8015510235123</v>
      </c>
      <c r="Q23" s="130">
        <f t="shared" si="3"/>
        <v>27739820.938817415</v>
      </c>
      <c r="S23" s="144">
        <v>10</v>
      </c>
      <c r="T23" s="145" t="s">
        <v>19</v>
      </c>
      <c r="U23" s="146">
        <v>0.28000000000000003</v>
      </c>
      <c r="V23" s="571">
        <f t="shared" si="12"/>
        <v>-2.825337503267078E-3</v>
      </c>
      <c r="W23" s="109">
        <f t="shared" si="4"/>
        <v>-38.142056294105551</v>
      </c>
      <c r="X23" s="109">
        <f>'[6]4. 3 Trạm'!U91</f>
        <v>526884</v>
      </c>
      <c r="Y23" s="109">
        <f>X23*V23</f>
        <v>-1488.625125071371</v>
      </c>
      <c r="Z23" s="130">
        <f t="shared" si="5"/>
        <v>-20096439.188463509</v>
      </c>
      <c r="AB23" s="144">
        <v>10</v>
      </c>
      <c r="AC23" s="145" t="s">
        <v>19</v>
      </c>
      <c r="AD23" s="146">
        <v>0.28000000000000003</v>
      </c>
      <c r="AE23" s="571">
        <f t="shared" si="14"/>
        <v>-3.2096361625834069E-3</v>
      </c>
      <c r="AF23" s="109">
        <f t="shared" si="6"/>
        <v>-47.502615206234424</v>
      </c>
      <c r="AG23" s="109">
        <f>'[6]4. 3 Trạm'!V91</f>
        <v>278043</v>
      </c>
      <c r="AH23" s="109">
        <f>AG23*AE23</f>
        <v>-892.41686755317824</v>
      </c>
      <c r="AI23" s="130">
        <f t="shared" si="7"/>
        <v>-13207769.639787039</v>
      </c>
    </row>
    <row r="24" spans="1:35" x14ac:dyDescent="0.35">
      <c r="A24" s="144">
        <v>11</v>
      </c>
      <c r="B24" s="145" t="s">
        <v>430</v>
      </c>
      <c r="C24" s="146">
        <v>0.01</v>
      </c>
      <c r="D24" s="571">
        <f t="shared" si="8"/>
        <v>5.679732296147216E-3</v>
      </c>
      <c r="E24" s="109">
        <f t="shared" si="0"/>
        <v>36.918259924956907</v>
      </c>
      <c r="F24" s="109">
        <f>'[6]4. 3 Trạm'!S94</f>
        <v>13231</v>
      </c>
      <c r="G24" s="109">
        <f t="shared" si="9"/>
        <v>75.148538010323819</v>
      </c>
      <c r="H24" s="130">
        <f t="shared" si="1"/>
        <v>488465.49706710479</v>
      </c>
      <c r="J24" s="144">
        <v>11</v>
      </c>
      <c r="K24" s="145" t="s">
        <v>430</v>
      </c>
      <c r="L24" s="146">
        <v>0.01</v>
      </c>
      <c r="M24" s="571">
        <f t="shared" si="10"/>
        <v>8.9094986767816273E-3</v>
      </c>
      <c r="N24" s="109">
        <f t="shared" si="2"/>
        <v>57.911741399080576</v>
      </c>
      <c r="O24" s="109">
        <f>'[6]4. 3 Trạm'!T94</f>
        <v>9601</v>
      </c>
      <c r="P24" s="109">
        <f t="shared" ref="P24:P25" si="16">O24*M24</f>
        <v>85.5400967957804</v>
      </c>
      <c r="Q24" s="130">
        <f t="shared" si="3"/>
        <v>556010.62917257263</v>
      </c>
      <c r="S24" s="144">
        <v>11</v>
      </c>
      <c r="T24" s="145" t="s">
        <v>430</v>
      </c>
      <c r="U24" s="146">
        <v>0.01</v>
      </c>
      <c r="V24" s="571">
        <f t="shared" si="12"/>
        <v>8.0941222070304488E-3</v>
      </c>
      <c r="W24" s="109">
        <f t="shared" si="4"/>
        <v>52.611794345697916</v>
      </c>
      <c r="X24" s="109">
        <f>'[6]4. 3 Trạm'!U94</f>
        <v>28372</v>
      </c>
      <c r="Y24" s="109">
        <f t="shared" ref="Y24:Y25" si="17">X24*V24</f>
        <v>229.64643525786789</v>
      </c>
      <c r="Z24" s="130">
        <f t="shared" si="5"/>
        <v>1492701.8291761414</v>
      </c>
      <c r="AB24" s="144">
        <v>11</v>
      </c>
      <c r="AC24" s="145" t="s">
        <v>430</v>
      </c>
      <c r="AD24" s="146">
        <v>0.01</v>
      </c>
      <c r="AE24" s="571">
        <f t="shared" si="14"/>
        <v>1.3950693100032536E-2</v>
      </c>
      <c r="AF24" s="109">
        <f t="shared" si="6"/>
        <v>108.81540618025379</v>
      </c>
      <c r="AG24" s="109">
        <f>'[6]4. 3 Trạm'!V94</f>
        <v>21393</v>
      </c>
      <c r="AH24" s="109">
        <f t="shared" ref="AH24:AH25" si="18">AG24*AE24</f>
        <v>298.44717748899603</v>
      </c>
      <c r="AI24" s="130">
        <f t="shared" si="7"/>
        <v>2327887.9844141691</v>
      </c>
    </row>
    <row r="25" spans="1:35" x14ac:dyDescent="0.35">
      <c r="A25" s="144">
        <v>12</v>
      </c>
      <c r="B25" s="158" t="s">
        <v>747</v>
      </c>
      <c r="C25" s="146">
        <v>0</v>
      </c>
      <c r="D25" s="571">
        <f t="shared" si="8"/>
        <v>3.8483649987539918E-3</v>
      </c>
      <c r="E25" s="109">
        <f t="shared" si="0"/>
        <v>7.6967299975079833</v>
      </c>
      <c r="F25" s="109">
        <f>'[6]4. 3 Trạm'!S95</f>
        <v>0</v>
      </c>
      <c r="G25" s="109">
        <f t="shared" si="9"/>
        <v>0</v>
      </c>
      <c r="H25" s="130">
        <f t="shared" si="1"/>
        <v>0</v>
      </c>
      <c r="J25" s="144">
        <v>12</v>
      </c>
      <c r="K25" s="158" t="s">
        <v>747</v>
      </c>
      <c r="L25" s="146">
        <v>0</v>
      </c>
      <c r="M25" s="571">
        <f t="shared" si="10"/>
        <v>4.0771833612101467E-3</v>
      </c>
      <c r="N25" s="109">
        <f t="shared" si="2"/>
        <v>8.1543667224202938</v>
      </c>
      <c r="O25" s="109">
        <f>'[6]4. 3 Trạm'!T95</f>
        <v>0</v>
      </c>
      <c r="P25" s="109">
        <f t="shared" si="16"/>
        <v>0</v>
      </c>
      <c r="Q25" s="130">
        <f t="shared" si="3"/>
        <v>0</v>
      </c>
      <c r="S25" s="144">
        <v>12</v>
      </c>
      <c r="T25" s="158" t="s">
        <v>747</v>
      </c>
      <c r="U25" s="146">
        <v>0</v>
      </c>
      <c r="V25" s="571">
        <f t="shared" si="12"/>
        <v>7.6438511554141868E-3</v>
      </c>
      <c r="W25" s="109">
        <f t="shared" si="4"/>
        <v>15.287702310828374</v>
      </c>
      <c r="X25" s="109">
        <f>'[6]4. 3 Trạm'!U95</f>
        <v>0</v>
      </c>
      <c r="Y25" s="109">
        <f t="shared" si="17"/>
        <v>0</v>
      </c>
      <c r="Z25" s="130">
        <f t="shared" si="5"/>
        <v>0</v>
      </c>
      <c r="AB25" s="144">
        <v>12</v>
      </c>
      <c r="AC25" s="158" t="s">
        <v>747</v>
      </c>
      <c r="AD25" s="146">
        <v>0</v>
      </c>
      <c r="AE25" s="571">
        <f t="shared" si="14"/>
        <v>4.2130059126117168E-3</v>
      </c>
      <c r="AF25" s="109">
        <f t="shared" si="6"/>
        <v>13.902919511618665</v>
      </c>
      <c r="AG25" s="109">
        <f>'[6]4. 3 Trạm'!V95</f>
        <v>200.61099999999965</v>
      </c>
      <c r="AH25" s="109">
        <f t="shared" si="18"/>
        <v>0.84517532913494764</v>
      </c>
      <c r="AI25" s="130">
        <f t="shared" si="7"/>
        <v>2789.0785861453273</v>
      </c>
    </row>
    <row r="26" spans="1:35" x14ac:dyDescent="0.35">
      <c r="A26" s="572">
        <v>13</v>
      </c>
      <c r="B26" s="75" t="s">
        <v>482</v>
      </c>
      <c r="C26" s="571">
        <v>0.1</v>
      </c>
      <c r="D26" s="571">
        <f t="shared" si="8"/>
        <v>3.169763574143683E-3</v>
      </c>
      <c r="E26" s="130">
        <f>D26*C1</f>
        <v>31.69763574143683</v>
      </c>
      <c r="F26" s="109">
        <f>'[6]4. 3 Trạm'!S97</f>
        <v>117019</v>
      </c>
      <c r="G26" s="109">
        <f>-F26*D26</f>
        <v>-370.92256368271967</v>
      </c>
      <c r="H26" s="130">
        <f>$C$1*G26</f>
        <v>-3709225.6368271969</v>
      </c>
      <c r="J26" s="572">
        <v>13</v>
      </c>
      <c r="K26" s="75" t="s">
        <v>482</v>
      </c>
      <c r="L26" s="571">
        <v>0.1</v>
      </c>
      <c r="M26" s="571">
        <f t="shared" si="10"/>
        <v>3.169763574143683E-3</v>
      </c>
      <c r="N26" s="130">
        <f>M26*L1</f>
        <v>31.69763574143683</v>
      </c>
      <c r="O26" s="109">
        <f>'[6]4. 3 Trạm'!T97</f>
        <v>77982</v>
      </c>
      <c r="P26" s="109">
        <f>-O26*M26</f>
        <v>-247.18450303887269</v>
      </c>
      <c r="Q26" s="130">
        <f>$L$1*P26</f>
        <v>-2471845.0303887269</v>
      </c>
      <c r="S26" s="572">
        <v>13</v>
      </c>
      <c r="T26" s="75" t="s">
        <v>482</v>
      </c>
      <c r="U26" s="571">
        <v>0.1</v>
      </c>
      <c r="V26" s="571">
        <f t="shared" si="12"/>
        <v>3.169763574143683E-3</v>
      </c>
      <c r="W26" s="130">
        <f>V26*U1</f>
        <v>31.69763574143683</v>
      </c>
      <c r="X26" s="109">
        <f>'[6]4. 3 Trạm'!U97</f>
        <v>205626</v>
      </c>
      <c r="Y26" s="109">
        <f>-X26*V26</f>
        <v>-651.78580469686892</v>
      </c>
      <c r="Z26" s="130">
        <f>$U$1*Y26</f>
        <v>-6517858.0469686892</v>
      </c>
      <c r="AB26" s="572">
        <v>13</v>
      </c>
      <c r="AC26" s="75" t="s">
        <v>482</v>
      </c>
      <c r="AD26" s="571">
        <v>0.1</v>
      </c>
      <c r="AE26" s="571">
        <f t="shared" si="14"/>
        <v>3.169763574143683E-3</v>
      </c>
      <c r="AF26" s="130">
        <f>AE26*AD1</f>
        <v>35.81832838782362</v>
      </c>
      <c r="AG26" s="109">
        <f>'[6]4. 3 Trạm'!V97</f>
        <v>92319.388999999966</v>
      </c>
      <c r="AH26" s="109">
        <f>-AG26*AE26</f>
        <v>-292.63063643940092</v>
      </c>
      <c r="AI26" s="130">
        <f>$AD$1*AH26</f>
        <v>-3306726.1917652301</v>
      </c>
    </row>
    <row r="27" spans="1:35" x14ac:dyDescent="0.35">
      <c r="F27" s="573">
        <f>SUM(F19:F26)</f>
        <v>946019</v>
      </c>
      <c r="G27" s="573">
        <f>SUM(G19:G26)</f>
        <v>-15582.926339356196</v>
      </c>
      <c r="H27" s="573">
        <f>SUM(H19:H26)</f>
        <v>-229510926.70479053</v>
      </c>
      <c r="O27" s="573">
        <f>SUM(O19:O26)</f>
        <v>631064</v>
      </c>
      <c r="P27" s="573">
        <f>SUM(P19:P26)</f>
        <v>-10358.955436046121</v>
      </c>
      <c r="Q27" s="573">
        <f>SUM(Q19:Q26)</f>
        <v>-158725960.00416431</v>
      </c>
      <c r="X27" s="573">
        <f>SUM(X19:X26)</f>
        <v>1748535</v>
      </c>
      <c r="Y27" s="573">
        <f>SUM(Y19:Y26)</f>
        <v>-30118.11027319928</v>
      </c>
      <c r="Z27" s="573">
        <f>SUM(Z19:Z26)</f>
        <v>-450947769.43184841</v>
      </c>
      <c r="AG27" s="573">
        <f>SUM(AG19:AG26)</f>
        <v>898019</v>
      </c>
      <c r="AH27" s="573">
        <f>SUM(AH19:AH26)</f>
        <v>-10670.401789064837</v>
      </c>
      <c r="AI27" s="573">
        <f>SUM(AI19:AI26)</f>
        <v>-173973025.87331486</v>
      </c>
    </row>
    <row r="28" spans="1:35" x14ac:dyDescent="0.35">
      <c r="H28" s="168">
        <f>H27/F27</f>
        <v>-242.60710060240919</v>
      </c>
      <c r="Q28" s="168">
        <f>Q27/O27</f>
        <v>-251.52117693952485</v>
      </c>
      <c r="Z28" s="168">
        <f>Z27/X27</f>
        <v>-257.90033910207598</v>
      </c>
      <c r="AI28" s="168">
        <f>AI27/AG27</f>
        <v>-193.72978285906518</v>
      </c>
    </row>
  </sheetData>
  <mergeCells count="4">
    <mergeCell ref="E17:H17"/>
    <mergeCell ref="N17:Q17"/>
    <mergeCell ref="W17:Z17"/>
    <mergeCell ref="AF17:AI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FDC67-A754-433D-A5AA-ACF452083A78}">
  <sheetPr>
    <tabColor rgb="FFFFFF00"/>
  </sheetPr>
  <dimension ref="A2:AE44"/>
  <sheetViews>
    <sheetView zoomScale="85" zoomScaleNormal="85" workbookViewId="0">
      <selection activeCell="E14" sqref="E14"/>
    </sheetView>
  </sheetViews>
  <sheetFormatPr defaultRowHeight="14.5" x14ac:dyDescent="0.35"/>
  <cols>
    <col min="1" max="1" width="5.90625" customWidth="1"/>
    <col min="2" max="2" width="24.08984375" customWidth="1"/>
    <col min="3" max="3" width="19.81640625" customWidth="1"/>
    <col min="4" max="4" width="15.7265625" bestFit="1"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4"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3</v>
      </c>
    </row>
    <row r="6" spans="1:31" x14ac:dyDescent="0.35">
      <c r="B6" s="117" t="s">
        <v>396</v>
      </c>
      <c r="C6" s="136">
        <v>11300</v>
      </c>
      <c r="E6" s="147"/>
    </row>
    <row r="7" spans="1:31" x14ac:dyDescent="0.35">
      <c r="B7" s="117" t="s">
        <v>397</v>
      </c>
      <c r="C7" s="137">
        <v>3000</v>
      </c>
      <c r="E7" s="147"/>
    </row>
    <row r="8" spans="1:31" x14ac:dyDescent="0.35">
      <c r="B8" s="117" t="s">
        <v>398</v>
      </c>
      <c r="C8" s="138">
        <v>0.1</v>
      </c>
      <c r="E8" s="147"/>
    </row>
    <row r="9" spans="1:31" x14ac:dyDescent="0.35">
      <c r="B9" s="117" t="s">
        <v>399</v>
      </c>
      <c r="C9" s="139">
        <f>SUM(C6:C7)</f>
        <v>14300</v>
      </c>
      <c r="E9" s="147"/>
    </row>
    <row r="10" spans="1:31" x14ac:dyDescent="0.35">
      <c r="B10" s="117" t="s">
        <v>400</v>
      </c>
      <c r="C10" s="139">
        <f>C9*C8/(1-C8)</f>
        <v>1588.8888888888889</v>
      </c>
      <c r="E10" s="147"/>
    </row>
    <row r="11" spans="1:31" x14ac:dyDescent="0.35">
      <c r="B11" s="117" t="s">
        <v>401</v>
      </c>
      <c r="C11" s="139">
        <f>+C9/(1-C8)</f>
        <v>15888.888888888889</v>
      </c>
      <c r="E11" s="147"/>
      <c r="X11" t="s">
        <v>402</v>
      </c>
    </row>
    <row r="12" spans="1:31" x14ac:dyDescent="0.35">
      <c r="B12" s="140" t="s">
        <v>403</v>
      </c>
      <c r="S12" t="s">
        <v>404</v>
      </c>
      <c r="V12" t="s">
        <v>405</v>
      </c>
      <c r="W12" t="s">
        <v>406</v>
      </c>
      <c r="X12" t="s">
        <v>405</v>
      </c>
      <c r="Y12" t="s">
        <v>406</v>
      </c>
    </row>
    <row r="13" spans="1:31" ht="48" x14ac:dyDescent="0.35">
      <c r="A13" s="141" t="s">
        <v>0</v>
      </c>
      <c r="B13" s="141" t="s">
        <v>407</v>
      </c>
      <c r="C13" s="141" t="s">
        <v>408</v>
      </c>
      <c r="D13" s="109">
        <v>500</v>
      </c>
      <c r="E13" s="142" t="s">
        <v>409</v>
      </c>
      <c r="F13" s="143" t="s">
        <v>410</v>
      </c>
      <c r="G13" s="143" t="s">
        <v>411</v>
      </c>
      <c r="H13" s="143" t="s">
        <v>412</v>
      </c>
      <c r="I13" s="143" t="s">
        <v>413</v>
      </c>
      <c r="J13" s="143" t="s">
        <v>414</v>
      </c>
      <c r="K13" s="143" t="s">
        <v>415</v>
      </c>
      <c r="L13" s="143" t="s">
        <v>416</v>
      </c>
      <c r="M13" s="143" t="s">
        <v>417</v>
      </c>
      <c r="N13" s="143" t="s">
        <v>418</v>
      </c>
      <c r="O13" s="142" t="s">
        <v>519</v>
      </c>
      <c r="P13" s="1131" t="s">
        <v>419</v>
      </c>
      <c r="Q13" s="1131"/>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0.54</v>
      </c>
      <c r="D14" s="109">
        <f>$D$13*C14*E14</f>
        <v>4266000</v>
      </c>
      <c r="E14" s="147">
        <f>'GAP (KN)'!I9</f>
        <v>15800</v>
      </c>
      <c r="F14" s="148">
        <f>C14*1000</f>
        <v>540</v>
      </c>
      <c r="G14" s="149">
        <f>F14/1000/(1-$C$8)</f>
        <v>0.6</v>
      </c>
      <c r="H14" s="149">
        <f>E14*G14/SUMPRODUCT($E$14:$E$20,$G$14:$G$20)</f>
        <v>0.63590966684057537</v>
      </c>
      <c r="I14" s="148">
        <f>$C$6*H14</f>
        <v>7185.7792352985016</v>
      </c>
      <c r="J14" s="150">
        <f>($C$7+$C$10)*H14</f>
        <v>2918.1188045017511</v>
      </c>
      <c r="K14" s="148">
        <f>I14+J14</f>
        <v>10103.898039800253</v>
      </c>
      <c r="L14" s="148">
        <f>E14*G14</f>
        <v>9480</v>
      </c>
      <c r="M14" s="148">
        <f>L14-K14</f>
        <v>-623.89803980025317</v>
      </c>
      <c r="N14" s="148">
        <f>K14/(F14/(1-$C$8))*1000</f>
        <v>16839.830066333754</v>
      </c>
      <c r="O14" s="147">
        <v>15000</v>
      </c>
      <c r="P14" s="130">
        <f t="shared" ref="P14:P22" si="0">O14-N14</f>
        <v>-1839.8300663337541</v>
      </c>
      <c r="Q14" s="151">
        <f t="shared" ref="Q14:Q20" si="1">P14/E14</f>
        <v>-0.11644494090719963</v>
      </c>
      <c r="R14" s="109">
        <f t="shared" ref="R14:R19" si="2">I14/F14*1000</f>
        <v>13306.998583886114</v>
      </c>
      <c r="S14" s="152">
        <f>'[7]BOM (Long)'!$P$7</f>
        <v>11536.63177925785</v>
      </c>
      <c r="T14" s="130">
        <f t="shared" ref="T14:T19" si="3">R14-S14</f>
        <v>1770.3668046282637</v>
      </c>
      <c r="U14" s="151">
        <f t="shared" ref="U14:U19" si="4">T14/S14</f>
        <v>0.15345612467334474</v>
      </c>
      <c r="V14" s="153">
        <f t="shared" ref="V14:W19" si="5">R14/R$16</f>
        <v>1.2153846153846153</v>
      </c>
      <c r="W14" s="154">
        <f t="shared" si="5"/>
        <v>1.25</v>
      </c>
      <c r="X14" s="153">
        <f t="shared" ref="X14:X19" si="6">S14/C$6</f>
        <v>1.0209408654210488</v>
      </c>
      <c r="Y14" s="154">
        <f t="shared" ref="Y14:Y19" si="7">S14/C$6</f>
        <v>1.0209408654210488</v>
      </c>
      <c r="Z14" s="109">
        <v>9700</v>
      </c>
      <c r="AA14" s="152"/>
      <c r="AC14" s="109">
        <v>12500</v>
      </c>
      <c r="AE14" s="130">
        <f>AC14+AD14</f>
        <v>12500</v>
      </c>
    </row>
    <row r="15" spans="1:31" x14ac:dyDescent="0.35">
      <c r="A15" s="144">
        <v>5</v>
      </c>
      <c r="B15" s="145" t="s">
        <v>22</v>
      </c>
      <c r="C15" s="155">
        <v>0.03</v>
      </c>
      <c r="D15" s="109">
        <f t="shared" ref="D15:D19" si="8">$D$13*C15*E15</f>
        <v>214500</v>
      </c>
      <c r="E15" s="147">
        <f>'GAP (KN)'!I11</f>
        <v>14300</v>
      </c>
      <c r="F15" s="148">
        <f t="shared" ref="F15:F20" si="9">C15*1000</f>
        <v>30</v>
      </c>
      <c r="G15" s="149">
        <f t="shared" ref="G15:G20" si="10">F15/1000/(1-$C$8)</f>
        <v>3.3333333333333333E-2</v>
      </c>
      <c r="H15" s="149">
        <f t="shared" ref="H15:H20" si="11">E15*G15/SUMPRODUCT($E$14:$E$20,$G$14:$G$20)</f>
        <v>3.1974360885443844E-2</v>
      </c>
      <c r="I15" s="148">
        <f t="shared" ref="I15:I20" si="12">$C$6*H15</f>
        <v>361.31027800551544</v>
      </c>
      <c r="J15" s="150">
        <f t="shared" ref="J15:J20" si="13">($C$7+$C$10)*H15</f>
        <v>146.72678939653673</v>
      </c>
      <c r="K15" s="148">
        <f t="shared" ref="K15:K20" si="14">I15+J15</f>
        <v>508.03706740205217</v>
      </c>
      <c r="L15" s="148">
        <f t="shared" ref="L15:L20" si="15">E15*G15</f>
        <v>476.66666666666669</v>
      </c>
      <c r="M15" s="148">
        <f t="shared" ref="M15:M20" si="16">L15-K15</f>
        <v>-31.370400735385488</v>
      </c>
      <c r="N15" s="148">
        <f t="shared" ref="N15:N20" si="17">K15/(F15/(1-$C$8))*1000</f>
        <v>15241.112022061565</v>
      </c>
      <c r="O15" s="147">
        <v>13500</v>
      </c>
      <c r="P15" s="130">
        <f t="shared" si="0"/>
        <v>-1741.1120220615649</v>
      </c>
      <c r="Q15" s="151">
        <f t="shared" si="1"/>
        <v>-0.12175608545885069</v>
      </c>
      <c r="R15" s="109">
        <f t="shared" si="2"/>
        <v>12043.675933517183</v>
      </c>
      <c r="S15" s="152">
        <f>'[7]BOM (Long)'!$P$9</f>
        <v>10152.23596574691</v>
      </c>
      <c r="T15" s="130">
        <f t="shared" si="3"/>
        <v>1891.4399677702731</v>
      </c>
      <c r="U15" s="151">
        <f t="shared" si="4"/>
        <v>0.1863077231608769</v>
      </c>
      <c r="V15" s="153">
        <f t="shared" si="5"/>
        <v>1.1000000000000003</v>
      </c>
      <c r="W15" s="153">
        <f t="shared" si="5"/>
        <v>1.1000000000000001</v>
      </c>
      <c r="X15" s="153">
        <f t="shared" si="6"/>
        <v>0.89842796157052296</v>
      </c>
      <c r="Y15" s="153">
        <f t="shared" si="7"/>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D16" s="109">
        <f t="shared" si="8"/>
        <v>130000</v>
      </c>
      <c r="E16" s="147">
        <f>'GAP (KN)'!I10</f>
        <v>13000</v>
      </c>
      <c r="F16" s="148">
        <f t="shared" si="9"/>
        <v>20</v>
      </c>
      <c r="G16" s="149">
        <f t="shared" si="10"/>
        <v>2.2222222222222223E-2</v>
      </c>
      <c r="H16" s="149">
        <f t="shared" si="11"/>
        <v>1.9378400536632631E-2</v>
      </c>
      <c r="I16" s="148">
        <f t="shared" si="12"/>
        <v>218.97592606394872</v>
      </c>
      <c r="J16" s="150">
        <f t="shared" si="13"/>
        <v>88.925326906991955</v>
      </c>
      <c r="K16" s="148">
        <f t="shared" si="14"/>
        <v>307.90125297094067</v>
      </c>
      <c r="L16" s="148">
        <f t="shared" si="15"/>
        <v>288.88888888888891</v>
      </c>
      <c r="M16" s="148">
        <f t="shared" si="16"/>
        <v>-19.012364082051761</v>
      </c>
      <c r="N16" s="148">
        <f t="shared" si="17"/>
        <v>13855.556383692332</v>
      </c>
      <c r="O16" s="147">
        <v>12000</v>
      </c>
      <c r="P16" s="130">
        <f t="shared" si="0"/>
        <v>-1855.556383692332</v>
      </c>
      <c r="Q16" s="151">
        <f t="shared" si="1"/>
        <v>-0.14273510643787168</v>
      </c>
      <c r="R16" s="109">
        <f t="shared" si="2"/>
        <v>10948.796303197436</v>
      </c>
      <c r="S16" s="152">
        <f>'[7]BOM (Long)'!$P$10</f>
        <v>9229.3054234062802</v>
      </c>
      <c r="T16" s="130">
        <f t="shared" si="3"/>
        <v>1719.4908797911557</v>
      </c>
      <c r="U16" s="151">
        <f t="shared" si="4"/>
        <v>0.18630772316087676</v>
      </c>
      <c r="V16" s="153">
        <f t="shared" si="5"/>
        <v>1</v>
      </c>
      <c r="W16" s="156">
        <f t="shared" si="5"/>
        <v>1</v>
      </c>
      <c r="X16" s="153">
        <f t="shared" si="6"/>
        <v>0.816752692336839</v>
      </c>
      <c r="Y16" s="156">
        <f t="shared" si="7"/>
        <v>0.816752692336839</v>
      </c>
      <c r="Z16" s="109">
        <f>Z15/$Y$15</f>
        <v>12017.253275112887</v>
      </c>
      <c r="AA16" s="152">
        <f>Z16-$Z$14</f>
        <v>2317.2532751128874</v>
      </c>
      <c r="AB16" s="130">
        <f>Z16-Z15</f>
        <v>1220.6169114765253</v>
      </c>
      <c r="AC16" s="109">
        <v>9000</v>
      </c>
    </row>
    <row r="17" spans="1:31" x14ac:dyDescent="0.35">
      <c r="A17" s="144">
        <v>8</v>
      </c>
      <c r="B17" s="145" t="s">
        <v>29</v>
      </c>
      <c r="C17" s="155">
        <v>0.02</v>
      </c>
      <c r="D17" s="109">
        <f t="shared" si="8"/>
        <v>130000</v>
      </c>
      <c r="E17" s="147">
        <f>'GAP (KN)'!I10</f>
        <v>13000</v>
      </c>
      <c r="F17" s="148">
        <f t="shared" si="9"/>
        <v>20</v>
      </c>
      <c r="G17" s="149">
        <f t="shared" si="10"/>
        <v>2.2222222222222223E-2</v>
      </c>
      <c r="H17" s="149">
        <f t="shared" si="11"/>
        <v>1.9378400536632631E-2</v>
      </c>
      <c r="I17" s="148">
        <f t="shared" si="12"/>
        <v>218.97592606394872</v>
      </c>
      <c r="J17" s="150">
        <f t="shared" si="13"/>
        <v>88.925326906991955</v>
      </c>
      <c r="K17" s="148">
        <f t="shared" si="14"/>
        <v>307.90125297094067</v>
      </c>
      <c r="L17" s="148">
        <f t="shared" si="15"/>
        <v>288.88888888888891</v>
      </c>
      <c r="M17" s="148">
        <f t="shared" si="16"/>
        <v>-19.012364082051761</v>
      </c>
      <c r="N17" s="148">
        <f t="shared" si="17"/>
        <v>13855.556383692332</v>
      </c>
      <c r="O17" s="147">
        <v>12000</v>
      </c>
      <c r="P17" s="130">
        <f t="shared" si="0"/>
        <v>-1855.556383692332</v>
      </c>
      <c r="Q17" s="151">
        <f t="shared" si="1"/>
        <v>-0.14273510643787168</v>
      </c>
      <c r="R17" s="109">
        <f t="shared" si="2"/>
        <v>10948.796303197436</v>
      </c>
      <c r="S17" s="152">
        <f>'[7]BOM (Long)'!$P$11</f>
        <v>9229.3054234062802</v>
      </c>
      <c r="T17" s="130">
        <f t="shared" si="3"/>
        <v>1719.4908797911557</v>
      </c>
      <c r="U17" s="151">
        <f t="shared" si="4"/>
        <v>0.18630772316087676</v>
      </c>
      <c r="V17" s="153">
        <f t="shared" si="5"/>
        <v>1</v>
      </c>
      <c r="W17" s="156">
        <f t="shared" si="5"/>
        <v>1</v>
      </c>
      <c r="X17" s="153">
        <f t="shared" si="6"/>
        <v>0.816752692336839</v>
      </c>
      <c r="Y17" s="156">
        <f t="shared" si="7"/>
        <v>0.816752692336839</v>
      </c>
      <c r="Z17" s="109">
        <f>Z16/$Y$15</f>
        <v>13375.867391867212</v>
      </c>
      <c r="AA17" s="152">
        <f>Z17-$Z$14</f>
        <v>3675.8673918672121</v>
      </c>
      <c r="AB17" s="130">
        <f>Z17-Z16</f>
        <v>1358.6141167543246</v>
      </c>
      <c r="AC17" s="109">
        <v>9000</v>
      </c>
    </row>
    <row r="18" spans="1:31" x14ac:dyDescent="0.35">
      <c r="A18" s="144">
        <v>10</v>
      </c>
      <c r="B18" s="145" t="s">
        <v>19</v>
      </c>
      <c r="C18" s="155">
        <v>0.27</v>
      </c>
      <c r="D18" s="109">
        <f t="shared" si="8"/>
        <v>1930500</v>
      </c>
      <c r="E18" s="147">
        <f>'GAP (KN)'!I11</f>
        <v>14300</v>
      </c>
      <c r="F18" s="148">
        <f t="shared" si="9"/>
        <v>270</v>
      </c>
      <c r="G18" s="149">
        <f t="shared" si="10"/>
        <v>0.3</v>
      </c>
      <c r="H18" s="149">
        <f t="shared" si="11"/>
        <v>0.28776924796899456</v>
      </c>
      <c r="I18" s="148">
        <f t="shared" si="12"/>
        <v>3251.7925020496386</v>
      </c>
      <c r="J18" s="150">
        <f t="shared" si="13"/>
        <v>1320.5411045688306</v>
      </c>
      <c r="K18" s="148">
        <f t="shared" si="14"/>
        <v>4572.3336066184693</v>
      </c>
      <c r="L18" s="148">
        <f t="shared" si="15"/>
        <v>4290</v>
      </c>
      <c r="M18" s="148">
        <f t="shared" si="16"/>
        <v>-282.33360661846928</v>
      </c>
      <c r="N18" s="148">
        <f t="shared" si="17"/>
        <v>15241.112022061565</v>
      </c>
      <c r="O18" s="147">
        <v>13500</v>
      </c>
      <c r="P18" s="130">
        <f t="shared" si="0"/>
        <v>-1741.1120220615649</v>
      </c>
      <c r="Q18" s="151">
        <f t="shared" si="1"/>
        <v>-0.12175608545885069</v>
      </c>
      <c r="R18" s="109">
        <f t="shared" si="2"/>
        <v>12043.675933517181</v>
      </c>
      <c r="S18" s="152">
        <f>'[7]BOM (Long)'!$P$13</f>
        <v>10152.235965746908</v>
      </c>
      <c r="T18" s="130">
        <f t="shared" si="3"/>
        <v>1891.4399677702731</v>
      </c>
      <c r="U18" s="151">
        <f t="shared" si="4"/>
        <v>0.18630772316087696</v>
      </c>
      <c r="V18" s="153">
        <f t="shared" si="5"/>
        <v>1.1000000000000001</v>
      </c>
      <c r="W18" s="153">
        <f t="shared" si="5"/>
        <v>1.0999999999999999</v>
      </c>
      <c r="X18" s="153">
        <f t="shared" si="6"/>
        <v>0.89842796157052285</v>
      </c>
      <c r="Y18" s="153">
        <f t="shared" si="7"/>
        <v>0.89842796157052285</v>
      </c>
      <c r="Z18" s="109">
        <f>Z17/$Y$15</f>
        <v>14888.080028681588</v>
      </c>
      <c r="AA18" s="152">
        <f>Z18-$Z$14</f>
        <v>5188.0800286815884</v>
      </c>
      <c r="AB18" s="130">
        <f>Z18-Z17</f>
        <v>1512.2126368143763</v>
      </c>
      <c r="AC18" s="109">
        <v>10000</v>
      </c>
      <c r="AD18" s="109">
        <f>'[8]CP Công đoạn (3)'!$CJ$6</f>
        <v>2321.0309940637335</v>
      </c>
      <c r="AE18" s="130">
        <f>AC18+AD18</f>
        <v>12321.030994063734</v>
      </c>
    </row>
    <row r="19" spans="1:31" x14ac:dyDescent="0.35">
      <c r="A19" s="144">
        <v>11</v>
      </c>
      <c r="B19" s="145" t="s">
        <v>430</v>
      </c>
      <c r="C19" s="155">
        <v>0.01</v>
      </c>
      <c r="D19" s="109">
        <f t="shared" si="8"/>
        <v>37500</v>
      </c>
      <c r="E19" s="147">
        <f>'GAP (KN)'!I12</f>
        <v>7500</v>
      </c>
      <c r="F19" s="148">
        <f t="shared" si="9"/>
        <v>10</v>
      </c>
      <c r="G19" s="149">
        <f t="shared" si="10"/>
        <v>1.1111111111111112E-2</v>
      </c>
      <c r="H19" s="149">
        <f t="shared" si="11"/>
        <v>5.5899232317209516E-3</v>
      </c>
      <c r="I19" s="148">
        <f t="shared" si="12"/>
        <v>63.166132518446751</v>
      </c>
      <c r="J19" s="150">
        <f t="shared" si="13"/>
        <v>25.651536607786142</v>
      </c>
      <c r="K19" s="148">
        <f>I19+J19</f>
        <v>88.817669126232886</v>
      </c>
      <c r="L19" s="148">
        <f t="shared" si="15"/>
        <v>83.333333333333343</v>
      </c>
      <c r="M19" s="148">
        <f t="shared" si="16"/>
        <v>-5.4843357928995431</v>
      </c>
      <c r="N19" s="148">
        <f t="shared" si="17"/>
        <v>7993.5902213609597</v>
      </c>
      <c r="O19" s="147">
        <v>6500</v>
      </c>
      <c r="P19" s="130">
        <f t="shared" si="0"/>
        <v>-1493.5902213609597</v>
      </c>
      <c r="Q19" s="151">
        <f t="shared" si="1"/>
        <v>-0.19914536284812798</v>
      </c>
      <c r="R19" s="109">
        <f t="shared" si="2"/>
        <v>6316.6132518446748</v>
      </c>
      <c r="S19" s="152">
        <f>'[7]BOM (Long)'!$P$14</f>
        <v>5537.5832540437677</v>
      </c>
      <c r="T19" s="130">
        <f t="shared" si="3"/>
        <v>779.02999780090704</v>
      </c>
      <c r="U19" s="151">
        <f t="shared" si="4"/>
        <v>0.14068050303930468</v>
      </c>
      <c r="V19" s="153">
        <f t="shared" si="5"/>
        <v>0.57692307692307698</v>
      </c>
      <c r="W19" s="157">
        <f t="shared" si="5"/>
        <v>0.6</v>
      </c>
      <c r="X19" s="153">
        <f t="shared" si="6"/>
        <v>0.49005161540210335</v>
      </c>
      <c r="Y19" s="157">
        <f t="shared" si="7"/>
        <v>0.49005161540210335</v>
      </c>
      <c r="Z19" s="109">
        <f>Z18/$Y$15</f>
        <v>16571.256311586796</v>
      </c>
      <c r="AA19" s="152">
        <f>Z19-$Z$14</f>
        <v>6871.2563115867961</v>
      </c>
      <c r="AB19" s="130">
        <f>Z19-Z18</f>
        <v>1683.1762829052077</v>
      </c>
      <c r="AC19" s="109">
        <v>5000</v>
      </c>
    </row>
    <row r="20" spans="1:31" hidden="1" x14ac:dyDescent="0.35">
      <c r="A20" s="144"/>
      <c r="B20" s="158"/>
      <c r="C20" s="159"/>
      <c r="E20" s="147"/>
      <c r="F20" s="160">
        <f t="shared" si="9"/>
        <v>0</v>
      </c>
      <c r="G20" s="160">
        <f t="shared" si="10"/>
        <v>0</v>
      </c>
      <c r="H20" s="160">
        <f t="shared" si="11"/>
        <v>0</v>
      </c>
      <c r="I20" s="160">
        <f t="shared" si="12"/>
        <v>0</v>
      </c>
      <c r="J20" s="160">
        <f t="shared" si="13"/>
        <v>0</v>
      </c>
      <c r="K20" s="160">
        <f t="shared" si="14"/>
        <v>0</v>
      </c>
      <c r="L20" s="160">
        <f t="shared" si="15"/>
        <v>0</v>
      </c>
      <c r="M20" s="160">
        <f t="shared" si="16"/>
        <v>0</v>
      </c>
      <c r="N20" s="160" t="e">
        <f t="shared" si="17"/>
        <v>#DIV/0!</v>
      </c>
      <c r="O20" s="160"/>
      <c r="P20" s="160" t="e">
        <f t="shared" si="0"/>
        <v>#DIV/0!</v>
      </c>
      <c r="Q20" s="161" t="e">
        <f t="shared" si="1"/>
        <v>#DIV/0!</v>
      </c>
    </row>
    <row r="21" spans="1:31" s="75" customFormat="1" ht="29" x14ac:dyDescent="0.35">
      <c r="B21" s="162" t="s">
        <v>431</v>
      </c>
      <c r="C21" s="163">
        <f>SUM(C14:C20)</f>
        <v>0.89000000000000012</v>
      </c>
      <c r="D21" s="470">
        <f>SUM(D14:D19)</f>
        <v>6708500</v>
      </c>
      <c r="E21" s="470">
        <f>E14-E18</f>
        <v>1500</v>
      </c>
      <c r="F21" s="164">
        <f>SUM(F14:F20)</f>
        <v>890</v>
      </c>
      <c r="G21" s="78">
        <f t="shared" ref="G21:L21" si="18">SUM(G14:G20)</f>
        <v>0.98888888888888893</v>
      </c>
      <c r="H21" s="78">
        <f t="shared" si="18"/>
        <v>1</v>
      </c>
      <c r="I21" s="165">
        <f t="shared" si="18"/>
        <v>11300</v>
      </c>
      <c r="J21" s="165">
        <f>SUM(J14:J20)</f>
        <v>4588.8888888888887</v>
      </c>
      <c r="K21" s="164">
        <f t="shared" si="18"/>
        <v>15888.888888888887</v>
      </c>
      <c r="L21" s="164">
        <f t="shared" si="18"/>
        <v>14907.777777777777</v>
      </c>
      <c r="M21" s="164">
        <f>SUM(M14:M20)</f>
        <v>-981.11111111111097</v>
      </c>
      <c r="N21" s="200">
        <f>SUMPRODUCT(C14:C19,N14:N19)</f>
        <v>14300</v>
      </c>
      <c r="P21" s="75">
        <f t="shared" si="0"/>
        <v>-14300</v>
      </c>
    </row>
    <row r="22" spans="1:31" x14ac:dyDescent="0.35">
      <c r="B22" t="s">
        <v>432</v>
      </c>
      <c r="C22" s="166">
        <f>100%-C21</f>
        <v>0.10999999999999988</v>
      </c>
      <c r="D22" s="109">
        <f>C6*D13</f>
        <v>5650000</v>
      </c>
      <c r="E22" s="274">
        <f>E21/E14</f>
        <v>9.49367088607595E-2</v>
      </c>
      <c r="N22" s="130">
        <f>K21-N21</f>
        <v>1588.8888888888869</v>
      </c>
      <c r="P22" s="130">
        <f t="shared" si="0"/>
        <v>-1588.8888888888869</v>
      </c>
    </row>
    <row r="23" spans="1:31" x14ac:dyDescent="0.35">
      <c r="B23" t="s">
        <v>433</v>
      </c>
      <c r="D23" s="872">
        <f>D21-D22</f>
        <v>1058500</v>
      </c>
      <c r="E23" s="868">
        <f>SUMPRODUCT(C14:C19,E14:E19)</f>
        <v>13417</v>
      </c>
      <c r="F23" s="148">
        <f>1000-F21</f>
        <v>110</v>
      </c>
    </row>
    <row r="24" spans="1:31" x14ac:dyDescent="0.35">
      <c r="D24" s="283">
        <f>D23/D21</f>
        <v>0.15778489975404339</v>
      </c>
      <c r="E24" s="109">
        <f>'Giá mua Chai-Vảy'!E23</f>
        <v>14055</v>
      </c>
    </row>
    <row r="25" spans="1:31" x14ac:dyDescent="0.35">
      <c r="E25" s="130">
        <f>E23-E24</f>
        <v>-638</v>
      </c>
    </row>
    <row r="26" spans="1:31" x14ac:dyDescent="0.35">
      <c r="B26" s="117" t="s">
        <v>434</v>
      </c>
      <c r="C26" s="136">
        <f>C11</f>
        <v>15888.888888888889</v>
      </c>
      <c r="E26" s="109">
        <f>'[4]Consol PL-DTRG-T04.26'!$D$4+'[4]Consol PL-DTRG-T04.26'!$E$4</f>
        <v>1134.354</v>
      </c>
    </row>
    <row r="27" spans="1:31" x14ac:dyDescent="0.35">
      <c r="B27" s="117" t="s">
        <v>686</v>
      </c>
      <c r="C27" s="137">
        <v>1500</v>
      </c>
    </row>
    <row r="28" spans="1:31" x14ac:dyDescent="0.35">
      <c r="B28" s="117" t="s">
        <v>398</v>
      </c>
      <c r="C28" s="138">
        <v>0.06</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1131" t="s">
        <v>419</v>
      </c>
      <c r="Q34" s="1131"/>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N14</f>
        <v>16839.830066333754</v>
      </c>
      <c r="F35" s="148">
        <f>C35*1000</f>
        <v>540</v>
      </c>
      <c r="G35" s="149">
        <f t="shared" ref="G35:G40" si="19">F35/1000/(1-$C$28)</f>
        <v>0.57446808510638303</v>
      </c>
      <c r="H35" s="549">
        <f t="shared" ref="H35:H40" si="20">E35*G35/SUMPRODUCT($E$35:$E$40,$G$35:$G$40)</f>
        <v>0.63590966684057537</v>
      </c>
      <c r="I35" s="148">
        <f>$C$26*H35</f>
        <v>10103.898039800253</v>
      </c>
      <c r="J35" s="150">
        <f>($C$27+$C$30)*H35</f>
        <v>1659.6791304775302</v>
      </c>
      <c r="K35" s="148">
        <f>I35+J35</f>
        <v>11763.577170277784</v>
      </c>
      <c r="L35" s="148">
        <f t="shared" ref="L35:L40" si="21">O35</f>
        <v>18300</v>
      </c>
      <c r="M35" s="148">
        <f>L35-N35</f>
        <v>-2177.3380371502135</v>
      </c>
      <c r="N35" s="148">
        <f t="shared" ref="N35:N40" si="22">K35/(F35/(1-$C$28))*1000</f>
        <v>20477.338037150213</v>
      </c>
      <c r="O35" s="168">
        <v>18300</v>
      </c>
      <c r="P35" s="130">
        <f t="shared" ref="P35:P41" si="23">O35-N35</f>
        <v>-2177.3380371502135</v>
      </c>
      <c r="Q35" s="151">
        <f>P35/E35</f>
        <v>-0.12929691265134291</v>
      </c>
      <c r="R35" s="109">
        <f t="shared" ref="R35:R40" si="24">I35/F35*1000</f>
        <v>18710.922295926393</v>
      </c>
      <c r="S35" s="152">
        <f>'[7]BOM (Long)'!$P$7</f>
        <v>11536.63177925785</v>
      </c>
      <c r="T35" s="130">
        <f t="shared" ref="T35:T40" si="25">R35-S35</f>
        <v>7174.2905166685432</v>
      </c>
      <c r="U35" s="151">
        <f t="shared" ref="U35:U40" si="26">T35/S35</f>
        <v>0.62187046045514549</v>
      </c>
      <c r="V35" s="153">
        <f t="shared" ref="V35:W40" si="27">R35/R$16</f>
        <v>1.7089478859390363</v>
      </c>
      <c r="W35" s="154">
        <f t="shared" si="27"/>
        <v>1.25</v>
      </c>
      <c r="X35" s="153">
        <f t="shared" ref="X35:X40" si="28">S35/C$6</f>
        <v>1.0209408654210488</v>
      </c>
      <c r="Y35" s="154">
        <f t="shared" ref="Y35:Y40" si="29">S35/C$6</f>
        <v>1.0209408654210488</v>
      </c>
      <c r="Z35" s="109">
        <v>9700</v>
      </c>
      <c r="AA35" s="152"/>
    </row>
    <row r="36" spans="1:28" x14ac:dyDescent="0.35">
      <c r="A36" s="144">
        <v>5</v>
      </c>
      <c r="B36" s="145" t="s">
        <v>442</v>
      </c>
      <c r="C36" s="155">
        <v>0.03</v>
      </c>
      <c r="E36" s="147">
        <f t="shared" ref="E36:E39" si="30">N15</f>
        <v>15241.112022061565</v>
      </c>
      <c r="F36" s="148">
        <f t="shared" ref="F36:F41" si="31">C36*1000</f>
        <v>30</v>
      </c>
      <c r="G36" s="149">
        <f t="shared" si="19"/>
        <v>3.1914893617021274E-2</v>
      </c>
      <c r="H36" s="549">
        <f t="shared" si="20"/>
        <v>3.1974360885443837E-2</v>
      </c>
      <c r="I36" s="148">
        <f>$C$26*H36</f>
        <v>508.03706740205206</v>
      </c>
      <c r="J36" s="150">
        <f t="shared" ref="J36:J40" si="32">($C$27+$C$30)*H36</f>
        <v>83.450814225839238</v>
      </c>
      <c r="K36" s="148">
        <f t="shared" ref="K36:K40" si="33">I36+J36</f>
        <v>591.48788162789128</v>
      </c>
      <c r="L36" s="148">
        <f t="shared" si="21"/>
        <v>16800</v>
      </c>
      <c r="M36" s="148">
        <f t="shared" ref="M36:M40" si="34">L36-N36</f>
        <v>-1733.2869576739249</v>
      </c>
      <c r="N36" s="148">
        <f t="shared" si="22"/>
        <v>18533.286957673925</v>
      </c>
      <c r="O36" s="147">
        <f>O35-1500</f>
        <v>16800</v>
      </c>
      <c r="P36" s="130">
        <f t="shared" si="23"/>
        <v>-1733.2869576739249</v>
      </c>
      <c r="Q36" s="151">
        <f t="shared" ref="Q36:Q41" si="35">P36/E36</f>
        <v>-0.11372444183632964</v>
      </c>
      <c r="R36" s="109">
        <f t="shared" si="24"/>
        <v>16934.568913401738</v>
      </c>
      <c r="S36" s="152">
        <f>'[7]BOM (Long)'!$P$9</f>
        <v>10152.23596574691</v>
      </c>
      <c r="T36" s="130">
        <f t="shared" si="25"/>
        <v>6782.3329476548279</v>
      </c>
      <c r="U36" s="151">
        <f t="shared" si="26"/>
        <v>0.66806297356937416</v>
      </c>
      <c r="V36" s="153">
        <f t="shared" si="27"/>
        <v>1.5467059980334317</v>
      </c>
      <c r="W36" s="153">
        <f t="shared" si="27"/>
        <v>1.1000000000000001</v>
      </c>
      <c r="X36" s="153">
        <f t="shared" si="28"/>
        <v>0.89842796157052296</v>
      </c>
      <c r="Y36" s="153">
        <f t="shared" si="29"/>
        <v>0.89842796157052296</v>
      </c>
      <c r="Z36" s="109">
        <f>Z35/$Y$15</f>
        <v>10796.636363636362</v>
      </c>
      <c r="AA36" s="152">
        <f>Z36-$Z$14</f>
        <v>1096.6363636363621</v>
      </c>
      <c r="AB36" s="130">
        <f>Z36-Z35</f>
        <v>1096.6363636363621</v>
      </c>
    </row>
    <row r="37" spans="1:28" x14ac:dyDescent="0.35">
      <c r="A37" s="144">
        <v>7</v>
      </c>
      <c r="B37" s="145" t="s">
        <v>443</v>
      </c>
      <c r="C37" s="155">
        <v>0.02</v>
      </c>
      <c r="E37" s="147">
        <f t="shared" si="30"/>
        <v>13855.556383692332</v>
      </c>
      <c r="F37" s="148">
        <f t="shared" si="31"/>
        <v>20</v>
      </c>
      <c r="G37" s="149">
        <f t="shared" si="19"/>
        <v>2.1276595744680854E-2</v>
      </c>
      <c r="H37" s="549">
        <f t="shared" si="20"/>
        <v>1.9378400536632635E-2</v>
      </c>
      <c r="I37" s="148">
        <f t="shared" ref="I37:I40" si="36">$C$26*H37</f>
        <v>307.90125297094073</v>
      </c>
      <c r="J37" s="150">
        <f t="shared" si="32"/>
        <v>50.57625104596319</v>
      </c>
      <c r="K37" s="148">
        <f t="shared" si="33"/>
        <v>358.47750401690394</v>
      </c>
      <c r="L37" s="148">
        <f t="shared" si="21"/>
        <v>15300</v>
      </c>
      <c r="M37" s="148">
        <f t="shared" si="34"/>
        <v>-1548.4426887944865</v>
      </c>
      <c r="N37" s="148">
        <f t="shared" si="22"/>
        <v>16848.442688794486</v>
      </c>
      <c r="O37" s="147">
        <f>O35-3000</f>
        <v>15300</v>
      </c>
      <c r="P37" s="130">
        <f t="shared" si="23"/>
        <v>-1548.4426887944865</v>
      </c>
      <c r="Q37" s="151">
        <f t="shared" si="35"/>
        <v>-0.11175608152531266</v>
      </c>
      <c r="R37" s="109">
        <f t="shared" si="24"/>
        <v>15395.062648547037</v>
      </c>
      <c r="S37" s="152">
        <f>'[7]BOM (Long)'!$P$10</f>
        <v>9229.3054234062802</v>
      </c>
      <c r="T37" s="130">
        <f t="shared" si="25"/>
        <v>6165.7572251407564</v>
      </c>
      <c r="U37" s="151">
        <f t="shared" si="26"/>
        <v>0.66806297356937472</v>
      </c>
      <c r="V37" s="153">
        <f t="shared" si="27"/>
        <v>1.4060963618485744</v>
      </c>
      <c r="W37" s="156">
        <f t="shared" si="27"/>
        <v>1</v>
      </c>
      <c r="X37" s="153">
        <f t="shared" si="28"/>
        <v>0.816752692336839</v>
      </c>
      <c r="Y37" s="156">
        <f t="shared" si="29"/>
        <v>0.816752692336839</v>
      </c>
      <c r="Z37" s="109">
        <f>Z36/$Y$15</f>
        <v>12017.253275112887</v>
      </c>
      <c r="AA37" s="152">
        <f>Z37-$Z$14</f>
        <v>2317.2532751128874</v>
      </c>
      <c r="AB37" s="130">
        <f>Z37-Z36</f>
        <v>1220.6169114765253</v>
      </c>
    </row>
    <row r="38" spans="1:28" x14ac:dyDescent="0.35">
      <c r="A38" s="144">
        <v>8</v>
      </c>
      <c r="B38" s="145" t="s">
        <v>444</v>
      </c>
      <c r="C38" s="155">
        <v>0.02</v>
      </c>
      <c r="E38" s="147">
        <f t="shared" si="30"/>
        <v>13855.556383692332</v>
      </c>
      <c r="F38" s="148">
        <f t="shared" si="31"/>
        <v>20</v>
      </c>
      <c r="G38" s="149">
        <f t="shared" si="19"/>
        <v>2.1276595744680854E-2</v>
      </c>
      <c r="H38" s="549">
        <f t="shared" si="20"/>
        <v>1.9378400536632635E-2</v>
      </c>
      <c r="I38" s="148">
        <f t="shared" si="36"/>
        <v>307.90125297094073</v>
      </c>
      <c r="J38" s="150">
        <f t="shared" si="32"/>
        <v>50.57625104596319</v>
      </c>
      <c r="K38" s="148">
        <f t="shared" si="33"/>
        <v>358.47750401690394</v>
      </c>
      <c r="L38" s="148">
        <f t="shared" si="21"/>
        <v>15300</v>
      </c>
      <c r="M38" s="148">
        <f t="shared" si="34"/>
        <v>-1548.4426887944865</v>
      </c>
      <c r="N38" s="148">
        <f t="shared" si="22"/>
        <v>16848.442688794486</v>
      </c>
      <c r="O38" s="147">
        <f>O37</f>
        <v>15300</v>
      </c>
      <c r="P38" s="130">
        <f t="shared" si="23"/>
        <v>-1548.4426887944865</v>
      </c>
      <c r="Q38" s="151">
        <f t="shared" si="35"/>
        <v>-0.11175608152531266</v>
      </c>
      <c r="R38" s="109">
        <f t="shared" si="24"/>
        <v>15395.062648547037</v>
      </c>
      <c r="S38" s="152">
        <f>'[7]BOM (Long)'!$P$11</f>
        <v>9229.3054234062802</v>
      </c>
      <c r="T38" s="130">
        <f t="shared" si="25"/>
        <v>6165.7572251407564</v>
      </c>
      <c r="U38" s="151">
        <f t="shared" si="26"/>
        <v>0.66806297356937472</v>
      </c>
      <c r="V38" s="153">
        <f t="shared" si="27"/>
        <v>1.4060963618485744</v>
      </c>
      <c r="W38" s="156">
        <f t="shared" si="27"/>
        <v>1</v>
      </c>
      <c r="X38" s="153">
        <f t="shared" si="28"/>
        <v>0.816752692336839</v>
      </c>
      <c r="Y38" s="156">
        <f t="shared" si="29"/>
        <v>0.816752692336839</v>
      </c>
      <c r="Z38" s="109">
        <f>Z37/$Y$15</f>
        <v>13375.867391867212</v>
      </c>
      <c r="AA38" s="152">
        <f>Z38-$Z$14</f>
        <v>3675.8673918672121</v>
      </c>
      <c r="AB38" s="130">
        <f>Z38-Z37</f>
        <v>1358.6141167543246</v>
      </c>
    </row>
    <row r="39" spans="1:28" x14ac:dyDescent="0.35">
      <c r="A39" s="144">
        <v>10</v>
      </c>
      <c r="B39" s="145" t="s">
        <v>445</v>
      </c>
      <c r="C39" s="155">
        <v>0.27</v>
      </c>
      <c r="E39" s="147">
        <f t="shared" si="30"/>
        <v>15241.112022061565</v>
      </c>
      <c r="F39" s="148">
        <f t="shared" si="31"/>
        <v>270</v>
      </c>
      <c r="G39" s="149">
        <f t="shared" si="19"/>
        <v>0.28723404255319152</v>
      </c>
      <c r="H39" s="549">
        <f t="shared" si="20"/>
        <v>0.28776924796899461</v>
      </c>
      <c r="I39" s="148">
        <f t="shared" si="36"/>
        <v>4572.3336066184702</v>
      </c>
      <c r="J39" s="150">
        <f t="shared" si="32"/>
        <v>751.05732803255341</v>
      </c>
      <c r="K39" s="148">
        <f t="shared" si="33"/>
        <v>5323.3909346510236</v>
      </c>
      <c r="L39" s="148">
        <f t="shared" si="21"/>
        <v>17800</v>
      </c>
      <c r="M39" s="148">
        <f t="shared" si="34"/>
        <v>-733.28695767393219</v>
      </c>
      <c r="N39" s="148">
        <f t="shared" si="22"/>
        <v>18533.286957673932</v>
      </c>
      <c r="O39" s="168">
        <v>17800</v>
      </c>
      <c r="P39" s="130">
        <f t="shared" si="23"/>
        <v>-733.28695767393219</v>
      </c>
      <c r="Q39" s="151">
        <f t="shared" si="35"/>
        <v>-4.8112431469075005E-2</v>
      </c>
      <c r="R39" s="109">
        <f t="shared" si="24"/>
        <v>16934.568913401741</v>
      </c>
      <c r="S39" s="152">
        <f>'[7]BOM (Long)'!$P$13</f>
        <v>10152.235965746908</v>
      </c>
      <c r="T39" s="130">
        <f t="shared" si="25"/>
        <v>6782.3329476548333</v>
      </c>
      <c r="U39" s="151">
        <f t="shared" si="26"/>
        <v>0.66806297356937483</v>
      </c>
      <c r="V39" s="153">
        <f t="shared" si="27"/>
        <v>1.5467059980334321</v>
      </c>
      <c r="W39" s="153">
        <f t="shared" si="27"/>
        <v>1.0999999999999999</v>
      </c>
      <c r="X39" s="153">
        <f t="shared" si="28"/>
        <v>0.89842796157052285</v>
      </c>
      <c r="Y39" s="153">
        <f t="shared" si="29"/>
        <v>0.89842796157052285</v>
      </c>
      <c r="Z39" s="109">
        <f>Z38/$Y$15</f>
        <v>14888.080028681588</v>
      </c>
      <c r="AA39" s="152">
        <f>Z39-$Z$14</f>
        <v>5188.0800286815884</v>
      </c>
      <c r="AB39" s="130">
        <f>Z39-Z38</f>
        <v>1512.2126368143763</v>
      </c>
    </row>
    <row r="40" spans="1:28" x14ac:dyDescent="0.35">
      <c r="A40" s="144">
        <v>11</v>
      </c>
      <c r="B40" s="145" t="s">
        <v>446</v>
      </c>
      <c r="C40" s="155">
        <v>0.01</v>
      </c>
      <c r="E40" s="147">
        <f>N19</f>
        <v>7993.5902213609597</v>
      </c>
      <c r="F40" s="148">
        <f t="shared" si="31"/>
        <v>10</v>
      </c>
      <c r="G40" s="149">
        <f t="shared" si="19"/>
        <v>1.0638297872340427E-2</v>
      </c>
      <c r="H40" s="549">
        <f t="shared" si="20"/>
        <v>5.5899232317209516E-3</v>
      </c>
      <c r="I40" s="148">
        <f t="shared" si="36"/>
        <v>88.8176691262329</v>
      </c>
      <c r="J40" s="150">
        <f t="shared" si="32"/>
        <v>14.589303186335535</v>
      </c>
      <c r="K40" s="148">
        <f t="shared" si="33"/>
        <v>103.40697231256843</v>
      </c>
      <c r="L40" s="148">
        <f t="shared" si="21"/>
        <v>12550</v>
      </c>
      <c r="M40" s="148">
        <f t="shared" si="34"/>
        <v>2829.744602618568</v>
      </c>
      <c r="N40" s="148">
        <f t="shared" si="22"/>
        <v>9720.255397381432</v>
      </c>
      <c r="O40" s="147">
        <f>C6+1250</f>
        <v>12550</v>
      </c>
      <c r="P40" s="130">
        <f t="shared" si="23"/>
        <v>2829.744602618568</v>
      </c>
      <c r="Q40" s="151">
        <f>P40/E40</f>
        <v>0.35400170940170933</v>
      </c>
      <c r="R40" s="109">
        <f t="shared" si="24"/>
        <v>8881.7669126232904</v>
      </c>
      <c r="S40" s="152">
        <f>'[7]BOM (Long)'!$P$14</f>
        <v>5537.5832540437677</v>
      </c>
      <c r="T40" s="130">
        <f t="shared" si="25"/>
        <v>3344.1836585795227</v>
      </c>
      <c r="U40" s="151">
        <f t="shared" si="26"/>
        <v>0.60390670535516811</v>
      </c>
      <c r="V40" s="153">
        <f t="shared" si="27"/>
        <v>0.81120943952802371</v>
      </c>
      <c r="W40" s="157">
        <f t="shared" si="27"/>
        <v>0.6</v>
      </c>
      <c r="X40" s="153">
        <f t="shared" si="28"/>
        <v>0.49005161540210335</v>
      </c>
      <c r="Y40" s="157">
        <f t="shared" si="29"/>
        <v>0.49005161540210335</v>
      </c>
      <c r="Z40" s="109">
        <f>Z39/$Y$15</f>
        <v>16571.256311586796</v>
      </c>
      <c r="AA40" s="152">
        <f>Z40-$Z$14</f>
        <v>6871.2563115867961</v>
      </c>
      <c r="AB40" s="130">
        <f>Z40-Z39</f>
        <v>1683.1762829052077</v>
      </c>
    </row>
    <row r="41" spans="1:28" x14ac:dyDescent="0.35">
      <c r="A41" s="144"/>
      <c r="B41" s="158"/>
      <c r="C41" s="159"/>
      <c r="E41" s="147"/>
      <c r="F41" s="160">
        <f t="shared" si="31"/>
        <v>0</v>
      </c>
      <c r="G41" s="160">
        <f>F41/1000/(1-$C$8)</f>
        <v>0</v>
      </c>
      <c r="H41" s="160">
        <f>E41*G41/SUMPRODUCT($E$14:$E$20,$G$14:$G$20)</f>
        <v>0</v>
      </c>
      <c r="I41" s="160">
        <f>$C$6*H41</f>
        <v>0</v>
      </c>
      <c r="J41" s="160">
        <f>($C$7+$C$10)*H41</f>
        <v>0</v>
      </c>
      <c r="K41" s="160">
        <f>I41+J41</f>
        <v>0</v>
      </c>
      <c r="L41" s="160">
        <f>E41*G41</f>
        <v>0</v>
      </c>
      <c r="M41" s="160">
        <f t="shared" ref="M41" si="37">L41-K41</f>
        <v>0</v>
      </c>
      <c r="N41" s="160" t="e">
        <f>K41/(F41/(1-$C$8))*1000</f>
        <v>#DIV/0!</v>
      </c>
      <c r="O41" s="160"/>
      <c r="P41" s="160" t="e">
        <f t="shared" si="23"/>
        <v>#DIV/0!</v>
      </c>
      <c r="Q41" s="161" t="e">
        <f t="shared" si="35"/>
        <v>#DIV/0!</v>
      </c>
    </row>
    <row r="42" spans="1:28" ht="29" x14ac:dyDescent="0.35">
      <c r="A42" s="75"/>
      <c r="B42" s="162" t="s">
        <v>431</v>
      </c>
      <c r="C42" s="163">
        <f>SUM(C35:C41)</f>
        <v>0.89000000000000012</v>
      </c>
      <c r="D42" s="75"/>
      <c r="E42" s="75"/>
      <c r="F42" s="164">
        <f>SUM(F35:F41)</f>
        <v>890</v>
      </c>
      <c r="G42" s="78">
        <f t="shared" ref="G42:M42" si="38">SUM(G35:G41)</f>
        <v>0.94680851063829796</v>
      </c>
      <c r="H42" s="78">
        <f t="shared" si="38"/>
        <v>1</v>
      </c>
      <c r="I42" s="165">
        <f>SUM(I35:I41)</f>
        <v>15888.888888888889</v>
      </c>
      <c r="J42" s="165">
        <f>SUM(J35:J41)</f>
        <v>2609.9290780141846</v>
      </c>
      <c r="K42" s="164">
        <f>SUM(K35:K41)</f>
        <v>18498.817966903076</v>
      </c>
      <c r="L42" s="164">
        <f>SUMPRODUCT(C35:C40,L35:L40)</f>
        <v>15929.5</v>
      </c>
      <c r="M42" s="164">
        <f t="shared" si="38"/>
        <v>-4911.0527274684755</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5473"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4F74-84F5-4C1D-9D11-6C11C4D6C8C5}">
  <sheetPr>
    <tabColor rgb="FFFFFF00"/>
  </sheetPr>
  <dimension ref="A2:AE44"/>
  <sheetViews>
    <sheetView zoomScale="85" zoomScaleNormal="85" workbookViewId="0">
      <selection activeCell="D18" sqref="D18"/>
    </sheetView>
  </sheetViews>
  <sheetFormatPr defaultRowHeight="14.5" x14ac:dyDescent="0.35"/>
  <cols>
    <col min="1" max="1" width="5.90625" customWidth="1"/>
    <col min="2" max="2" width="24.08984375" customWidth="1"/>
    <col min="3" max="3" width="19.81640625" customWidth="1"/>
    <col min="4" max="4" width="15.7265625" bestFit="1"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4"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3</v>
      </c>
    </row>
    <row r="6" spans="1:31" x14ac:dyDescent="0.35">
      <c r="B6" s="117" t="s">
        <v>396</v>
      </c>
      <c r="C6" s="136">
        <v>11300</v>
      </c>
      <c r="E6" s="147"/>
    </row>
    <row r="7" spans="1:31" x14ac:dyDescent="0.35">
      <c r="B7" s="117" t="s">
        <v>397</v>
      </c>
      <c r="C7" s="137">
        <v>3000</v>
      </c>
      <c r="E7" s="147"/>
    </row>
    <row r="8" spans="1:31" x14ac:dyDescent="0.35">
      <c r="B8" s="117" t="s">
        <v>398</v>
      </c>
      <c r="C8" s="138">
        <v>0.1</v>
      </c>
      <c r="E8" s="147"/>
    </row>
    <row r="9" spans="1:31" x14ac:dyDescent="0.35">
      <c r="B9" s="117" t="s">
        <v>399</v>
      </c>
      <c r="C9" s="139">
        <f>SUM(C6:C7)</f>
        <v>14300</v>
      </c>
      <c r="E9" s="147"/>
    </row>
    <row r="10" spans="1:31" x14ac:dyDescent="0.35">
      <c r="B10" s="117" t="s">
        <v>400</v>
      </c>
      <c r="C10" s="139">
        <f>C9*C8/(1-C8)</f>
        <v>1588.8888888888889</v>
      </c>
      <c r="E10" s="147"/>
    </row>
    <row r="11" spans="1:31" x14ac:dyDescent="0.35">
      <c r="B11" s="117" t="s">
        <v>401</v>
      </c>
      <c r="C11" s="139">
        <f>+C9/(1-C8)</f>
        <v>15888.888888888889</v>
      </c>
      <c r="E11" s="147"/>
      <c r="X11" t="s">
        <v>402</v>
      </c>
    </row>
    <row r="12" spans="1:31" x14ac:dyDescent="0.35">
      <c r="B12" s="140" t="s">
        <v>403</v>
      </c>
      <c r="S12" t="s">
        <v>404</v>
      </c>
      <c r="V12" t="s">
        <v>405</v>
      </c>
      <c r="W12" t="s">
        <v>406</v>
      </c>
      <c r="X12" t="s">
        <v>405</v>
      </c>
      <c r="Y12" t="s">
        <v>406</v>
      </c>
    </row>
    <row r="13" spans="1:31" ht="48" x14ac:dyDescent="0.35">
      <c r="A13" s="141" t="s">
        <v>0</v>
      </c>
      <c r="B13" s="141" t="s">
        <v>407</v>
      </c>
      <c r="C13" s="141" t="s">
        <v>408</v>
      </c>
      <c r="D13" s="109">
        <v>500</v>
      </c>
      <c r="E13" s="142" t="s">
        <v>409</v>
      </c>
      <c r="F13" s="143" t="s">
        <v>410</v>
      </c>
      <c r="G13" s="143" t="s">
        <v>411</v>
      </c>
      <c r="H13" s="143" t="s">
        <v>412</v>
      </c>
      <c r="I13" s="143" t="s">
        <v>413</v>
      </c>
      <c r="J13" s="143" t="s">
        <v>414</v>
      </c>
      <c r="K13" s="143" t="s">
        <v>415</v>
      </c>
      <c r="L13" s="143" t="s">
        <v>416</v>
      </c>
      <c r="M13" s="143" t="s">
        <v>417</v>
      </c>
      <c r="N13" s="143" t="s">
        <v>418</v>
      </c>
      <c r="O13" s="142" t="s">
        <v>519</v>
      </c>
      <c r="P13" s="1131" t="s">
        <v>419</v>
      </c>
      <c r="Q13" s="1131"/>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0.54</v>
      </c>
      <c r="D14" s="109">
        <f>$D$13*C14*E14</f>
        <v>4266000</v>
      </c>
      <c r="E14" s="147">
        <f>'GAP (KN)'!I9</f>
        <v>15800</v>
      </c>
      <c r="F14" s="148">
        <f>C14*1000</f>
        <v>540</v>
      </c>
      <c r="G14" s="149">
        <f>F14/1000/(1-$C$8)</f>
        <v>0.6</v>
      </c>
      <c r="H14" s="149">
        <f>E14*G14/SUMPRODUCT($E$14:$E$20,$G$14:$G$20)</f>
        <v>0.63590966684057537</v>
      </c>
      <c r="I14" s="148">
        <f>$C$6*H14</f>
        <v>7185.7792352985016</v>
      </c>
      <c r="J14" s="150">
        <f>($C$7+$C$10)*H14</f>
        <v>2918.1188045017511</v>
      </c>
      <c r="K14" s="148">
        <f>I14+J14</f>
        <v>10103.898039800253</v>
      </c>
      <c r="L14" s="148">
        <f>E14*G14</f>
        <v>9480</v>
      </c>
      <c r="M14" s="148">
        <f>L14-K14</f>
        <v>-623.89803980025317</v>
      </c>
      <c r="N14" s="148">
        <f>K14/(F14/(1-$C$8))*1000</f>
        <v>16839.830066333754</v>
      </c>
      <c r="O14" s="147">
        <v>15000</v>
      </c>
      <c r="P14" s="130">
        <f t="shared" ref="P14:P22" si="0">O14-N14</f>
        <v>-1839.8300663337541</v>
      </c>
      <c r="Q14" s="151">
        <f t="shared" ref="Q14:Q20" si="1">P14/E14</f>
        <v>-0.11644494090719963</v>
      </c>
      <c r="R14" s="109">
        <f t="shared" ref="R14:R19" si="2">I14/F14*1000</f>
        <v>13306.998583886114</v>
      </c>
      <c r="S14" s="152">
        <f>'[7]BOM (Long)'!$P$7</f>
        <v>11536.63177925785</v>
      </c>
      <c r="T14" s="130">
        <f t="shared" ref="T14:T19" si="3">R14-S14</f>
        <v>1770.3668046282637</v>
      </c>
      <c r="U14" s="151">
        <f t="shared" ref="U14:U19" si="4">T14/S14</f>
        <v>0.15345612467334474</v>
      </c>
      <c r="V14" s="153">
        <f t="shared" ref="V14:W19" si="5">R14/R$16</f>
        <v>1.2153846153846153</v>
      </c>
      <c r="W14" s="154">
        <f t="shared" si="5"/>
        <v>1.25</v>
      </c>
      <c r="X14" s="153">
        <f t="shared" ref="X14:X19" si="6">S14/C$6</f>
        <v>1.0209408654210488</v>
      </c>
      <c r="Y14" s="154">
        <f t="shared" ref="Y14:Y19" si="7">S14/C$6</f>
        <v>1.0209408654210488</v>
      </c>
      <c r="Z14" s="109">
        <v>9700</v>
      </c>
      <c r="AA14" s="152"/>
      <c r="AC14" s="109">
        <v>12500</v>
      </c>
      <c r="AE14" s="130">
        <f>AC14+AD14</f>
        <v>12500</v>
      </c>
    </row>
    <row r="15" spans="1:31" x14ac:dyDescent="0.35">
      <c r="A15" s="144">
        <v>5</v>
      </c>
      <c r="B15" s="145" t="s">
        <v>22</v>
      </c>
      <c r="C15" s="155">
        <v>0.03</v>
      </c>
      <c r="D15" s="109">
        <f t="shared" ref="D15:D19" si="8">$D$13*C15*E15</f>
        <v>214500</v>
      </c>
      <c r="E15" s="147">
        <f>'GAP (KN)'!I11</f>
        <v>14300</v>
      </c>
      <c r="F15" s="148">
        <f t="shared" ref="F15:F20" si="9">C15*1000</f>
        <v>30</v>
      </c>
      <c r="G15" s="149">
        <f t="shared" ref="G15:G20" si="10">F15/1000/(1-$C$8)</f>
        <v>3.3333333333333333E-2</v>
      </c>
      <c r="H15" s="149">
        <f t="shared" ref="H15:H20" si="11">E15*G15/SUMPRODUCT($E$14:$E$20,$G$14:$G$20)</f>
        <v>3.1974360885443844E-2</v>
      </c>
      <c r="I15" s="148">
        <f t="shared" ref="I15:I20" si="12">$C$6*H15</f>
        <v>361.31027800551544</v>
      </c>
      <c r="J15" s="150">
        <f t="shared" ref="J15:J20" si="13">($C$7+$C$10)*H15</f>
        <v>146.72678939653673</v>
      </c>
      <c r="K15" s="148">
        <f t="shared" ref="K15:K20" si="14">I15+J15</f>
        <v>508.03706740205217</v>
      </c>
      <c r="L15" s="148">
        <f t="shared" ref="L15:L20" si="15">E15*G15</f>
        <v>476.66666666666669</v>
      </c>
      <c r="M15" s="148">
        <f t="shared" ref="M15:M20" si="16">L15-K15</f>
        <v>-31.370400735385488</v>
      </c>
      <c r="N15" s="148">
        <f t="shared" ref="N15:N20" si="17">K15/(F15/(1-$C$8))*1000</f>
        <v>15241.112022061565</v>
      </c>
      <c r="O15" s="147">
        <v>13500</v>
      </c>
      <c r="P15" s="130">
        <f t="shared" si="0"/>
        <v>-1741.1120220615649</v>
      </c>
      <c r="Q15" s="151">
        <f t="shared" si="1"/>
        <v>-0.12175608545885069</v>
      </c>
      <c r="R15" s="109">
        <f t="shared" si="2"/>
        <v>12043.675933517183</v>
      </c>
      <c r="S15" s="152">
        <f>'[7]BOM (Long)'!$P$9</f>
        <v>10152.23596574691</v>
      </c>
      <c r="T15" s="130">
        <f t="shared" si="3"/>
        <v>1891.4399677702731</v>
      </c>
      <c r="U15" s="151">
        <f t="shared" si="4"/>
        <v>0.1863077231608769</v>
      </c>
      <c r="V15" s="153">
        <f t="shared" si="5"/>
        <v>1.1000000000000003</v>
      </c>
      <c r="W15" s="153">
        <f t="shared" si="5"/>
        <v>1.1000000000000001</v>
      </c>
      <c r="X15" s="153">
        <f t="shared" si="6"/>
        <v>0.89842796157052296</v>
      </c>
      <c r="Y15" s="153">
        <f t="shared" si="7"/>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D16" s="109">
        <f t="shared" si="8"/>
        <v>130000</v>
      </c>
      <c r="E16" s="147">
        <f>'GAP (KN)'!I10</f>
        <v>13000</v>
      </c>
      <c r="F16" s="148">
        <f t="shared" si="9"/>
        <v>20</v>
      </c>
      <c r="G16" s="149">
        <f t="shared" si="10"/>
        <v>2.2222222222222223E-2</v>
      </c>
      <c r="H16" s="149">
        <f t="shared" si="11"/>
        <v>1.9378400536632631E-2</v>
      </c>
      <c r="I16" s="148">
        <f t="shared" si="12"/>
        <v>218.97592606394872</v>
      </c>
      <c r="J16" s="150">
        <f t="shared" si="13"/>
        <v>88.925326906991955</v>
      </c>
      <c r="K16" s="148">
        <f t="shared" si="14"/>
        <v>307.90125297094067</v>
      </c>
      <c r="L16" s="148">
        <f t="shared" si="15"/>
        <v>288.88888888888891</v>
      </c>
      <c r="M16" s="148">
        <f t="shared" si="16"/>
        <v>-19.012364082051761</v>
      </c>
      <c r="N16" s="148">
        <f t="shared" si="17"/>
        <v>13855.556383692332</v>
      </c>
      <c r="O16" s="147">
        <v>12000</v>
      </c>
      <c r="P16" s="130">
        <f t="shared" si="0"/>
        <v>-1855.556383692332</v>
      </c>
      <c r="Q16" s="151">
        <f t="shared" si="1"/>
        <v>-0.14273510643787168</v>
      </c>
      <c r="R16" s="109">
        <f t="shared" si="2"/>
        <v>10948.796303197436</v>
      </c>
      <c r="S16" s="152">
        <f>'[7]BOM (Long)'!$P$10</f>
        <v>9229.3054234062802</v>
      </c>
      <c r="T16" s="130">
        <f t="shared" si="3"/>
        <v>1719.4908797911557</v>
      </c>
      <c r="U16" s="151">
        <f t="shared" si="4"/>
        <v>0.18630772316087676</v>
      </c>
      <c r="V16" s="153">
        <f t="shared" si="5"/>
        <v>1</v>
      </c>
      <c r="W16" s="156">
        <f t="shared" si="5"/>
        <v>1</v>
      </c>
      <c r="X16" s="153">
        <f t="shared" si="6"/>
        <v>0.816752692336839</v>
      </c>
      <c r="Y16" s="156">
        <f t="shared" si="7"/>
        <v>0.816752692336839</v>
      </c>
      <c r="Z16" s="109">
        <f>Z15/$Y$15</f>
        <v>12017.253275112887</v>
      </c>
      <c r="AA16" s="152">
        <f>Z16-$Z$14</f>
        <v>2317.2532751128874</v>
      </c>
      <c r="AB16" s="130">
        <f>Z16-Z15</f>
        <v>1220.6169114765253</v>
      </c>
      <c r="AC16" s="109">
        <v>9000</v>
      </c>
    </row>
    <row r="17" spans="1:31" x14ac:dyDescent="0.35">
      <c r="A17" s="144">
        <v>8</v>
      </c>
      <c r="B17" s="145" t="s">
        <v>29</v>
      </c>
      <c r="C17" s="155">
        <v>0.02</v>
      </c>
      <c r="D17" s="109">
        <f t="shared" si="8"/>
        <v>130000</v>
      </c>
      <c r="E17" s="147">
        <f>'GAP (KN)'!I10</f>
        <v>13000</v>
      </c>
      <c r="F17" s="148">
        <f t="shared" si="9"/>
        <v>20</v>
      </c>
      <c r="G17" s="149">
        <f t="shared" si="10"/>
        <v>2.2222222222222223E-2</v>
      </c>
      <c r="H17" s="149">
        <f t="shared" si="11"/>
        <v>1.9378400536632631E-2</v>
      </c>
      <c r="I17" s="148">
        <f t="shared" si="12"/>
        <v>218.97592606394872</v>
      </c>
      <c r="J17" s="150">
        <f t="shared" si="13"/>
        <v>88.925326906991955</v>
      </c>
      <c r="K17" s="148">
        <f t="shared" si="14"/>
        <v>307.90125297094067</v>
      </c>
      <c r="L17" s="148">
        <f t="shared" si="15"/>
        <v>288.88888888888891</v>
      </c>
      <c r="M17" s="148">
        <f t="shared" si="16"/>
        <v>-19.012364082051761</v>
      </c>
      <c r="N17" s="148">
        <f t="shared" si="17"/>
        <v>13855.556383692332</v>
      </c>
      <c r="O17" s="147">
        <v>12000</v>
      </c>
      <c r="P17" s="130">
        <f t="shared" si="0"/>
        <v>-1855.556383692332</v>
      </c>
      <c r="Q17" s="151">
        <f t="shared" si="1"/>
        <v>-0.14273510643787168</v>
      </c>
      <c r="R17" s="109">
        <f t="shared" si="2"/>
        <v>10948.796303197436</v>
      </c>
      <c r="S17" s="152">
        <f>'[7]BOM (Long)'!$P$11</f>
        <v>9229.3054234062802</v>
      </c>
      <c r="T17" s="130">
        <f t="shared" si="3"/>
        <v>1719.4908797911557</v>
      </c>
      <c r="U17" s="151">
        <f t="shared" si="4"/>
        <v>0.18630772316087676</v>
      </c>
      <c r="V17" s="153">
        <f t="shared" si="5"/>
        <v>1</v>
      </c>
      <c r="W17" s="156">
        <f t="shared" si="5"/>
        <v>1</v>
      </c>
      <c r="X17" s="153">
        <f t="shared" si="6"/>
        <v>0.816752692336839</v>
      </c>
      <c r="Y17" s="156">
        <f t="shared" si="7"/>
        <v>0.816752692336839</v>
      </c>
      <c r="Z17" s="109">
        <f>Z16/$Y$15</f>
        <v>13375.867391867212</v>
      </c>
      <c r="AA17" s="152">
        <f>Z17-$Z$14</f>
        <v>3675.8673918672121</v>
      </c>
      <c r="AB17" s="130">
        <f>Z17-Z16</f>
        <v>1358.6141167543246</v>
      </c>
      <c r="AC17" s="109">
        <v>9000</v>
      </c>
    </row>
    <row r="18" spans="1:31" x14ac:dyDescent="0.35">
      <c r="A18" s="144">
        <v>10</v>
      </c>
      <c r="B18" s="145" t="s">
        <v>19</v>
      </c>
      <c r="C18" s="155">
        <v>0.27</v>
      </c>
      <c r="D18" s="109">
        <f t="shared" si="8"/>
        <v>1930500</v>
      </c>
      <c r="E18" s="147">
        <f>'GAP (KN)'!I11</f>
        <v>14300</v>
      </c>
      <c r="F18" s="148">
        <f t="shared" si="9"/>
        <v>270</v>
      </c>
      <c r="G18" s="149">
        <f t="shared" si="10"/>
        <v>0.3</v>
      </c>
      <c r="H18" s="149">
        <f t="shared" si="11"/>
        <v>0.28776924796899456</v>
      </c>
      <c r="I18" s="148">
        <f t="shared" si="12"/>
        <v>3251.7925020496386</v>
      </c>
      <c r="J18" s="150">
        <f t="shared" si="13"/>
        <v>1320.5411045688306</v>
      </c>
      <c r="K18" s="148">
        <f t="shared" si="14"/>
        <v>4572.3336066184693</v>
      </c>
      <c r="L18" s="148">
        <f t="shared" si="15"/>
        <v>4290</v>
      </c>
      <c r="M18" s="148">
        <f t="shared" si="16"/>
        <v>-282.33360661846928</v>
      </c>
      <c r="N18" s="148">
        <f t="shared" si="17"/>
        <v>15241.112022061565</v>
      </c>
      <c r="O18" s="147">
        <v>13500</v>
      </c>
      <c r="P18" s="130">
        <f t="shared" si="0"/>
        <v>-1741.1120220615649</v>
      </c>
      <c r="Q18" s="151">
        <f t="shared" si="1"/>
        <v>-0.12175608545885069</v>
      </c>
      <c r="R18" s="109">
        <f t="shared" si="2"/>
        <v>12043.675933517181</v>
      </c>
      <c r="S18" s="152">
        <f>'[7]BOM (Long)'!$P$13</f>
        <v>10152.235965746908</v>
      </c>
      <c r="T18" s="130">
        <f t="shared" si="3"/>
        <v>1891.4399677702731</v>
      </c>
      <c r="U18" s="151">
        <f t="shared" si="4"/>
        <v>0.18630772316087696</v>
      </c>
      <c r="V18" s="153">
        <f t="shared" si="5"/>
        <v>1.1000000000000001</v>
      </c>
      <c r="W18" s="153">
        <f t="shared" si="5"/>
        <v>1.0999999999999999</v>
      </c>
      <c r="X18" s="153">
        <f t="shared" si="6"/>
        <v>0.89842796157052285</v>
      </c>
      <c r="Y18" s="153">
        <f t="shared" si="7"/>
        <v>0.89842796157052285</v>
      </c>
      <c r="Z18" s="109">
        <f>Z17/$Y$15</f>
        <v>14888.080028681588</v>
      </c>
      <c r="AA18" s="152">
        <f>Z18-$Z$14</f>
        <v>5188.0800286815884</v>
      </c>
      <c r="AB18" s="130">
        <f>Z18-Z17</f>
        <v>1512.2126368143763</v>
      </c>
      <c r="AC18" s="109">
        <v>10000</v>
      </c>
      <c r="AD18" s="109">
        <f>'[8]CP Công đoạn (3)'!$CJ$6</f>
        <v>2321.0309940637335</v>
      </c>
      <c r="AE18" s="130">
        <f>AC18+AD18</f>
        <v>12321.030994063734</v>
      </c>
    </row>
    <row r="19" spans="1:31" x14ac:dyDescent="0.35">
      <c r="A19" s="144">
        <v>11</v>
      </c>
      <c r="B19" s="145" t="s">
        <v>430</v>
      </c>
      <c r="C19" s="155">
        <v>0.01</v>
      </c>
      <c r="D19" s="109">
        <f t="shared" si="8"/>
        <v>37500</v>
      </c>
      <c r="E19" s="147">
        <f>'GAP (KN)'!I12</f>
        <v>7500</v>
      </c>
      <c r="F19" s="148">
        <f t="shared" si="9"/>
        <v>10</v>
      </c>
      <c r="G19" s="149">
        <f t="shared" si="10"/>
        <v>1.1111111111111112E-2</v>
      </c>
      <c r="H19" s="149">
        <f t="shared" si="11"/>
        <v>5.5899232317209516E-3</v>
      </c>
      <c r="I19" s="148">
        <f t="shared" si="12"/>
        <v>63.166132518446751</v>
      </c>
      <c r="J19" s="150">
        <f t="shared" si="13"/>
        <v>25.651536607786142</v>
      </c>
      <c r="K19" s="148">
        <f>I19+J19</f>
        <v>88.817669126232886</v>
      </c>
      <c r="L19" s="148">
        <f t="shared" si="15"/>
        <v>83.333333333333343</v>
      </c>
      <c r="M19" s="148">
        <f t="shared" si="16"/>
        <v>-5.4843357928995431</v>
      </c>
      <c r="N19" s="148">
        <f t="shared" si="17"/>
        <v>7993.5902213609597</v>
      </c>
      <c r="O19" s="147">
        <v>6500</v>
      </c>
      <c r="P19" s="130">
        <f t="shared" si="0"/>
        <v>-1493.5902213609597</v>
      </c>
      <c r="Q19" s="151">
        <f t="shared" si="1"/>
        <v>-0.19914536284812798</v>
      </c>
      <c r="R19" s="109">
        <f t="shared" si="2"/>
        <v>6316.6132518446748</v>
      </c>
      <c r="S19" s="152">
        <f>'[7]BOM (Long)'!$P$14</f>
        <v>5537.5832540437677</v>
      </c>
      <c r="T19" s="130">
        <f t="shared" si="3"/>
        <v>779.02999780090704</v>
      </c>
      <c r="U19" s="151">
        <f t="shared" si="4"/>
        <v>0.14068050303930468</v>
      </c>
      <c r="V19" s="153">
        <f t="shared" si="5"/>
        <v>0.57692307692307698</v>
      </c>
      <c r="W19" s="157">
        <f t="shared" si="5"/>
        <v>0.6</v>
      </c>
      <c r="X19" s="153">
        <f t="shared" si="6"/>
        <v>0.49005161540210335</v>
      </c>
      <c r="Y19" s="157">
        <f t="shared" si="7"/>
        <v>0.49005161540210335</v>
      </c>
      <c r="Z19" s="109">
        <f>Z18/$Y$15</f>
        <v>16571.256311586796</v>
      </c>
      <c r="AA19" s="152">
        <f>Z19-$Z$14</f>
        <v>6871.2563115867961</v>
      </c>
      <c r="AB19" s="130">
        <f>Z19-Z18</f>
        <v>1683.1762829052077</v>
      </c>
      <c r="AC19" s="109">
        <v>5000</v>
      </c>
    </row>
    <row r="20" spans="1:31" hidden="1" x14ac:dyDescent="0.35">
      <c r="A20" s="144"/>
      <c r="B20" s="158"/>
      <c r="C20" s="159"/>
      <c r="E20" s="147"/>
      <c r="F20" s="160">
        <f t="shared" si="9"/>
        <v>0</v>
      </c>
      <c r="G20" s="160">
        <f t="shared" si="10"/>
        <v>0</v>
      </c>
      <c r="H20" s="160">
        <f t="shared" si="11"/>
        <v>0</v>
      </c>
      <c r="I20" s="160">
        <f t="shared" si="12"/>
        <v>0</v>
      </c>
      <c r="J20" s="160">
        <f t="shared" si="13"/>
        <v>0</v>
      </c>
      <c r="K20" s="160">
        <f t="shared" si="14"/>
        <v>0</v>
      </c>
      <c r="L20" s="160">
        <f t="shared" si="15"/>
        <v>0</v>
      </c>
      <c r="M20" s="160">
        <f t="shared" si="16"/>
        <v>0</v>
      </c>
      <c r="N20" s="160" t="e">
        <f t="shared" si="17"/>
        <v>#DIV/0!</v>
      </c>
      <c r="O20" s="160"/>
      <c r="P20" s="160" t="e">
        <f t="shared" si="0"/>
        <v>#DIV/0!</v>
      </c>
      <c r="Q20" s="161" t="e">
        <f t="shared" si="1"/>
        <v>#DIV/0!</v>
      </c>
    </row>
    <row r="21" spans="1:31" s="75" customFormat="1" ht="29" x14ac:dyDescent="0.35">
      <c r="B21" s="162" t="s">
        <v>431</v>
      </c>
      <c r="C21" s="163">
        <f>SUM(C14:C20)</f>
        <v>0.89000000000000012</v>
      </c>
      <c r="D21" s="470">
        <f>SUM(D14:D19)</f>
        <v>6708500</v>
      </c>
      <c r="E21" s="470">
        <f>E14-E18</f>
        <v>1500</v>
      </c>
      <c r="F21" s="164">
        <f>SUM(F14:F20)</f>
        <v>890</v>
      </c>
      <c r="G21" s="78">
        <f t="shared" ref="G21:L21" si="18">SUM(G14:G20)</f>
        <v>0.98888888888888893</v>
      </c>
      <c r="H21" s="78">
        <f t="shared" si="18"/>
        <v>1</v>
      </c>
      <c r="I21" s="165">
        <f t="shared" si="18"/>
        <v>11300</v>
      </c>
      <c r="J21" s="165">
        <f>SUM(J14:J20)</f>
        <v>4588.8888888888887</v>
      </c>
      <c r="K21" s="164">
        <f t="shared" si="18"/>
        <v>15888.888888888887</v>
      </c>
      <c r="L21" s="164">
        <f t="shared" si="18"/>
        <v>14907.777777777777</v>
      </c>
      <c r="M21" s="164">
        <f>SUM(M14:M20)</f>
        <v>-981.11111111111097</v>
      </c>
      <c r="N21" s="200">
        <f>SUMPRODUCT(C14:C19,N14:N19)</f>
        <v>14300</v>
      </c>
      <c r="P21" s="75">
        <f t="shared" si="0"/>
        <v>-14300</v>
      </c>
    </row>
    <row r="22" spans="1:31" x14ac:dyDescent="0.35">
      <c r="B22" t="s">
        <v>432</v>
      </c>
      <c r="C22" s="166">
        <f>100%-C21</f>
        <v>0.10999999999999988</v>
      </c>
      <c r="D22" s="109">
        <f>C6*D13</f>
        <v>5650000</v>
      </c>
      <c r="E22" s="274">
        <f>E21/E14</f>
        <v>9.49367088607595E-2</v>
      </c>
      <c r="N22" s="130">
        <f>K21-N21</f>
        <v>1588.8888888888869</v>
      </c>
      <c r="P22" s="130">
        <f t="shared" si="0"/>
        <v>-1588.8888888888869</v>
      </c>
    </row>
    <row r="23" spans="1:31" x14ac:dyDescent="0.35">
      <c r="B23" t="s">
        <v>433</v>
      </c>
      <c r="D23" s="872">
        <f>D21-D22</f>
        <v>1058500</v>
      </c>
      <c r="E23" s="868">
        <f>SUMPRODUCT(C14:C19,E14:E19)</f>
        <v>13417</v>
      </c>
      <c r="F23" s="148">
        <f>1000-F21</f>
        <v>110</v>
      </c>
    </row>
    <row r="24" spans="1:31" x14ac:dyDescent="0.35">
      <c r="D24" s="283">
        <f>D23/D21</f>
        <v>0.15778489975404339</v>
      </c>
      <c r="E24" s="109">
        <f>'Giá mua Chai-Vảy'!E23</f>
        <v>14055</v>
      </c>
    </row>
    <row r="25" spans="1:31" x14ac:dyDescent="0.35">
      <c r="E25" s="130">
        <f>E23-E24</f>
        <v>-638</v>
      </c>
    </row>
    <row r="26" spans="1:31" x14ac:dyDescent="0.35">
      <c r="B26" s="117" t="s">
        <v>434</v>
      </c>
      <c r="C26" s="136">
        <f>C11</f>
        <v>15888.888888888889</v>
      </c>
      <c r="E26" s="109">
        <f>'[4]Consol PL-DTRG-T04.26'!$D$4+'[4]Consol PL-DTRG-T04.26'!$E$4</f>
        <v>1134.354</v>
      </c>
    </row>
    <row r="27" spans="1:31" x14ac:dyDescent="0.35">
      <c r="B27" s="117" t="s">
        <v>686</v>
      </c>
      <c r="C27" s="137">
        <v>1500</v>
      </c>
    </row>
    <row r="28" spans="1:31" x14ac:dyDescent="0.35">
      <c r="B28" s="117" t="s">
        <v>398</v>
      </c>
      <c r="C28" s="138">
        <v>0.06</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1131" t="s">
        <v>419</v>
      </c>
      <c r="Q34" s="1131"/>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N14</f>
        <v>16839.830066333754</v>
      </c>
      <c r="F35" s="148">
        <f>C35*1000</f>
        <v>540</v>
      </c>
      <c r="G35" s="149">
        <f t="shared" ref="G35:G40" si="19">F35/1000/(1-$C$28)</f>
        <v>0.57446808510638303</v>
      </c>
      <c r="H35" s="549">
        <f t="shared" ref="H35:H40" si="20">E35*G35/SUMPRODUCT($E$35:$E$40,$G$35:$G$40)</f>
        <v>0.63590966684057537</v>
      </c>
      <c r="I35" s="148">
        <f>$C$26*H35</f>
        <v>10103.898039800253</v>
      </c>
      <c r="J35" s="150">
        <f>($C$27+$C$30)*H35</f>
        <v>1659.6791304775302</v>
      </c>
      <c r="K35" s="148">
        <f>I35+J35</f>
        <v>11763.577170277784</v>
      </c>
      <c r="L35" s="148">
        <f t="shared" ref="L35:L40" si="21">O35</f>
        <v>18300</v>
      </c>
      <c r="M35" s="148">
        <f>L35-N35</f>
        <v>-2177.3380371502135</v>
      </c>
      <c r="N35" s="148">
        <f t="shared" ref="N35:N40" si="22">K35/(F35/(1-$C$28))*1000</f>
        <v>20477.338037150213</v>
      </c>
      <c r="O35" s="168">
        <v>18300</v>
      </c>
      <c r="P35" s="130">
        <f t="shared" ref="P35:P41" si="23">O35-N35</f>
        <v>-2177.3380371502135</v>
      </c>
      <c r="Q35" s="151">
        <f>P35/E35</f>
        <v>-0.12929691265134291</v>
      </c>
      <c r="R35" s="109">
        <f t="shared" ref="R35:R40" si="24">I35/F35*1000</f>
        <v>18710.922295926393</v>
      </c>
      <c r="S35" s="152">
        <f>'[7]BOM (Long)'!$P$7</f>
        <v>11536.63177925785</v>
      </c>
      <c r="T35" s="130">
        <f t="shared" ref="T35:T40" si="25">R35-S35</f>
        <v>7174.2905166685432</v>
      </c>
      <c r="U35" s="151">
        <f t="shared" ref="U35:U40" si="26">T35/S35</f>
        <v>0.62187046045514549</v>
      </c>
      <c r="V35" s="153">
        <f t="shared" ref="V35:W40" si="27">R35/R$16</f>
        <v>1.7089478859390363</v>
      </c>
      <c r="W35" s="154">
        <f t="shared" si="27"/>
        <v>1.25</v>
      </c>
      <c r="X35" s="153">
        <f t="shared" ref="X35:X40" si="28">S35/C$6</f>
        <v>1.0209408654210488</v>
      </c>
      <c r="Y35" s="154">
        <f t="shared" ref="Y35:Y40" si="29">S35/C$6</f>
        <v>1.0209408654210488</v>
      </c>
      <c r="Z35" s="109">
        <v>9700</v>
      </c>
      <c r="AA35" s="152"/>
    </row>
    <row r="36" spans="1:28" x14ac:dyDescent="0.35">
      <c r="A36" s="144">
        <v>5</v>
      </c>
      <c r="B36" s="145" t="s">
        <v>442</v>
      </c>
      <c r="C36" s="155">
        <v>0.03</v>
      </c>
      <c r="E36" s="147">
        <f t="shared" ref="E36:E39" si="30">N15</f>
        <v>15241.112022061565</v>
      </c>
      <c r="F36" s="148">
        <f t="shared" ref="F36:F41" si="31">C36*1000</f>
        <v>30</v>
      </c>
      <c r="G36" s="149">
        <f t="shared" si="19"/>
        <v>3.1914893617021274E-2</v>
      </c>
      <c r="H36" s="549">
        <f t="shared" si="20"/>
        <v>3.1974360885443837E-2</v>
      </c>
      <c r="I36" s="148">
        <f>$C$26*H36</f>
        <v>508.03706740205206</v>
      </c>
      <c r="J36" s="150">
        <f t="shared" ref="J36:J40" si="32">($C$27+$C$30)*H36</f>
        <v>83.450814225839238</v>
      </c>
      <c r="K36" s="148">
        <f t="shared" ref="K36:K40" si="33">I36+J36</f>
        <v>591.48788162789128</v>
      </c>
      <c r="L36" s="148">
        <f t="shared" si="21"/>
        <v>16800</v>
      </c>
      <c r="M36" s="148">
        <f t="shared" ref="M36:M40" si="34">L36-N36</f>
        <v>-1733.2869576739249</v>
      </c>
      <c r="N36" s="148">
        <f t="shared" si="22"/>
        <v>18533.286957673925</v>
      </c>
      <c r="O36" s="147">
        <f>O35-1500</f>
        <v>16800</v>
      </c>
      <c r="P36" s="130">
        <f t="shared" si="23"/>
        <v>-1733.2869576739249</v>
      </c>
      <c r="Q36" s="151">
        <f t="shared" ref="Q36:Q41" si="35">P36/E36</f>
        <v>-0.11372444183632964</v>
      </c>
      <c r="R36" s="109">
        <f t="shared" si="24"/>
        <v>16934.568913401738</v>
      </c>
      <c r="S36" s="152">
        <f>'[7]BOM (Long)'!$P$9</f>
        <v>10152.23596574691</v>
      </c>
      <c r="T36" s="130">
        <f t="shared" si="25"/>
        <v>6782.3329476548279</v>
      </c>
      <c r="U36" s="151">
        <f t="shared" si="26"/>
        <v>0.66806297356937416</v>
      </c>
      <c r="V36" s="153">
        <f t="shared" si="27"/>
        <v>1.5467059980334317</v>
      </c>
      <c r="W36" s="153">
        <f t="shared" si="27"/>
        <v>1.1000000000000001</v>
      </c>
      <c r="X36" s="153">
        <f t="shared" si="28"/>
        <v>0.89842796157052296</v>
      </c>
      <c r="Y36" s="153">
        <f t="shared" si="29"/>
        <v>0.89842796157052296</v>
      </c>
      <c r="Z36" s="109">
        <f>Z35/$Y$15</f>
        <v>10796.636363636362</v>
      </c>
      <c r="AA36" s="152">
        <f>Z36-$Z$14</f>
        <v>1096.6363636363621</v>
      </c>
      <c r="AB36" s="130">
        <f>Z36-Z35</f>
        <v>1096.6363636363621</v>
      </c>
    </row>
    <row r="37" spans="1:28" x14ac:dyDescent="0.35">
      <c r="A37" s="144">
        <v>7</v>
      </c>
      <c r="B37" s="145" t="s">
        <v>443</v>
      </c>
      <c r="C37" s="155">
        <v>0.02</v>
      </c>
      <c r="E37" s="147">
        <f t="shared" si="30"/>
        <v>13855.556383692332</v>
      </c>
      <c r="F37" s="148">
        <f t="shared" si="31"/>
        <v>20</v>
      </c>
      <c r="G37" s="149">
        <f t="shared" si="19"/>
        <v>2.1276595744680854E-2</v>
      </c>
      <c r="H37" s="549">
        <f t="shared" si="20"/>
        <v>1.9378400536632635E-2</v>
      </c>
      <c r="I37" s="148">
        <f t="shared" ref="I37:I40" si="36">$C$26*H37</f>
        <v>307.90125297094073</v>
      </c>
      <c r="J37" s="150">
        <f t="shared" si="32"/>
        <v>50.57625104596319</v>
      </c>
      <c r="K37" s="148">
        <f t="shared" si="33"/>
        <v>358.47750401690394</v>
      </c>
      <c r="L37" s="148">
        <f t="shared" si="21"/>
        <v>15300</v>
      </c>
      <c r="M37" s="148">
        <f t="shared" si="34"/>
        <v>-1548.4426887944865</v>
      </c>
      <c r="N37" s="148">
        <f t="shared" si="22"/>
        <v>16848.442688794486</v>
      </c>
      <c r="O37" s="147">
        <f>O35-3000</f>
        <v>15300</v>
      </c>
      <c r="P37" s="130">
        <f t="shared" si="23"/>
        <v>-1548.4426887944865</v>
      </c>
      <c r="Q37" s="151">
        <f t="shared" si="35"/>
        <v>-0.11175608152531266</v>
      </c>
      <c r="R37" s="109">
        <f t="shared" si="24"/>
        <v>15395.062648547037</v>
      </c>
      <c r="S37" s="152">
        <f>'[7]BOM (Long)'!$P$10</f>
        <v>9229.3054234062802</v>
      </c>
      <c r="T37" s="130">
        <f t="shared" si="25"/>
        <v>6165.7572251407564</v>
      </c>
      <c r="U37" s="151">
        <f t="shared" si="26"/>
        <v>0.66806297356937472</v>
      </c>
      <c r="V37" s="153">
        <f t="shared" si="27"/>
        <v>1.4060963618485744</v>
      </c>
      <c r="W37" s="156">
        <f t="shared" si="27"/>
        <v>1</v>
      </c>
      <c r="X37" s="153">
        <f t="shared" si="28"/>
        <v>0.816752692336839</v>
      </c>
      <c r="Y37" s="156">
        <f t="shared" si="29"/>
        <v>0.816752692336839</v>
      </c>
      <c r="Z37" s="109">
        <f>Z36/$Y$15</f>
        <v>12017.253275112887</v>
      </c>
      <c r="AA37" s="152">
        <f>Z37-$Z$14</f>
        <v>2317.2532751128874</v>
      </c>
      <c r="AB37" s="130">
        <f>Z37-Z36</f>
        <v>1220.6169114765253</v>
      </c>
    </row>
    <row r="38" spans="1:28" x14ac:dyDescent="0.35">
      <c r="A38" s="144">
        <v>8</v>
      </c>
      <c r="B38" s="145" t="s">
        <v>444</v>
      </c>
      <c r="C38" s="155">
        <v>0.02</v>
      </c>
      <c r="E38" s="147">
        <f t="shared" si="30"/>
        <v>13855.556383692332</v>
      </c>
      <c r="F38" s="148">
        <f t="shared" si="31"/>
        <v>20</v>
      </c>
      <c r="G38" s="149">
        <f t="shared" si="19"/>
        <v>2.1276595744680854E-2</v>
      </c>
      <c r="H38" s="549">
        <f t="shared" si="20"/>
        <v>1.9378400536632635E-2</v>
      </c>
      <c r="I38" s="148">
        <f t="shared" si="36"/>
        <v>307.90125297094073</v>
      </c>
      <c r="J38" s="150">
        <f t="shared" si="32"/>
        <v>50.57625104596319</v>
      </c>
      <c r="K38" s="148">
        <f t="shared" si="33"/>
        <v>358.47750401690394</v>
      </c>
      <c r="L38" s="148">
        <f t="shared" si="21"/>
        <v>15300</v>
      </c>
      <c r="M38" s="148">
        <f t="shared" si="34"/>
        <v>-1548.4426887944865</v>
      </c>
      <c r="N38" s="148">
        <f t="shared" si="22"/>
        <v>16848.442688794486</v>
      </c>
      <c r="O38" s="147">
        <f>O37</f>
        <v>15300</v>
      </c>
      <c r="P38" s="130">
        <f t="shared" si="23"/>
        <v>-1548.4426887944865</v>
      </c>
      <c r="Q38" s="151">
        <f t="shared" si="35"/>
        <v>-0.11175608152531266</v>
      </c>
      <c r="R38" s="109">
        <f t="shared" si="24"/>
        <v>15395.062648547037</v>
      </c>
      <c r="S38" s="152">
        <f>'[7]BOM (Long)'!$P$11</f>
        <v>9229.3054234062802</v>
      </c>
      <c r="T38" s="130">
        <f t="shared" si="25"/>
        <v>6165.7572251407564</v>
      </c>
      <c r="U38" s="151">
        <f t="shared" si="26"/>
        <v>0.66806297356937472</v>
      </c>
      <c r="V38" s="153">
        <f t="shared" si="27"/>
        <v>1.4060963618485744</v>
      </c>
      <c r="W38" s="156">
        <f t="shared" si="27"/>
        <v>1</v>
      </c>
      <c r="X38" s="153">
        <f t="shared" si="28"/>
        <v>0.816752692336839</v>
      </c>
      <c r="Y38" s="156">
        <f t="shared" si="29"/>
        <v>0.816752692336839</v>
      </c>
      <c r="Z38" s="109">
        <f>Z37/$Y$15</f>
        <v>13375.867391867212</v>
      </c>
      <c r="AA38" s="152">
        <f>Z38-$Z$14</f>
        <v>3675.8673918672121</v>
      </c>
      <c r="AB38" s="130">
        <f>Z38-Z37</f>
        <v>1358.6141167543246</v>
      </c>
    </row>
    <row r="39" spans="1:28" x14ac:dyDescent="0.35">
      <c r="A39" s="144">
        <v>10</v>
      </c>
      <c r="B39" s="145" t="s">
        <v>445</v>
      </c>
      <c r="C39" s="155">
        <v>0.27</v>
      </c>
      <c r="E39" s="147">
        <f t="shared" si="30"/>
        <v>15241.112022061565</v>
      </c>
      <c r="F39" s="148">
        <f t="shared" si="31"/>
        <v>270</v>
      </c>
      <c r="G39" s="149">
        <f t="shared" si="19"/>
        <v>0.28723404255319152</v>
      </c>
      <c r="H39" s="549">
        <f t="shared" si="20"/>
        <v>0.28776924796899461</v>
      </c>
      <c r="I39" s="148">
        <f t="shared" si="36"/>
        <v>4572.3336066184702</v>
      </c>
      <c r="J39" s="150">
        <f t="shared" si="32"/>
        <v>751.05732803255341</v>
      </c>
      <c r="K39" s="148">
        <f t="shared" si="33"/>
        <v>5323.3909346510236</v>
      </c>
      <c r="L39" s="148">
        <f t="shared" si="21"/>
        <v>17800</v>
      </c>
      <c r="M39" s="148">
        <f t="shared" si="34"/>
        <v>-733.28695767393219</v>
      </c>
      <c r="N39" s="148">
        <f t="shared" si="22"/>
        <v>18533.286957673932</v>
      </c>
      <c r="O39" s="168">
        <v>17800</v>
      </c>
      <c r="P39" s="130">
        <f t="shared" si="23"/>
        <v>-733.28695767393219</v>
      </c>
      <c r="Q39" s="151">
        <f t="shared" si="35"/>
        <v>-4.8112431469075005E-2</v>
      </c>
      <c r="R39" s="109">
        <f t="shared" si="24"/>
        <v>16934.568913401741</v>
      </c>
      <c r="S39" s="152">
        <f>'[7]BOM (Long)'!$P$13</f>
        <v>10152.235965746908</v>
      </c>
      <c r="T39" s="130">
        <f t="shared" si="25"/>
        <v>6782.3329476548333</v>
      </c>
      <c r="U39" s="151">
        <f t="shared" si="26"/>
        <v>0.66806297356937483</v>
      </c>
      <c r="V39" s="153">
        <f t="shared" si="27"/>
        <v>1.5467059980334321</v>
      </c>
      <c r="W39" s="153">
        <f t="shared" si="27"/>
        <v>1.0999999999999999</v>
      </c>
      <c r="X39" s="153">
        <f t="shared" si="28"/>
        <v>0.89842796157052285</v>
      </c>
      <c r="Y39" s="153">
        <f t="shared" si="29"/>
        <v>0.89842796157052285</v>
      </c>
      <c r="Z39" s="109">
        <f>Z38/$Y$15</f>
        <v>14888.080028681588</v>
      </c>
      <c r="AA39" s="152">
        <f>Z39-$Z$14</f>
        <v>5188.0800286815884</v>
      </c>
      <c r="AB39" s="130">
        <f>Z39-Z38</f>
        <v>1512.2126368143763</v>
      </c>
    </row>
    <row r="40" spans="1:28" x14ac:dyDescent="0.35">
      <c r="A40" s="144">
        <v>11</v>
      </c>
      <c r="B40" s="145" t="s">
        <v>446</v>
      </c>
      <c r="C40" s="155">
        <v>0.01</v>
      </c>
      <c r="E40" s="147">
        <f>N19</f>
        <v>7993.5902213609597</v>
      </c>
      <c r="F40" s="148">
        <f t="shared" si="31"/>
        <v>10</v>
      </c>
      <c r="G40" s="149">
        <f t="shared" si="19"/>
        <v>1.0638297872340427E-2</v>
      </c>
      <c r="H40" s="549">
        <f t="shared" si="20"/>
        <v>5.5899232317209516E-3</v>
      </c>
      <c r="I40" s="148">
        <f t="shared" si="36"/>
        <v>88.8176691262329</v>
      </c>
      <c r="J40" s="150">
        <f t="shared" si="32"/>
        <v>14.589303186335535</v>
      </c>
      <c r="K40" s="148">
        <f t="shared" si="33"/>
        <v>103.40697231256843</v>
      </c>
      <c r="L40" s="148">
        <f t="shared" si="21"/>
        <v>12550</v>
      </c>
      <c r="M40" s="148">
        <f t="shared" si="34"/>
        <v>2829.744602618568</v>
      </c>
      <c r="N40" s="148">
        <f t="shared" si="22"/>
        <v>9720.255397381432</v>
      </c>
      <c r="O40" s="147">
        <f>C6+1250</f>
        <v>12550</v>
      </c>
      <c r="P40" s="130">
        <f t="shared" si="23"/>
        <v>2829.744602618568</v>
      </c>
      <c r="Q40" s="151">
        <f>P40/E40</f>
        <v>0.35400170940170933</v>
      </c>
      <c r="R40" s="109">
        <f t="shared" si="24"/>
        <v>8881.7669126232904</v>
      </c>
      <c r="S40" s="152">
        <f>'[7]BOM (Long)'!$P$14</f>
        <v>5537.5832540437677</v>
      </c>
      <c r="T40" s="130">
        <f t="shared" si="25"/>
        <v>3344.1836585795227</v>
      </c>
      <c r="U40" s="151">
        <f t="shared" si="26"/>
        <v>0.60390670535516811</v>
      </c>
      <c r="V40" s="153">
        <f t="shared" si="27"/>
        <v>0.81120943952802371</v>
      </c>
      <c r="W40" s="157">
        <f t="shared" si="27"/>
        <v>0.6</v>
      </c>
      <c r="X40" s="153">
        <f t="shared" si="28"/>
        <v>0.49005161540210335</v>
      </c>
      <c r="Y40" s="157">
        <f t="shared" si="29"/>
        <v>0.49005161540210335</v>
      </c>
      <c r="Z40" s="109">
        <f>Z39/$Y$15</f>
        <v>16571.256311586796</v>
      </c>
      <c r="AA40" s="152">
        <f>Z40-$Z$14</f>
        <v>6871.2563115867961</v>
      </c>
      <c r="AB40" s="130">
        <f>Z40-Z39</f>
        <v>1683.1762829052077</v>
      </c>
    </row>
    <row r="41" spans="1:28" x14ac:dyDescent="0.35">
      <c r="A41" s="144"/>
      <c r="B41" s="158"/>
      <c r="C41" s="159"/>
      <c r="E41" s="147"/>
      <c r="F41" s="160">
        <f t="shared" si="31"/>
        <v>0</v>
      </c>
      <c r="G41" s="160">
        <f>F41/1000/(1-$C$8)</f>
        <v>0</v>
      </c>
      <c r="H41" s="160">
        <f>E41*G41/SUMPRODUCT($E$14:$E$20,$G$14:$G$20)</f>
        <v>0</v>
      </c>
      <c r="I41" s="160">
        <f>$C$6*H41</f>
        <v>0</v>
      </c>
      <c r="J41" s="160">
        <f>($C$7+$C$10)*H41</f>
        <v>0</v>
      </c>
      <c r="K41" s="160">
        <f>I41+J41</f>
        <v>0</v>
      </c>
      <c r="L41" s="160">
        <f>E41*G41</f>
        <v>0</v>
      </c>
      <c r="M41" s="160">
        <f t="shared" ref="M41" si="37">L41-K41</f>
        <v>0</v>
      </c>
      <c r="N41" s="160" t="e">
        <f>K41/(F41/(1-$C$8))*1000</f>
        <v>#DIV/0!</v>
      </c>
      <c r="O41" s="160"/>
      <c r="P41" s="160" t="e">
        <f t="shared" si="23"/>
        <v>#DIV/0!</v>
      </c>
      <c r="Q41" s="161" t="e">
        <f t="shared" si="35"/>
        <v>#DIV/0!</v>
      </c>
    </row>
    <row r="42" spans="1:28" ht="29" x14ac:dyDescent="0.35">
      <c r="A42" s="75"/>
      <c r="B42" s="162" t="s">
        <v>431</v>
      </c>
      <c r="C42" s="163">
        <f>SUM(C35:C41)</f>
        <v>0.89000000000000012</v>
      </c>
      <c r="D42" s="75"/>
      <c r="E42" s="75"/>
      <c r="F42" s="164">
        <f>SUM(F35:F41)</f>
        <v>890</v>
      </c>
      <c r="G42" s="78">
        <f t="shared" ref="G42:M42" si="38">SUM(G35:G41)</f>
        <v>0.94680851063829796</v>
      </c>
      <c r="H42" s="78">
        <f t="shared" si="38"/>
        <v>1</v>
      </c>
      <c r="I42" s="165">
        <f>SUM(I35:I41)</f>
        <v>15888.888888888889</v>
      </c>
      <c r="J42" s="165">
        <f>SUM(J35:J41)</f>
        <v>2609.9290780141846</v>
      </c>
      <c r="K42" s="164">
        <f>SUM(K35:K41)</f>
        <v>18498.817966903076</v>
      </c>
      <c r="L42" s="164">
        <f>SUMPRODUCT(C35:C40,L35:L40)</f>
        <v>15929.5</v>
      </c>
      <c r="M42" s="164">
        <f t="shared" si="38"/>
        <v>-4911.0527274684755</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5953"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891DF-4433-4A24-9B15-B0E83E47E8E9}">
  <sheetPr>
    <tabColor rgb="FFFFFF00"/>
  </sheetPr>
  <dimension ref="A2:AE44"/>
  <sheetViews>
    <sheetView topLeftCell="J25" zoomScale="85" zoomScaleNormal="85" workbookViewId="0">
      <selection activeCell="M37" sqref="M37"/>
    </sheetView>
  </sheetViews>
  <sheetFormatPr defaultRowHeight="14.5" x14ac:dyDescent="0.35"/>
  <cols>
    <col min="1" max="1" width="5.90625" customWidth="1"/>
    <col min="2" max="2" width="24.08984375" customWidth="1"/>
    <col min="3" max="3" width="19.81640625" customWidth="1"/>
    <col min="4" max="4" width="15.7265625" bestFit="1"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4"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3</v>
      </c>
    </row>
    <row r="6" spans="1:31" x14ac:dyDescent="0.35">
      <c r="B6" s="117" t="s">
        <v>396</v>
      </c>
      <c r="C6" s="136">
        <v>11300</v>
      </c>
      <c r="E6" s="147"/>
    </row>
    <row r="7" spans="1:31" x14ac:dyDescent="0.35">
      <c r="B7" s="117" t="s">
        <v>397</v>
      </c>
      <c r="C7" s="137">
        <v>3000</v>
      </c>
      <c r="E7" s="147"/>
    </row>
    <row r="8" spans="1:31" x14ac:dyDescent="0.35">
      <c r="B8" s="117" t="s">
        <v>398</v>
      </c>
      <c r="C8" s="138">
        <v>0.1</v>
      </c>
      <c r="E8" s="147"/>
    </row>
    <row r="9" spans="1:31" x14ac:dyDescent="0.35">
      <c r="B9" s="117" t="s">
        <v>399</v>
      </c>
      <c r="C9" s="139">
        <f>SUM(C6:C7)</f>
        <v>14300</v>
      </c>
      <c r="E9" s="147"/>
    </row>
    <row r="10" spans="1:31" x14ac:dyDescent="0.35">
      <c r="B10" s="117" t="s">
        <v>400</v>
      </c>
      <c r="C10" s="139">
        <f>C9*C8/(1-C8)</f>
        <v>1588.8888888888889</v>
      </c>
      <c r="E10" s="147"/>
    </row>
    <row r="11" spans="1:31" x14ac:dyDescent="0.35">
      <c r="B11" s="117" t="s">
        <v>401</v>
      </c>
      <c r="C11" s="139">
        <f>+C9/(1-C8)</f>
        <v>15888.888888888889</v>
      </c>
      <c r="E11" s="147"/>
      <c r="X11" t="s">
        <v>402</v>
      </c>
    </row>
    <row r="12" spans="1:31" x14ac:dyDescent="0.35">
      <c r="B12" s="140" t="s">
        <v>403</v>
      </c>
      <c r="S12" t="s">
        <v>404</v>
      </c>
      <c r="V12" t="s">
        <v>405</v>
      </c>
      <c r="W12" t="s">
        <v>406</v>
      </c>
      <c r="X12" t="s">
        <v>405</v>
      </c>
      <c r="Y12" t="s">
        <v>406</v>
      </c>
    </row>
    <row r="13" spans="1:31" ht="48" x14ac:dyDescent="0.35">
      <c r="A13" s="141" t="s">
        <v>0</v>
      </c>
      <c r="B13" s="141" t="s">
        <v>407</v>
      </c>
      <c r="C13" s="141" t="s">
        <v>408</v>
      </c>
      <c r="D13" s="109">
        <f>1000000</f>
        <v>1000000</v>
      </c>
      <c r="E13" s="142" t="s">
        <v>409</v>
      </c>
      <c r="F13" s="143" t="s">
        <v>410</v>
      </c>
      <c r="G13" s="143" t="s">
        <v>411</v>
      </c>
      <c r="H13" s="143" t="s">
        <v>412</v>
      </c>
      <c r="I13" s="143" t="s">
        <v>413</v>
      </c>
      <c r="J13" s="143" t="s">
        <v>414</v>
      </c>
      <c r="K13" s="143" t="s">
        <v>415</v>
      </c>
      <c r="L13" s="143" t="s">
        <v>416</v>
      </c>
      <c r="M13" s="143" t="s">
        <v>417</v>
      </c>
      <c r="N13" s="143" t="s">
        <v>418</v>
      </c>
      <c r="O13" s="142" t="s">
        <v>519</v>
      </c>
      <c r="P13" s="1131" t="s">
        <v>419</v>
      </c>
      <c r="Q13" s="1131"/>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0.54</v>
      </c>
      <c r="D14" s="109">
        <f>$D$13*C14*E14</f>
        <v>8802000000</v>
      </c>
      <c r="E14" s="147">
        <f>'GAP (DLO)'!I9</f>
        <v>16300</v>
      </c>
      <c r="F14" s="148">
        <f>C14*1000</f>
        <v>540</v>
      </c>
      <c r="G14" s="149">
        <f>F14/1000/(1-$C$8)</f>
        <v>0.6</v>
      </c>
      <c r="H14" s="149">
        <f>E14*G14/SUMPRODUCT($E$14:$E$20,$G$14:$G$20)</f>
        <v>0.6355693551881002</v>
      </c>
      <c r="I14" s="148">
        <f>$C$6*H14</f>
        <v>7181.9337136255326</v>
      </c>
      <c r="J14" s="150">
        <f>($C$7+$C$10)*H14</f>
        <v>2916.5571521409488</v>
      </c>
      <c r="K14" s="148">
        <f>I14+J14</f>
        <v>10098.490865766482</v>
      </c>
      <c r="L14" s="148">
        <f>E14*G14</f>
        <v>9780</v>
      </c>
      <c r="M14" s="148">
        <f>L14-K14</f>
        <v>-318.49086576648187</v>
      </c>
      <c r="N14" s="148">
        <f>K14/(F14/(1-$C$8))*1000</f>
        <v>16830.818109610802</v>
      </c>
      <c r="O14" s="147">
        <v>15000</v>
      </c>
      <c r="P14" s="130">
        <f t="shared" ref="P14:P22" si="0">O14-N14</f>
        <v>-1830.8181096108019</v>
      </c>
      <c r="Q14" s="151">
        <f t="shared" ref="Q14:Q20" si="1">P14/E14</f>
        <v>-0.11232012942397558</v>
      </c>
      <c r="R14" s="109">
        <f t="shared" ref="R14:R19" si="2">I14/F14*1000</f>
        <v>13299.877247454689</v>
      </c>
      <c r="S14" s="152">
        <f>'[7]BOM (Long)'!$P$7</f>
        <v>11536.63177925785</v>
      </c>
      <c r="T14" s="130">
        <f t="shared" ref="T14:T19" si="3">R14-S14</f>
        <v>1763.2454681968393</v>
      </c>
      <c r="U14" s="151">
        <f t="shared" ref="U14:U19" si="4">T14/S14</f>
        <v>0.1528388442948353</v>
      </c>
      <c r="V14" s="153">
        <f t="shared" ref="V14:W19" si="5">R14/R$16</f>
        <v>1.2255639097744357</v>
      </c>
      <c r="W14" s="154">
        <f t="shared" si="5"/>
        <v>1.25</v>
      </c>
      <c r="X14" s="153">
        <f t="shared" ref="X14:X19" si="6">S14/C$6</f>
        <v>1.0209408654210488</v>
      </c>
      <c r="Y14" s="154">
        <f t="shared" ref="Y14:Y19" si="7">S14/C$6</f>
        <v>1.0209408654210488</v>
      </c>
      <c r="Z14" s="109">
        <v>9700</v>
      </c>
      <c r="AA14" s="152"/>
      <c r="AC14" s="109">
        <v>12500</v>
      </c>
      <c r="AE14" s="130">
        <f>AC14+AD14</f>
        <v>12500</v>
      </c>
    </row>
    <row r="15" spans="1:31" x14ac:dyDescent="0.35">
      <c r="A15" s="144">
        <v>5</v>
      </c>
      <c r="B15" s="145" t="s">
        <v>22</v>
      </c>
      <c r="C15" s="155">
        <v>0.03</v>
      </c>
      <c r="D15" s="109">
        <f>$D$13*C15*E15</f>
        <v>444000000</v>
      </c>
      <c r="E15" s="147">
        <f>'GAP (DLO)'!I11</f>
        <v>14800</v>
      </c>
      <c r="F15" s="148">
        <f t="shared" ref="F15:F20" si="8">C15*1000</f>
        <v>30</v>
      </c>
      <c r="G15" s="149">
        <f t="shared" ref="G15:G20" si="9">F15/1000/(1-$C$8)</f>
        <v>3.3333333333333333E-2</v>
      </c>
      <c r="H15" s="149">
        <f t="shared" ref="H15:H20" si="10">E15*G15/SUMPRODUCT($E$14:$E$20,$G$14:$G$20)</f>
        <v>3.2060076539822367E-2</v>
      </c>
      <c r="I15" s="148">
        <f t="shared" ref="I15:I20" si="11">$C$6*H15</f>
        <v>362.27886489999275</v>
      </c>
      <c r="J15" s="150">
        <f t="shared" ref="J15:J20" si="12">($C$7+$C$10)*H15</f>
        <v>147.12012901051818</v>
      </c>
      <c r="K15" s="148">
        <f t="shared" ref="K15:K20" si="13">I15+J15</f>
        <v>509.39899391051097</v>
      </c>
      <c r="L15" s="148">
        <f t="shared" ref="L15:L20" si="14">E15*G15</f>
        <v>493.33333333333331</v>
      </c>
      <c r="M15" s="148">
        <f t="shared" ref="M15:M20" si="15">L15-K15</f>
        <v>-16.065660577177653</v>
      </c>
      <c r="N15" s="148">
        <f t="shared" ref="N15:N20" si="16">K15/(F15/(1-$C$8))*1000</f>
        <v>15281.969817315328</v>
      </c>
      <c r="O15" s="147">
        <v>13500</v>
      </c>
      <c r="P15" s="130">
        <f t="shared" si="0"/>
        <v>-1781.9698173153283</v>
      </c>
      <c r="Q15" s="151">
        <f t="shared" si="1"/>
        <v>-0.12040336603481948</v>
      </c>
      <c r="R15" s="109">
        <f t="shared" si="2"/>
        <v>12075.962163333092</v>
      </c>
      <c r="S15" s="152">
        <f>'[7]BOM (Long)'!$P$9</f>
        <v>10152.23596574691</v>
      </c>
      <c r="T15" s="130">
        <f t="shared" si="3"/>
        <v>1923.726197586182</v>
      </c>
      <c r="U15" s="151">
        <f t="shared" si="4"/>
        <v>0.18948793192718622</v>
      </c>
      <c r="V15" s="153">
        <f t="shared" si="5"/>
        <v>1.1127819548872178</v>
      </c>
      <c r="W15" s="153">
        <f t="shared" si="5"/>
        <v>1.1000000000000001</v>
      </c>
      <c r="X15" s="153">
        <f t="shared" si="6"/>
        <v>0.89842796157052296</v>
      </c>
      <c r="Y15" s="153">
        <f t="shared" si="7"/>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D16" s="109">
        <f t="shared" ref="D16:D19" si="17">$D$13*C16*E16</f>
        <v>266000000</v>
      </c>
      <c r="E16" s="147">
        <f>'GAP (DLO)'!I10</f>
        <v>13300</v>
      </c>
      <c r="F16" s="148">
        <f t="shared" si="8"/>
        <v>20</v>
      </c>
      <c r="G16" s="149">
        <f t="shared" si="9"/>
        <v>2.2222222222222223E-2</v>
      </c>
      <c r="H16" s="149">
        <f t="shared" si="10"/>
        <v>1.9207162972055745E-2</v>
      </c>
      <c r="I16" s="148">
        <f t="shared" si="11"/>
        <v>217.04094158422993</v>
      </c>
      <c r="J16" s="150">
        <f t="shared" si="12"/>
        <v>88.139536749544689</v>
      </c>
      <c r="K16" s="148">
        <f t="shared" si="13"/>
        <v>305.1804783337746</v>
      </c>
      <c r="L16" s="148">
        <f t="shared" si="14"/>
        <v>295.55555555555554</v>
      </c>
      <c r="M16" s="148">
        <f t="shared" si="15"/>
        <v>-9.6249227782190587</v>
      </c>
      <c r="N16" s="148">
        <f t="shared" si="16"/>
        <v>13733.121525019858</v>
      </c>
      <c r="O16" s="147">
        <v>12000</v>
      </c>
      <c r="P16" s="130">
        <f t="shared" si="0"/>
        <v>-1733.1215250198584</v>
      </c>
      <c r="Q16" s="151">
        <f t="shared" si="1"/>
        <v>-0.13030988909923746</v>
      </c>
      <c r="R16" s="109">
        <f t="shared" si="2"/>
        <v>10852.047079211497</v>
      </c>
      <c r="S16" s="152">
        <f>'[7]BOM (Long)'!$P$10</f>
        <v>9229.3054234062802</v>
      </c>
      <c r="T16" s="130">
        <f t="shared" si="3"/>
        <v>1622.7416558052173</v>
      </c>
      <c r="U16" s="151">
        <f t="shared" si="4"/>
        <v>0.17582489487126632</v>
      </c>
      <c r="V16" s="153">
        <f t="shared" si="5"/>
        <v>1</v>
      </c>
      <c r="W16" s="156">
        <f t="shared" si="5"/>
        <v>1</v>
      </c>
      <c r="X16" s="153">
        <f t="shared" si="6"/>
        <v>0.816752692336839</v>
      </c>
      <c r="Y16" s="156">
        <f t="shared" si="7"/>
        <v>0.816752692336839</v>
      </c>
      <c r="Z16" s="109">
        <f>Z15/$Y$15</f>
        <v>12017.253275112887</v>
      </c>
      <c r="AA16" s="152">
        <f>Z16-$Z$14</f>
        <v>2317.2532751128874</v>
      </c>
      <c r="AB16" s="130">
        <f>Z16-Z15</f>
        <v>1220.6169114765253</v>
      </c>
      <c r="AC16" s="109">
        <v>9000</v>
      </c>
    </row>
    <row r="17" spans="1:31" x14ac:dyDescent="0.35">
      <c r="A17" s="144">
        <v>8</v>
      </c>
      <c r="B17" s="145" t="s">
        <v>29</v>
      </c>
      <c r="C17" s="155">
        <v>0.02</v>
      </c>
      <c r="D17" s="109">
        <f t="shared" si="17"/>
        <v>266000000</v>
      </c>
      <c r="E17" s="147">
        <f>'GAP (DLO)'!I10</f>
        <v>13300</v>
      </c>
      <c r="F17" s="148">
        <f t="shared" si="8"/>
        <v>20</v>
      </c>
      <c r="G17" s="149">
        <f t="shared" si="9"/>
        <v>2.2222222222222223E-2</v>
      </c>
      <c r="H17" s="149">
        <f t="shared" si="10"/>
        <v>1.9207162972055745E-2</v>
      </c>
      <c r="I17" s="148">
        <f t="shared" si="11"/>
        <v>217.04094158422993</v>
      </c>
      <c r="J17" s="150">
        <f t="shared" si="12"/>
        <v>88.139536749544689</v>
      </c>
      <c r="K17" s="148">
        <f t="shared" si="13"/>
        <v>305.1804783337746</v>
      </c>
      <c r="L17" s="148">
        <f t="shared" si="14"/>
        <v>295.55555555555554</v>
      </c>
      <c r="M17" s="148">
        <f t="shared" si="15"/>
        <v>-9.6249227782190587</v>
      </c>
      <c r="N17" s="148">
        <f t="shared" si="16"/>
        <v>13733.121525019858</v>
      </c>
      <c r="O17" s="147">
        <v>12000</v>
      </c>
      <c r="P17" s="130">
        <f t="shared" si="0"/>
        <v>-1733.1215250198584</v>
      </c>
      <c r="Q17" s="151">
        <f t="shared" si="1"/>
        <v>-0.13030988909923746</v>
      </c>
      <c r="R17" s="109">
        <f t="shared" si="2"/>
        <v>10852.047079211497</v>
      </c>
      <c r="S17" s="152">
        <f>'[7]BOM (Long)'!$P$11</f>
        <v>9229.3054234062802</v>
      </c>
      <c r="T17" s="130">
        <f t="shared" si="3"/>
        <v>1622.7416558052173</v>
      </c>
      <c r="U17" s="151">
        <f t="shared" si="4"/>
        <v>0.17582489487126632</v>
      </c>
      <c r="V17" s="153">
        <f t="shared" si="5"/>
        <v>1</v>
      </c>
      <c r="W17" s="156">
        <f t="shared" si="5"/>
        <v>1</v>
      </c>
      <c r="X17" s="153">
        <f t="shared" si="6"/>
        <v>0.816752692336839</v>
      </c>
      <c r="Y17" s="156">
        <f t="shared" si="7"/>
        <v>0.816752692336839</v>
      </c>
      <c r="Z17" s="109">
        <f>Z16/$Y$15</f>
        <v>13375.867391867212</v>
      </c>
      <c r="AA17" s="152">
        <f>Z17-$Z$14</f>
        <v>3675.8673918672121</v>
      </c>
      <c r="AB17" s="130">
        <f>Z17-Z16</f>
        <v>1358.6141167543246</v>
      </c>
      <c r="AC17" s="109">
        <v>9000</v>
      </c>
    </row>
    <row r="18" spans="1:31" x14ac:dyDescent="0.35">
      <c r="A18" s="144">
        <v>10</v>
      </c>
      <c r="B18" s="145" t="s">
        <v>19</v>
      </c>
      <c r="C18" s="155">
        <v>0.27</v>
      </c>
      <c r="D18" s="109">
        <f t="shared" si="17"/>
        <v>3996000000</v>
      </c>
      <c r="E18" s="147">
        <f>'GAP (DLO)'!I11</f>
        <v>14800</v>
      </c>
      <c r="F18" s="148">
        <f t="shared" si="8"/>
        <v>270</v>
      </c>
      <c r="G18" s="149">
        <f t="shared" si="9"/>
        <v>0.3</v>
      </c>
      <c r="H18" s="149">
        <f t="shared" si="10"/>
        <v>0.28854068885840134</v>
      </c>
      <c r="I18" s="148">
        <f t="shared" si="11"/>
        <v>3260.5097840999351</v>
      </c>
      <c r="J18" s="150">
        <f t="shared" si="12"/>
        <v>1324.0811610946639</v>
      </c>
      <c r="K18" s="148">
        <f t="shared" si="13"/>
        <v>4584.590945194599</v>
      </c>
      <c r="L18" s="148">
        <f t="shared" si="14"/>
        <v>4440</v>
      </c>
      <c r="M18" s="148">
        <f t="shared" si="15"/>
        <v>-144.59094519459904</v>
      </c>
      <c r="N18" s="148">
        <f t="shared" si="16"/>
        <v>15281.96981731533</v>
      </c>
      <c r="O18" s="147">
        <v>13500</v>
      </c>
      <c r="P18" s="130">
        <f t="shared" si="0"/>
        <v>-1781.9698173153301</v>
      </c>
      <c r="Q18" s="151">
        <f t="shared" si="1"/>
        <v>-0.1204033660348196</v>
      </c>
      <c r="R18" s="109">
        <f t="shared" si="2"/>
        <v>12075.962163333093</v>
      </c>
      <c r="S18" s="152">
        <f>'[7]BOM (Long)'!$P$13</f>
        <v>10152.235965746908</v>
      </c>
      <c r="T18" s="130">
        <f t="shared" si="3"/>
        <v>1923.7261975861857</v>
      </c>
      <c r="U18" s="151">
        <f t="shared" si="4"/>
        <v>0.1894879319271866</v>
      </c>
      <c r="V18" s="153">
        <f t="shared" si="5"/>
        <v>1.112781954887218</v>
      </c>
      <c r="W18" s="153">
        <f t="shared" si="5"/>
        <v>1.0999999999999999</v>
      </c>
      <c r="X18" s="153">
        <f t="shared" si="6"/>
        <v>0.89842796157052285</v>
      </c>
      <c r="Y18" s="153">
        <f t="shared" si="7"/>
        <v>0.89842796157052285</v>
      </c>
      <c r="Z18" s="109">
        <f>Z17/$Y$15</f>
        <v>14888.080028681588</v>
      </c>
      <c r="AA18" s="152">
        <f>Z18-$Z$14</f>
        <v>5188.0800286815884</v>
      </c>
      <c r="AB18" s="130">
        <f>Z18-Z17</f>
        <v>1512.2126368143763</v>
      </c>
      <c r="AC18" s="109">
        <v>10000</v>
      </c>
      <c r="AD18" s="109">
        <f>'[8]CP Công đoạn (3)'!$CJ$6</f>
        <v>2321.0309940637335</v>
      </c>
      <c r="AE18" s="130">
        <f>AC18+AD18</f>
        <v>12321.030994063734</v>
      </c>
    </row>
    <row r="19" spans="1:31" x14ac:dyDescent="0.35">
      <c r="A19" s="144">
        <v>11</v>
      </c>
      <c r="B19" s="145" t="s">
        <v>430</v>
      </c>
      <c r="C19" s="155">
        <v>0.01</v>
      </c>
      <c r="D19" s="109">
        <f t="shared" si="17"/>
        <v>75000000</v>
      </c>
      <c r="E19" s="147">
        <f>'GAP (DLO)'!I12</f>
        <v>7500</v>
      </c>
      <c r="F19" s="148">
        <f t="shared" si="8"/>
        <v>10</v>
      </c>
      <c r="G19" s="149">
        <f t="shared" si="9"/>
        <v>1.1111111111111112E-2</v>
      </c>
      <c r="H19" s="149">
        <f t="shared" si="10"/>
        <v>5.4155534695645904E-3</v>
      </c>
      <c r="I19" s="148">
        <f t="shared" si="11"/>
        <v>61.195754206079869</v>
      </c>
      <c r="J19" s="150">
        <f t="shared" si="12"/>
        <v>24.851373143668621</v>
      </c>
      <c r="K19" s="148">
        <f>I19+J19</f>
        <v>86.047127349748493</v>
      </c>
      <c r="L19" s="148">
        <f t="shared" si="14"/>
        <v>83.333333333333343</v>
      </c>
      <c r="M19" s="148">
        <f t="shared" si="15"/>
        <v>-2.7137940164151502</v>
      </c>
      <c r="N19" s="148">
        <f t="shared" si="16"/>
        <v>7744.2414614773643</v>
      </c>
      <c r="O19" s="147">
        <v>6500</v>
      </c>
      <c r="P19" s="130">
        <f t="shared" si="0"/>
        <v>-1244.2414614773643</v>
      </c>
      <c r="Q19" s="151">
        <f t="shared" si="1"/>
        <v>-0.16589886153031524</v>
      </c>
      <c r="R19" s="109">
        <f t="shared" si="2"/>
        <v>6119.5754206079873</v>
      </c>
      <c r="S19" s="152">
        <f>'[7]BOM (Long)'!$P$14</f>
        <v>5537.5832540437677</v>
      </c>
      <c r="T19" s="130">
        <f t="shared" si="3"/>
        <v>581.99216656421959</v>
      </c>
      <c r="U19" s="151">
        <f t="shared" si="4"/>
        <v>0.10509858540532557</v>
      </c>
      <c r="V19" s="153">
        <f t="shared" si="5"/>
        <v>0.56390977443609025</v>
      </c>
      <c r="W19" s="157">
        <f t="shared" si="5"/>
        <v>0.6</v>
      </c>
      <c r="X19" s="153">
        <f t="shared" si="6"/>
        <v>0.49005161540210335</v>
      </c>
      <c r="Y19" s="157">
        <f t="shared" si="7"/>
        <v>0.49005161540210335</v>
      </c>
      <c r="Z19" s="109">
        <f>Z18/$Y$15</f>
        <v>16571.256311586796</v>
      </c>
      <c r="AA19" s="152">
        <f>Z19-$Z$14</f>
        <v>6871.2563115867961</v>
      </c>
      <c r="AB19" s="130">
        <f>Z19-Z18</f>
        <v>1683.1762829052077</v>
      </c>
      <c r="AC19" s="109">
        <v>5000</v>
      </c>
    </row>
    <row r="20" spans="1:31" hidden="1" x14ac:dyDescent="0.35">
      <c r="A20" s="144"/>
      <c r="B20" s="158"/>
      <c r="C20" s="159"/>
      <c r="E20" s="147"/>
      <c r="F20" s="160">
        <f t="shared" si="8"/>
        <v>0</v>
      </c>
      <c r="G20" s="160">
        <f t="shared" si="9"/>
        <v>0</v>
      </c>
      <c r="H20" s="160">
        <f t="shared" si="10"/>
        <v>0</v>
      </c>
      <c r="I20" s="160">
        <f t="shared" si="11"/>
        <v>0</v>
      </c>
      <c r="J20" s="160">
        <f t="shared" si="12"/>
        <v>0</v>
      </c>
      <c r="K20" s="160">
        <f t="shared" si="13"/>
        <v>0</v>
      </c>
      <c r="L20" s="160">
        <f t="shared" si="14"/>
        <v>0</v>
      </c>
      <c r="M20" s="160">
        <f t="shared" si="15"/>
        <v>0</v>
      </c>
      <c r="N20" s="160" t="e">
        <f t="shared" si="16"/>
        <v>#DIV/0!</v>
      </c>
      <c r="O20" s="160"/>
      <c r="P20" s="160" t="e">
        <f t="shared" si="0"/>
        <v>#DIV/0!</v>
      </c>
      <c r="Q20" s="161" t="e">
        <f t="shared" si="1"/>
        <v>#DIV/0!</v>
      </c>
    </row>
    <row r="21" spans="1:31" s="75" customFormat="1" ht="29" x14ac:dyDescent="0.35">
      <c r="B21" s="162" t="s">
        <v>431</v>
      </c>
      <c r="C21" s="163">
        <f>SUM(C14:C20)</f>
        <v>0.89000000000000012</v>
      </c>
      <c r="D21" s="470">
        <f>SUM(D14:D19)</f>
        <v>13849000000</v>
      </c>
      <c r="E21" s="470">
        <f>E14-E18</f>
        <v>1500</v>
      </c>
      <c r="F21" s="164">
        <f>SUM(F14:F20)</f>
        <v>890</v>
      </c>
      <c r="G21" s="78">
        <f t="shared" ref="G21:L21" si="18">SUM(G14:G20)</f>
        <v>0.98888888888888893</v>
      </c>
      <c r="H21" s="78">
        <f t="shared" si="18"/>
        <v>0.99999999999999989</v>
      </c>
      <c r="I21" s="165">
        <f t="shared" si="18"/>
        <v>11299.999999999998</v>
      </c>
      <c r="J21" s="165">
        <f>SUM(J14:J20)</f>
        <v>4588.8888888888887</v>
      </c>
      <c r="K21" s="164">
        <f t="shared" si="18"/>
        <v>15888.888888888887</v>
      </c>
      <c r="L21" s="164">
        <f t="shared" si="18"/>
        <v>15387.777777777777</v>
      </c>
      <c r="M21" s="164">
        <f>SUM(M14:M20)</f>
        <v>-501.11111111111182</v>
      </c>
      <c r="N21" s="200">
        <f>SUMPRODUCT(C14:C19,N14:N19)</f>
        <v>14300</v>
      </c>
      <c r="P21" s="75">
        <f t="shared" si="0"/>
        <v>-14300</v>
      </c>
    </row>
    <row r="22" spans="1:31" x14ac:dyDescent="0.35">
      <c r="B22" t="s">
        <v>432</v>
      </c>
      <c r="C22" s="166">
        <f>100%-C21</f>
        <v>0.10999999999999988</v>
      </c>
      <c r="D22" s="109">
        <f>C6*(D13/0.89)</f>
        <v>12696629213.483147</v>
      </c>
      <c r="E22" s="274">
        <f>E21/E14</f>
        <v>9.202453987730061E-2</v>
      </c>
      <c r="N22" s="130">
        <f>K21-N21</f>
        <v>1588.8888888888869</v>
      </c>
      <c r="P22" s="130">
        <f t="shared" si="0"/>
        <v>-1588.8888888888869</v>
      </c>
    </row>
    <row r="23" spans="1:31" x14ac:dyDescent="0.35">
      <c r="B23" t="s">
        <v>433</v>
      </c>
      <c r="D23" s="872">
        <f>D21-D22</f>
        <v>1152370786.5168533</v>
      </c>
      <c r="E23" s="868">
        <f>SUMPRODUCT(C14:C19,E14:E19)</f>
        <v>13849</v>
      </c>
      <c r="F23" s="148">
        <f>1000-F21</f>
        <v>110</v>
      </c>
    </row>
    <row r="24" spans="1:31" x14ac:dyDescent="0.35">
      <c r="D24" s="283">
        <f>D23/D21</f>
        <v>8.3209674815282936E-2</v>
      </c>
      <c r="E24" s="109">
        <f>'Giá mua Chai-Vảy'!E23</f>
        <v>14055</v>
      </c>
    </row>
    <row r="25" spans="1:31" x14ac:dyDescent="0.35">
      <c r="E25" s="873">
        <f>E23-E24</f>
        <v>-206</v>
      </c>
    </row>
    <row r="26" spans="1:31" x14ac:dyDescent="0.35">
      <c r="B26" s="117" t="s">
        <v>434</v>
      </c>
      <c r="C26" s="136">
        <f>C11</f>
        <v>15888.888888888889</v>
      </c>
      <c r="E26" s="109">
        <f>'[4]Consol PL-DTRG-T04.26'!$F$4</f>
        <v>915.41700000000003</v>
      </c>
      <c r="F26" s="109">
        <f>'Giá mua Chai-Vảy (KN)'!E26</f>
        <v>1134.354</v>
      </c>
      <c r="G26" s="130">
        <f>F26+E26</f>
        <v>2049.7710000000002</v>
      </c>
    </row>
    <row r="27" spans="1:31" x14ac:dyDescent="0.35">
      <c r="B27" s="117" t="s">
        <v>686</v>
      </c>
      <c r="C27" s="137">
        <v>1500</v>
      </c>
      <c r="E27" s="110">
        <f>E26/$G$26</f>
        <v>0.44659476595190389</v>
      </c>
      <c r="F27" s="110">
        <f>F26/$G$26</f>
        <v>0.55340523404809605</v>
      </c>
      <c r="G27" s="110">
        <f>G26/$G$26</f>
        <v>1</v>
      </c>
    </row>
    <row r="28" spans="1:31" x14ac:dyDescent="0.35">
      <c r="B28" s="117" t="s">
        <v>398</v>
      </c>
      <c r="C28" s="138">
        <v>0.06</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1131" t="s">
        <v>419</v>
      </c>
      <c r="Q34" s="1131"/>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N14</f>
        <v>16830.818109610802</v>
      </c>
      <c r="F35" s="148">
        <f>C35*1000</f>
        <v>540</v>
      </c>
      <c r="G35" s="149">
        <f t="shared" ref="G35:G40" si="19">F35/1000/(1-$C$28)</f>
        <v>0.57446808510638303</v>
      </c>
      <c r="H35" s="549">
        <f t="shared" ref="H35:H40" si="20">E35*G35/SUMPRODUCT($E$35:$E$40,$G$35:$G$40)</f>
        <v>0.6355693551881002</v>
      </c>
      <c r="I35" s="148">
        <f>$C$26*H35</f>
        <v>10098.49086576648</v>
      </c>
      <c r="J35" s="150">
        <f>($C$27+$C$30)*H35</f>
        <v>1658.7909412001482</v>
      </c>
      <c r="K35" s="148">
        <f>I35+J35</f>
        <v>11757.281806966628</v>
      </c>
      <c r="L35" s="148">
        <f t="shared" ref="L35:L40" si="21">O35</f>
        <v>18300</v>
      </c>
      <c r="M35" s="148">
        <f>L35-N35</f>
        <v>-2166.3794417567224</v>
      </c>
      <c r="N35" s="148">
        <f t="shared" ref="N35:N40" si="22">K35/(F35/(1-$C$28))*1000</f>
        <v>20466.379441756722</v>
      </c>
      <c r="O35" s="168">
        <v>18300</v>
      </c>
      <c r="P35" s="130">
        <f t="shared" ref="P35:P41" si="23">O35-N35</f>
        <v>-2166.3794417567224</v>
      </c>
      <c r="Q35" s="151">
        <f>P35/E35</f>
        <v>-0.1287150409236297</v>
      </c>
      <c r="R35" s="109">
        <f t="shared" ref="R35:R40" si="24">I35/F35*1000</f>
        <v>18700.909010678668</v>
      </c>
      <c r="S35" s="152">
        <f>'[7]BOM (Long)'!$P$7</f>
        <v>11536.63177925785</v>
      </c>
      <c r="T35" s="130">
        <f t="shared" ref="T35:T40" si="25">R35-S35</f>
        <v>7164.2772314208178</v>
      </c>
      <c r="U35" s="151">
        <f t="shared" ref="U35:U40" si="26">T35/S35</f>
        <v>0.62100250476068286</v>
      </c>
      <c r="V35" s="153">
        <f t="shared" ref="V35:W40" si="27">R35/R$16</f>
        <v>1.7232609547467483</v>
      </c>
      <c r="W35" s="154">
        <f t="shared" si="27"/>
        <v>1.25</v>
      </c>
      <c r="X35" s="153">
        <f t="shared" ref="X35:X40" si="28">S35/C$6</f>
        <v>1.0209408654210488</v>
      </c>
      <c r="Y35" s="154">
        <f t="shared" ref="Y35:Y40" si="29">S35/C$6</f>
        <v>1.0209408654210488</v>
      </c>
      <c r="Z35" s="109">
        <v>9700</v>
      </c>
      <c r="AA35" s="152"/>
    </row>
    <row r="36" spans="1:28" x14ac:dyDescent="0.35">
      <c r="A36" s="144">
        <v>5</v>
      </c>
      <c r="B36" s="145" t="s">
        <v>442</v>
      </c>
      <c r="C36" s="155">
        <v>0.03</v>
      </c>
      <c r="E36" s="147">
        <f t="shared" ref="E36:E39" si="30">N15</f>
        <v>15281.969817315328</v>
      </c>
      <c r="F36" s="148">
        <f t="shared" ref="F36:F41" si="31">C36*1000</f>
        <v>30</v>
      </c>
      <c r="G36" s="149">
        <f t="shared" si="19"/>
        <v>3.1914893617021274E-2</v>
      </c>
      <c r="H36" s="549">
        <f t="shared" si="20"/>
        <v>3.206007653982236E-2</v>
      </c>
      <c r="I36" s="148">
        <f>$C$26*H36</f>
        <v>509.39899391051085</v>
      </c>
      <c r="J36" s="150">
        <f t="shared" ref="J36:J40" si="32">($C$27+$C$30)*H36</f>
        <v>83.674526004642757</v>
      </c>
      <c r="K36" s="148">
        <f t="shared" ref="K36:K40" si="33">I36+J36</f>
        <v>593.07351991515361</v>
      </c>
      <c r="L36" s="148">
        <f t="shared" si="21"/>
        <v>16800</v>
      </c>
      <c r="M36" s="148">
        <f t="shared" ref="M36:M40" si="34">L36-N36</f>
        <v>-1782.9702906748134</v>
      </c>
      <c r="N36" s="148">
        <f t="shared" si="22"/>
        <v>18582.970290674813</v>
      </c>
      <c r="O36" s="147">
        <f>O35-1500</f>
        <v>16800</v>
      </c>
      <c r="P36" s="130">
        <f t="shared" si="23"/>
        <v>-1782.9702906748134</v>
      </c>
      <c r="Q36" s="151">
        <f t="shared" ref="Q36:Q41" si="35">P36/E36</f>
        <v>-0.11667149667149637</v>
      </c>
      <c r="R36" s="109">
        <f t="shared" si="24"/>
        <v>16979.966463683697</v>
      </c>
      <c r="S36" s="152">
        <f>'[7]BOM (Long)'!$P$9</f>
        <v>10152.23596574691</v>
      </c>
      <c r="T36" s="130">
        <f t="shared" si="25"/>
        <v>6827.7304979367873</v>
      </c>
      <c r="U36" s="151">
        <f t="shared" si="26"/>
        <v>0.67253465354560094</v>
      </c>
      <c r="V36" s="153">
        <f t="shared" si="27"/>
        <v>1.5646786582976611</v>
      </c>
      <c r="W36" s="153">
        <f t="shared" si="27"/>
        <v>1.1000000000000001</v>
      </c>
      <c r="X36" s="153">
        <f t="shared" si="28"/>
        <v>0.89842796157052296</v>
      </c>
      <c r="Y36" s="153">
        <f t="shared" si="29"/>
        <v>0.89842796157052296</v>
      </c>
      <c r="Z36" s="109">
        <f>Z35/$Y$15</f>
        <v>10796.636363636362</v>
      </c>
      <c r="AA36" s="152">
        <f>Z36-$Z$14</f>
        <v>1096.6363636363621</v>
      </c>
      <c r="AB36" s="130">
        <f>Z36-Z35</f>
        <v>1096.6363636363621</v>
      </c>
    </row>
    <row r="37" spans="1:28" x14ac:dyDescent="0.35">
      <c r="A37" s="144">
        <v>7</v>
      </c>
      <c r="B37" s="145" t="s">
        <v>443</v>
      </c>
      <c r="C37" s="155">
        <v>0.02</v>
      </c>
      <c r="E37" s="147">
        <f t="shared" si="30"/>
        <v>13733.121525019858</v>
      </c>
      <c r="F37" s="148">
        <f t="shared" si="31"/>
        <v>20</v>
      </c>
      <c r="G37" s="149">
        <f t="shared" si="19"/>
        <v>2.1276595744680854E-2</v>
      </c>
      <c r="H37" s="549">
        <f t="shared" si="20"/>
        <v>1.9207162972055748E-2</v>
      </c>
      <c r="I37" s="148">
        <f t="shared" ref="I37:I40" si="36">$C$26*H37</f>
        <v>305.18047833377466</v>
      </c>
      <c r="J37" s="150">
        <f t="shared" si="32"/>
        <v>50.129333146925646</v>
      </c>
      <c r="K37" s="148">
        <f t="shared" si="33"/>
        <v>355.30981148070032</v>
      </c>
      <c r="L37" s="148">
        <f t="shared" si="21"/>
        <v>15300</v>
      </c>
      <c r="M37" s="148">
        <f t="shared" si="34"/>
        <v>-1399.5611395929154</v>
      </c>
      <c r="N37" s="148">
        <f t="shared" si="22"/>
        <v>16699.561139592915</v>
      </c>
      <c r="O37" s="147">
        <f>O35-3000</f>
        <v>15300</v>
      </c>
      <c r="P37" s="130">
        <f t="shared" si="23"/>
        <v>-1399.5611395929154</v>
      </c>
      <c r="Q37" s="151">
        <f t="shared" si="35"/>
        <v>-0.10191136349031119</v>
      </c>
      <c r="R37" s="109">
        <f t="shared" si="24"/>
        <v>15259.023916688733</v>
      </c>
      <c r="S37" s="152">
        <f>'[7]BOM (Long)'!$P$10</f>
        <v>9229.3054234062802</v>
      </c>
      <c r="T37" s="130">
        <f t="shared" si="25"/>
        <v>6029.718493282453</v>
      </c>
      <c r="U37" s="151">
        <f t="shared" si="26"/>
        <v>0.65332310684946993</v>
      </c>
      <c r="V37" s="153">
        <f t="shared" si="27"/>
        <v>1.4060963618485742</v>
      </c>
      <c r="W37" s="156">
        <f t="shared" si="27"/>
        <v>1</v>
      </c>
      <c r="X37" s="153">
        <f t="shared" si="28"/>
        <v>0.816752692336839</v>
      </c>
      <c r="Y37" s="156">
        <f t="shared" si="29"/>
        <v>0.816752692336839</v>
      </c>
      <c r="Z37" s="109">
        <f>Z36/$Y$15</f>
        <v>12017.253275112887</v>
      </c>
      <c r="AA37" s="152">
        <f>Z37-$Z$14</f>
        <v>2317.2532751128874</v>
      </c>
      <c r="AB37" s="130">
        <f>Z37-Z36</f>
        <v>1220.6169114765253</v>
      </c>
    </row>
    <row r="38" spans="1:28" x14ac:dyDescent="0.35">
      <c r="A38" s="144">
        <v>8</v>
      </c>
      <c r="B38" s="145" t="s">
        <v>444</v>
      </c>
      <c r="C38" s="155">
        <v>0.02</v>
      </c>
      <c r="E38" s="147">
        <f t="shared" si="30"/>
        <v>13733.121525019858</v>
      </c>
      <c r="F38" s="148">
        <f t="shared" si="31"/>
        <v>20</v>
      </c>
      <c r="G38" s="149">
        <f t="shared" si="19"/>
        <v>2.1276595744680854E-2</v>
      </c>
      <c r="H38" s="549">
        <f t="shared" si="20"/>
        <v>1.9207162972055748E-2</v>
      </c>
      <c r="I38" s="148">
        <f t="shared" si="36"/>
        <v>305.18047833377466</v>
      </c>
      <c r="J38" s="150">
        <f t="shared" si="32"/>
        <v>50.129333146925646</v>
      </c>
      <c r="K38" s="148">
        <f t="shared" si="33"/>
        <v>355.30981148070032</v>
      </c>
      <c r="L38" s="148">
        <f t="shared" si="21"/>
        <v>15300</v>
      </c>
      <c r="M38" s="148">
        <f t="shared" si="34"/>
        <v>-1399.5611395929154</v>
      </c>
      <c r="N38" s="148">
        <f t="shared" si="22"/>
        <v>16699.561139592915</v>
      </c>
      <c r="O38" s="147">
        <f>O37</f>
        <v>15300</v>
      </c>
      <c r="P38" s="130">
        <f t="shared" si="23"/>
        <v>-1399.5611395929154</v>
      </c>
      <c r="Q38" s="151">
        <f t="shared" si="35"/>
        <v>-0.10191136349031119</v>
      </c>
      <c r="R38" s="109">
        <f t="shared" si="24"/>
        <v>15259.023916688733</v>
      </c>
      <c r="S38" s="152">
        <f>'[7]BOM (Long)'!$P$11</f>
        <v>9229.3054234062802</v>
      </c>
      <c r="T38" s="130">
        <f t="shared" si="25"/>
        <v>6029.718493282453</v>
      </c>
      <c r="U38" s="151">
        <f t="shared" si="26"/>
        <v>0.65332310684946993</v>
      </c>
      <c r="V38" s="153">
        <f t="shared" si="27"/>
        <v>1.4060963618485742</v>
      </c>
      <c r="W38" s="156">
        <f t="shared" si="27"/>
        <v>1</v>
      </c>
      <c r="X38" s="153">
        <f t="shared" si="28"/>
        <v>0.816752692336839</v>
      </c>
      <c r="Y38" s="156">
        <f t="shared" si="29"/>
        <v>0.816752692336839</v>
      </c>
      <c r="Z38" s="109">
        <f>Z37/$Y$15</f>
        <v>13375.867391867212</v>
      </c>
      <c r="AA38" s="152">
        <f>Z38-$Z$14</f>
        <v>3675.8673918672121</v>
      </c>
      <c r="AB38" s="130">
        <f>Z38-Z37</f>
        <v>1358.6141167543246</v>
      </c>
    </row>
    <row r="39" spans="1:28" x14ac:dyDescent="0.35">
      <c r="A39" s="144">
        <v>10</v>
      </c>
      <c r="B39" s="145" t="s">
        <v>445</v>
      </c>
      <c r="C39" s="155">
        <v>0.27</v>
      </c>
      <c r="E39" s="147">
        <f t="shared" si="30"/>
        <v>15281.96981731533</v>
      </c>
      <c r="F39" s="148">
        <f t="shared" si="31"/>
        <v>270</v>
      </c>
      <c r="G39" s="149">
        <f t="shared" si="19"/>
        <v>0.28723404255319152</v>
      </c>
      <c r="H39" s="549">
        <f t="shared" si="20"/>
        <v>0.28854068885840134</v>
      </c>
      <c r="I39" s="148">
        <f t="shared" si="36"/>
        <v>4584.590945194599</v>
      </c>
      <c r="J39" s="150">
        <f t="shared" si="32"/>
        <v>753.07073404178516</v>
      </c>
      <c r="K39" s="148">
        <f t="shared" si="33"/>
        <v>5337.6616792363839</v>
      </c>
      <c r="L39" s="148">
        <f t="shared" si="21"/>
        <v>17800</v>
      </c>
      <c r="M39" s="148">
        <f t="shared" si="34"/>
        <v>-782.97029067481708</v>
      </c>
      <c r="N39" s="148">
        <f t="shared" si="22"/>
        <v>18582.970290674817</v>
      </c>
      <c r="O39" s="168">
        <v>17800</v>
      </c>
      <c r="P39" s="130">
        <f t="shared" si="23"/>
        <v>-782.97029067481708</v>
      </c>
      <c r="Q39" s="151">
        <f t="shared" si="35"/>
        <v>-5.1234906234906168E-2</v>
      </c>
      <c r="R39" s="109">
        <f t="shared" si="24"/>
        <v>16979.966463683697</v>
      </c>
      <c r="S39" s="152">
        <f>'[7]BOM (Long)'!$P$13</f>
        <v>10152.235965746908</v>
      </c>
      <c r="T39" s="130">
        <f t="shared" si="25"/>
        <v>6827.7304979367891</v>
      </c>
      <c r="U39" s="151">
        <f t="shared" si="26"/>
        <v>0.67253465354560127</v>
      </c>
      <c r="V39" s="153">
        <f t="shared" si="27"/>
        <v>1.5646786582976611</v>
      </c>
      <c r="W39" s="153">
        <f t="shared" si="27"/>
        <v>1.0999999999999999</v>
      </c>
      <c r="X39" s="153">
        <f t="shared" si="28"/>
        <v>0.89842796157052285</v>
      </c>
      <c r="Y39" s="153">
        <f t="shared" si="29"/>
        <v>0.89842796157052285</v>
      </c>
      <c r="Z39" s="109">
        <f>Z38/$Y$15</f>
        <v>14888.080028681588</v>
      </c>
      <c r="AA39" s="152">
        <f>Z39-$Z$14</f>
        <v>5188.0800286815884</v>
      </c>
      <c r="AB39" s="130">
        <f>Z39-Z38</f>
        <v>1512.2126368143763</v>
      </c>
    </row>
    <row r="40" spans="1:28" x14ac:dyDescent="0.35">
      <c r="A40" s="144">
        <v>11</v>
      </c>
      <c r="B40" s="145" t="s">
        <v>446</v>
      </c>
      <c r="C40" s="155">
        <v>0.01</v>
      </c>
      <c r="E40" s="147">
        <f>N19</f>
        <v>7744.2414614773643</v>
      </c>
      <c r="F40" s="148">
        <f t="shared" si="31"/>
        <v>10</v>
      </c>
      <c r="G40" s="149">
        <f t="shared" si="19"/>
        <v>1.0638297872340427E-2</v>
      </c>
      <c r="H40" s="549">
        <f t="shared" si="20"/>
        <v>5.4155534695645904E-3</v>
      </c>
      <c r="I40" s="148">
        <f t="shared" si="36"/>
        <v>86.047127349748493</v>
      </c>
      <c r="J40" s="150">
        <f t="shared" si="32"/>
        <v>14.13421047375723</v>
      </c>
      <c r="K40" s="148">
        <f t="shared" si="33"/>
        <v>100.18133782350573</v>
      </c>
      <c r="L40" s="148">
        <f t="shared" si="21"/>
        <v>12550</v>
      </c>
      <c r="M40" s="148">
        <f t="shared" si="34"/>
        <v>3132.9542445904608</v>
      </c>
      <c r="N40" s="148">
        <f t="shared" si="22"/>
        <v>9417.0457554095392</v>
      </c>
      <c r="O40" s="147">
        <f>C6+1250</f>
        <v>12550</v>
      </c>
      <c r="P40" s="130">
        <f t="shared" si="23"/>
        <v>3132.9542445904608</v>
      </c>
      <c r="Q40" s="151">
        <f>P40/E40</f>
        <v>0.40455275835275789</v>
      </c>
      <c r="R40" s="109">
        <f t="shared" si="24"/>
        <v>8604.7127349748498</v>
      </c>
      <c r="S40" s="152">
        <f>'[7]BOM (Long)'!$P$14</f>
        <v>5537.5832540437677</v>
      </c>
      <c r="T40" s="130">
        <f t="shared" si="25"/>
        <v>3067.1294809310821</v>
      </c>
      <c r="U40" s="151">
        <f t="shared" si="26"/>
        <v>0.55387510042243426</v>
      </c>
      <c r="V40" s="153">
        <f t="shared" si="27"/>
        <v>0.79291148224543662</v>
      </c>
      <c r="W40" s="157">
        <f t="shared" si="27"/>
        <v>0.6</v>
      </c>
      <c r="X40" s="153">
        <f t="shared" si="28"/>
        <v>0.49005161540210335</v>
      </c>
      <c r="Y40" s="157">
        <f t="shared" si="29"/>
        <v>0.49005161540210335</v>
      </c>
      <c r="Z40" s="109">
        <f>Z39/$Y$15</f>
        <v>16571.256311586796</v>
      </c>
      <c r="AA40" s="152">
        <f>Z40-$Z$14</f>
        <v>6871.2563115867961</v>
      </c>
      <c r="AB40" s="130">
        <f>Z40-Z39</f>
        <v>1683.1762829052077</v>
      </c>
    </row>
    <row r="41" spans="1:28" x14ac:dyDescent="0.35">
      <c r="A41" s="144"/>
      <c r="B41" s="158"/>
      <c r="C41" s="159"/>
      <c r="E41" s="147"/>
      <c r="F41" s="160">
        <f t="shared" si="31"/>
        <v>0</v>
      </c>
      <c r="G41" s="160">
        <f>F41/1000/(1-$C$8)</f>
        <v>0</v>
      </c>
      <c r="H41" s="160">
        <f>E41*G41/SUMPRODUCT($E$14:$E$20,$G$14:$G$20)</f>
        <v>0</v>
      </c>
      <c r="I41" s="160">
        <f>$C$6*H41</f>
        <v>0</v>
      </c>
      <c r="J41" s="160">
        <f>($C$7+$C$10)*H41</f>
        <v>0</v>
      </c>
      <c r="K41" s="160">
        <f>I41+J41</f>
        <v>0</v>
      </c>
      <c r="L41" s="160">
        <f>E41*G41</f>
        <v>0</v>
      </c>
      <c r="M41" s="160">
        <f t="shared" ref="M41" si="37">L41-K41</f>
        <v>0</v>
      </c>
      <c r="N41" s="160" t="e">
        <f>K41/(F41/(1-$C$8))*1000</f>
        <v>#DIV/0!</v>
      </c>
      <c r="O41" s="160"/>
      <c r="P41" s="160" t="e">
        <f t="shared" si="23"/>
        <v>#DIV/0!</v>
      </c>
      <c r="Q41" s="161" t="e">
        <f t="shared" si="35"/>
        <v>#DIV/0!</v>
      </c>
    </row>
    <row r="42" spans="1:28" ht="29" x14ac:dyDescent="0.35">
      <c r="A42" s="75"/>
      <c r="B42" s="162" t="s">
        <v>431</v>
      </c>
      <c r="C42" s="163">
        <f>SUM(C35:C41)</f>
        <v>0.89000000000000012</v>
      </c>
      <c r="D42" s="75"/>
      <c r="E42" s="75"/>
      <c r="F42" s="164">
        <f>SUM(F35:F41)</f>
        <v>890</v>
      </c>
      <c r="G42" s="78">
        <f t="shared" ref="G42:M42" si="38">SUM(G35:G41)</f>
        <v>0.94680851063829796</v>
      </c>
      <c r="H42" s="78">
        <f t="shared" si="38"/>
        <v>0.99999999999999989</v>
      </c>
      <c r="I42" s="165">
        <f>SUM(I35:I41)</f>
        <v>15888.888888888885</v>
      </c>
      <c r="J42" s="165">
        <f>SUM(J35:J41)</f>
        <v>2609.9290780141846</v>
      </c>
      <c r="K42" s="164">
        <f>SUM(K35:K41)</f>
        <v>18498.817966903069</v>
      </c>
      <c r="L42" s="164">
        <f>SUMPRODUCT(C35:C40,L35:L40)</f>
        <v>15929.5</v>
      </c>
      <c r="M42" s="164">
        <f t="shared" si="38"/>
        <v>-4398.4880577017229</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8545"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8205-B476-49BC-92F0-5EFBBBECBC13}">
  <dimension ref="A2:AE44"/>
  <sheetViews>
    <sheetView topLeftCell="C1" zoomScale="85" zoomScaleNormal="85" workbookViewId="0">
      <selection activeCell="C6" sqref="C6"/>
    </sheetView>
  </sheetViews>
  <sheetFormatPr defaultRowHeight="14.5" x14ac:dyDescent="0.35"/>
  <cols>
    <col min="1" max="1" width="5.90625" customWidth="1"/>
    <col min="2" max="2" width="24.08984375" customWidth="1"/>
    <col min="3" max="3" width="19.81640625" customWidth="1"/>
    <col min="4" max="4" width="5.7265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4"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3</v>
      </c>
    </row>
    <row r="6" spans="1:31" x14ac:dyDescent="0.35">
      <c r="B6" s="117" t="s">
        <v>396</v>
      </c>
      <c r="C6" s="136">
        <v>11300</v>
      </c>
      <c r="E6" s="147"/>
    </row>
    <row r="7" spans="1:31" x14ac:dyDescent="0.35">
      <c r="B7" s="117" t="s">
        <v>397</v>
      </c>
      <c r="C7" s="137">
        <v>3000</v>
      </c>
      <c r="E7" s="147"/>
    </row>
    <row r="8" spans="1:31" x14ac:dyDescent="0.35">
      <c r="B8" s="117" t="s">
        <v>398</v>
      </c>
      <c r="C8" s="138">
        <v>0.1</v>
      </c>
      <c r="E8" s="147"/>
    </row>
    <row r="9" spans="1:31" x14ac:dyDescent="0.35">
      <c r="B9" s="117" t="s">
        <v>399</v>
      </c>
      <c r="C9" s="139">
        <f>SUM(C6:C7)</f>
        <v>14300</v>
      </c>
      <c r="E9" s="147"/>
    </row>
    <row r="10" spans="1:31" x14ac:dyDescent="0.35">
      <c r="B10" s="117" t="s">
        <v>400</v>
      </c>
      <c r="C10" s="139">
        <f>C9*C8/(1-C8)</f>
        <v>1588.8888888888889</v>
      </c>
      <c r="E10" s="147"/>
    </row>
    <row r="11" spans="1:31" x14ac:dyDescent="0.35">
      <c r="B11" s="117" t="s">
        <v>401</v>
      </c>
      <c r="C11" s="139">
        <f>+C9/(1-C8)</f>
        <v>15888.888888888889</v>
      </c>
      <c r="E11" s="147"/>
      <c r="X11" t="s">
        <v>402</v>
      </c>
    </row>
    <row r="12" spans="1:31" x14ac:dyDescent="0.35">
      <c r="B12" s="140" t="s">
        <v>403</v>
      </c>
      <c r="S12" t="s">
        <v>404</v>
      </c>
      <c r="V12" t="s">
        <v>405</v>
      </c>
      <c r="W12" t="s">
        <v>406</v>
      </c>
      <c r="X12" t="s">
        <v>405</v>
      </c>
      <c r="Y12" t="s">
        <v>406</v>
      </c>
    </row>
    <row r="13" spans="1:31" ht="48" x14ac:dyDescent="0.35">
      <c r="A13" s="141" t="s">
        <v>0</v>
      </c>
      <c r="B13" s="141" t="s">
        <v>407</v>
      </c>
      <c r="C13" s="141" t="s">
        <v>408</v>
      </c>
      <c r="E13" s="142" t="s">
        <v>409</v>
      </c>
      <c r="F13" s="143" t="s">
        <v>410</v>
      </c>
      <c r="G13" s="143" t="s">
        <v>411</v>
      </c>
      <c r="H13" s="143" t="s">
        <v>412</v>
      </c>
      <c r="I13" s="143" t="s">
        <v>413</v>
      </c>
      <c r="J13" s="143" t="s">
        <v>414</v>
      </c>
      <c r="K13" s="143" t="s">
        <v>415</v>
      </c>
      <c r="L13" s="143" t="s">
        <v>416</v>
      </c>
      <c r="M13" s="143" t="s">
        <v>417</v>
      </c>
      <c r="N13" s="143" t="s">
        <v>418</v>
      </c>
      <c r="O13" s="142" t="s">
        <v>519</v>
      </c>
      <c r="P13" s="1131" t="s">
        <v>419</v>
      </c>
      <c r="Q13" s="1131"/>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0.53</v>
      </c>
      <c r="D14" s="110">
        <f>C14/$C$21</f>
        <v>0.5888888888888888</v>
      </c>
      <c r="E14" s="147">
        <v>16300</v>
      </c>
      <c r="F14" s="148">
        <f>C14*1000</f>
        <v>530</v>
      </c>
      <c r="G14" s="149">
        <f>F14/1000/(1-$C$8)</f>
        <v>0.58888888888888891</v>
      </c>
      <c r="H14" s="149">
        <f>E14*G14/SUMPRODUCT($E$14:$E$20,$G$14:$G$20)</f>
        <v>0.61465670579864828</v>
      </c>
      <c r="I14" s="148">
        <f>$C$6*H14</f>
        <v>6945.620775524726</v>
      </c>
      <c r="J14" s="150">
        <f>($C$7+$C$10)*H14</f>
        <v>2820.5913277204636</v>
      </c>
      <c r="K14" s="148">
        <f>I14+J14</f>
        <v>9766.2121032451905</v>
      </c>
      <c r="L14" s="148">
        <f>E14*G14</f>
        <v>9598.8888888888887</v>
      </c>
      <c r="M14" s="148">
        <f>L14-K14</f>
        <v>-167.32321435630183</v>
      </c>
      <c r="N14" s="148">
        <f>K14/(F14/(1-$C$8))*1000</f>
        <v>16584.133760227684</v>
      </c>
      <c r="O14" s="147">
        <v>15000</v>
      </c>
      <c r="P14" s="130">
        <f t="shared" ref="P14:P22" si="0">O14-N14</f>
        <v>-1584.1337602276835</v>
      </c>
      <c r="Q14" s="151">
        <f t="shared" ref="Q14:Q20" si="1">P14/E14</f>
        <v>-9.7186120259367084E-2</v>
      </c>
      <c r="R14" s="109">
        <f t="shared" ref="R14:R19" si="2">I14/F14*1000</f>
        <v>13104.944859480614</v>
      </c>
      <c r="S14" s="152">
        <f>'[7]BOM (Long)'!$P$7</f>
        <v>11536.63177925785</v>
      </c>
      <c r="T14" s="130">
        <f t="shared" ref="T14:T19" si="3">R14-S14</f>
        <v>1568.3130802227643</v>
      </c>
      <c r="U14" s="151">
        <f t="shared" ref="U14:U19" si="4">T14/S14</f>
        <v>0.1359420245207526</v>
      </c>
      <c r="V14" s="153">
        <f t="shared" ref="V14:W19" si="5">R14/R$16</f>
        <v>1.225563909774436</v>
      </c>
      <c r="W14" s="154">
        <f t="shared" si="5"/>
        <v>1.25</v>
      </c>
      <c r="X14" s="153">
        <f t="shared" ref="X14:X19" si="6">S14/C$6</f>
        <v>1.0209408654210488</v>
      </c>
      <c r="Y14" s="154">
        <f t="shared" ref="Y14:Y19" si="7">S14/C$6</f>
        <v>1.0209408654210488</v>
      </c>
      <c r="Z14" s="109">
        <v>9700</v>
      </c>
      <c r="AA14" s="152"/>
      <c r="AC14" s="109">
        <v>12500</v>
      </c>
      <c r="AE14" s="130">
        <f>AC14+AD14</f>
        <v>12500</v>
      </c>
    </row>
    <row r="15" spans="1:31" x14ac:dyDescent="0.35">
      <c r="A15" s="144">
        <v>5</v>
      </c>
      <c r="B15" s="145" t="s">
        <v>22</v>
      </c>
      <c r="C15" s="155">
        <v>0.03</v>
      </c>
      <c r="D15" s="110">
        <f t="shared" ref="D15:D21" si="8">C15/$C$21</f>
        <v>3.3333333333333326E-2</v>
      </c>
      <c r="E15" s="147">
        <v>14800</v>
      </c>
      <c r="F15" s="148">
        <f t="shared" ref="F15:F20" si="9">C15*1000</f>
        <v>30</v>
      </c>
      <c r="G15" s="149">
        <f t="shared" ref="G15:G20" si="10">F15/1000/(1-$C$8)</f>
        <v>3.3333333333333333E-2</v>
      </c>
      <c r="H15" s="149">
        <f t="shared" ref="H15:H20" si="11">E15*G15/SUMPRODUCT($E$14:$E$20,$G$14:$G$20)</f>
        <v>3.1590181430096058E-2</v>
      </c>
      <c r="I15" s="148">
        <f t="shared" ref="I15:I20" si="12">$C$6*H15</f>
        <v>356.96905016008543</v>
      </c>
      <c r="J15" s="150">
        <f t="shared" ref="J15:J20" si="13">($C$7+$C$10)*H15</f>
        <v>144.96383256255191</v>
      </c>
      <c r="K15" s="148">
        <f t="shared" ref="K15:K20" si="14">I15+J15</f>
        <v>501.93288272263737</v>
      </c>
      <c r="L15" s="148">
        <f t="shared" ref="L15:L20" si="15">E15*G15</f>
        <v>493.33333333333331</v>
      </c>
      <c r="M15" s="148">
        <f t="shared" ref="M15:M20" si="16">L15-K15</f>
        <v>-8.5995493893040589</v>
      </c>
      <c r="N15" s="148">
        <f t="shared" ref="N15:N20" si="17">K15/(F15/(1-$C$8))*1000</f>
        <v>15057.98648167912</v>
      </c>
      <c r="O15" s="147">
        <v>13500</v>
      </c>
      <c r="P15" s="130">
        <f t="shared" si="0"/>
        <v>-1557.9864816791196</v>
      </c>
      <c r="Q15" s="151">
        <f t="shared" si="1"/>
        <v>-0.10526935687021079</v>
      </c>
      <c r="R15" s="109">
        <f t="shared" si="2"/>
        <v>11898.968338669514</v>
      </c>
      <c r="S15" s="152">
        <f>'[7]BOM (Long)'!$P$9</f>
        <v>10152.23596574691</v>
      </c>
      <c r="T15" s="130">
        <f t="shared" si="3"/>
        <v>1746.7323729226046</v>
      </c>
      <c r="U15" s="151">
        <f t="shared" si="4"/>
        <v>0.17205395725788725</v>
      </c>
      <c r="V15" s="153">
        <f t="shared" si="5"/>
        <v>1.112781954887218</v>
      </c>
      <c r="W15" s="153">
        <f t="shared" si="5"/>
        <v>1.1000000000000001</v>
      </c>
      <c r="X15" s="153">
        <f t="shared" si="6"/>
        <v>0.89842796157052296</v>
      </c>
      <c r="Y15" s="153">
        <f t="shared" si="7"/>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D16" s="110">
        <f t="shared" si="8"/>
        <v>2.222222222222222E-2</v>
      </c>
      <c r="E16" s="147">
        <v>13300</v>
      </c>
      <c r="F16" s="148">
        <f t="shared" si="9"/>
        <v>20</v>
      </c>
      <c r="G16" s="149">
        <f t="shared" si="10"/>
        <v>2.2222222222222223E-2</v>
      </c>
      <c r="H16" s="149">
        <f t="shared" si="11"/>
        <v>1.8925649235147637E-2</v>
      </c>
      <c r="I16" s="148">
        <f t="shared" si="12"/>
        <v>213.85983635716829</v>
      </c>
      <c r="J16" s="150">
        <f t="shared" si="13"/>
        <v>86.847701490177485</v>
      </c>
      <c r="K16" s="148">
        <f t="shared" si="14"/>
        <v>300.70753784734575</v>
      </c>
      <c r="L16" s="148">
        <f t="shared" si="15"/>
        <v>295.55555555555554</v>
      </c>
      <c r="M16" s="148">
        <f t="shared" si="16"/>
        <v>-5.1519822917902047</v>
      </c>
      <c r="N16" s="148">
        <f t="shared" si="17"/>
        <v>13531.839203130559</v>
      </c>
      <c r="O16" s="147">
        <v>12000</v>
      </c>
      <c r="P16" s="130">
        <f t="shared" si="0"/>
        <v>-1531.8392031305593</v>
      </c>
      <c r="Q16" s="151">
        <f t="shared" si="1"/>
        <v>-0.11517587993462852</v>
      </c>
      <c r="R16" s="109">
        <f t="shared" si="2"/>
        <v>10692.991817858416</v>
      </c>
      <c r="S16" s="152">
        <f>'[7]BOM (Long)'!$P$10</f>
        <v>9229.3054234062802</v>
      </c>
      <c r="T16" s="130">
        <f t="shared" si="3"/>
        <v>1463.6863944521356</v>
      </c>
      <c r="U16" s="151">
        <f t="shared" si="4"/>
        <v>0.15859117531641179</v>
      </c>
      <c r="V16" s="153">
        <f t="shared" si="5"/>
        <v>1</v>
      </c>
      <c r="W16" s="156">
        <f t="shared" si="5"/>
        <v>1</v>
      </c>
      <c r="X16" s="153">
        <f t="shared" si="6"/>
        <v>0.816752692336839</v>
      </c>
      <c r="Y16" s="156">
        <f t="shared" si="7"/>
        <v>0.816752692336839</v>
      </c>
      <c r="Z16" s="109">
        <f>Z15/$Y$15</f>
        <v>12017.253275112887</v>
      </c>
      <c r="AA16" s="152">
        <f>Z16-$Z$14</f>
        <v>2317.2532751128874</v>
      </c>
      <c r="AB16" s="130">
        <f>Z16-Z15</f>
        <v>1220.6169114765253</v>
      </c>
      <c r="AC16" s="109">
        <v>9000</v>
      </c>
    </row>
    <row r="17" spans="1:31" x14ac:dyDescent="0.35">
      <c r="A17" s="144">
        <v>8</v>
      </c>
      <c r="B17" s="145" t="s">
        <v>29</v>
      </c>
      <c r="C17" s="155">
        <v>0.02</v>
      </c>
      <c r="D17" s="110">
        <f t="shared" si="8"/>
        <v>2.222222222222222E-2</v>
      </c>
      <c r="E17" s="147">
        <v>13300</v>
      </c>
      <c r="F17" s="148">
        <f t="shared" si="9"/>
        <v>20</v>
      </c>
      <c r="G17" s="149">
        <f t="shared" si="10"/>
        <v>2.2222222222222223E-2</v>
      </c>
      <c r="H17" s="149">
        <f t="shared" si="11"/>
        <v>1.8925649235147637E-2</v>
      </c>
      <c r="I17" s="148">
        <f t="shared" si="12"/>
        <v>213.85983635716829</v>
      </c>
      <c r="J17" s="150">
        <f t="shared" si="13"/>
        <v>86.847701490177485</v>
      </c>
      <c r="K17" s="148">
        <f t="shared" si="14"/>
        <v>300.70753784734575</v>
      </c>
      <c r="L17" s="148">
        <f t="shared" si="15"/>
        <v>295.55555555555554</v>
      </c>
      <c r="M17" s="148">
        <f t="shared" si="16"/>
        <v>-5.1519822917902047</v>
      </c>
      <c r="N17" s="148">
        <f t="shared" si="17"/>
        <v>13531.839203130559</v>
      </c>
      <c r="O17" s="147">
        <v>12000</v>
      </c>
      <c r="P17" s="130">
        <f t="shared" si="0"/>
        <v>-1531.8392031305593</v>
      </c>
      <c r="Q17" s="151">
        <f t="shared" si="1"/>
        <v>-0.11517587993462852</v>
      </c>
      <c r="R17" s="109">
        <f t="shared" si="2"/>
        <v>10692.991817858416</v>
      </c>
      <c r="S17" s="152">
        <f>'[7]BOM (Long)'!$P$11</f>
        <v>9229.3054234062802</v>
      </c>
      <c r="T17" s="130">
        <f t="shared" si="3"/>
        <v>1463.6863944521356</v>
      </c>
      <c r="U17" s="151">
        <f t="shared" si="4"/>
        <v>0.15859117531641179</v>
      </c>
      <c r="V17" s="153">
        <f t="shared" si="5"/>
        <v>1</v>
      </c>
      <c r="W17" s="156">
        <f t="shared" si="5"/>
        <v>1</v>
      </c>
      <c r="X17" s="153">
        <f t="shared" si="6"/>
        <v>0.816752692336839</v>
      </c>
      <c r="Y17" s="156">
        <f t="shared" si="7"/>
        <v>0.816752692336839</v>
      </c>
      <c r="Z17" s="109">
        <f>Z16/$Y$15</f>
        <v>13375.867391867212</v>
      </c>
      <c r="AA17" s="152">
        <f>Z17-$Z$14</f>
        <v>3675.8673918672121</v>
      </c>
      <c r="AB17" s="130">
        <f>Z17-Z16</f>
        <v>1358.6141167543246</v>
      </c>
      <c r="AC17" s="109">
        <v>9000</v>
      </c>
    </row>
    <row r="18" spans="1:31" x14ac:dyDescent="0.35">
      <c r="A18" s="144">
        <v>10</v>
      </c>
      <c r="B18" s="145" t="s">
        <v>19</v>
      </c>
      <c r="C18" s="155">
        <v>0.3</v>
      </c>
      <c r="D18" s="110">
        <f t="shared" si="8"/>
        <v>0.33333333333333326</v>
      </c>
      <c r="E18" s="147">
        <v>14800</v>
      </c>
      <c r="F18" s="148">
        <f t="shared" si="9"/>
        <v>300</v>
      </c>
      <c r="G18" s="149">
        <f t="shared" si="10"/>
        <v>0.33333333333333331</v>
      </c>
      <c r="H18" s="149">
        <f t="shared" si="11"/>
        <v>0.31590181430096054</v>
      </c>
      <c r="I18" s="148">
        <f t="shared" si="12"/>
        <v>3569.6905016008541</v>
      </c>
      <c r="J18" s="150">
        <f t="shared" si="13"/>
        <v>1449.6383256255187</v>
      </c>
      <c r="K18" s="148">
        <f t="shared" si="14"/>
        <v>5019.3288272263726</v>
      </c>
      <c r="L18" s="148">
        <f t="shared" si="15"/>
        <v>4933.333333333333</v>
      </c>
      <c r="M18" s="148">
        <f t="shared" si="16"/>
        <v>-85.995493893039566</v>
      </c>
      <c r="N18" s="148">
        <f t="shared" si="17"/>
        <v>15057.98648167912</v>
      </c>
      <c r="O18" s="147">
        <v>13500</v>
      </c>
      <c r="P18" s="130">
        <f t="shared" si="0"/>
        <v>-1557.9864816791196</v>
      </c>
      <c r="Q18" s="151">
        <f t="shared" si="1"/>
        <v>-0.10526935687021079</v>
      </c>
      <c r="R18" s="109">
        <f t="shared" si="2"/>
        <v>11898.968338669514</v>
      </c>
      <c r="S18" s="152">
        <f>'[7]BOM (Long)'!$P$13</f>
        <v>10152.235965746908</v>
      </c>
      <c r="T18" s="130">
        <f t="shared" si="3"/>
        <v>1746.7323729226064</v>
      </c>
      <c r="U18" s="151">
        <f t="shared" si="4"/>
        <v>0.17205395725788747</v>
      </c>
      <c r="V18" s="153">
        <f t="shared" si="5"/>
        <v>1.112781954887218</v>
      </c>
      <c r="W18" s="153">
        <f t="shared" si="5"/>
        <v>1.0999999999999999</v>
      </c>
      <c r="X18" s="153">
        <f t="shared" si="6"/>
        <v>0.89842796157052285</v>
      </c>
      <c r="Y18" s="153">
        <f t="shared" si="7"/>
        <v>0.89842796157052285</v>
      </c>
      <c r="Z18" s="109">
        <f>Z17/$Y$15</f>
        <v>14888.080028681588</v>
      </c>
      <c r="AA18" s="152">
        <f>Z18-$Z$14</f>
        <v>5188.0800286815884</v>
      </c>
      <c r="AB18" s="130">
        <f>Z18-Z17</f>
        <v>1512.2126368143763</v>
      </c>
      <c r="AC18" s="109">
        <v>10000</v>
      </c>
      <c r="AD18" s="109">
        <f>'[8]CP Công đoạn (3)'!$CJ$6</f>
        <v>2321.0309940637335</v>
      </c>
      <c r="AE18" s="130">
        <f>AC18+AD18</f>
        <v>12321.030994063734</v>
      </c>
    </row>
    <row r="19" spans="1:31" x14ac:dyDescent="0.35">
      <c r="A19" s="144">
        <v>11</v>
      </c>
      <c r="B19" s="145" t="s">
        <v>430</v>
      </c>
      <c r="C19" s="155"/>
      <c r="D19" s="110">
        <f t="shared" si="8"/>
        <v>0</v>
      </c>
      <c r="E19" s="147">
        <v>7800</v>
      </c>
      <c r="F19" s="148">
        <f t="shared" si="9"/>
        <v>0</v>
      </c>
      <c r="G19" s="149">
        <f t="shared" si="10"/>
        <v>0</v>
      </c>
      <c r="H19" s="149">
        <f t="shared" si="11"/>
        <v>0</v>
      </c>
      <c r="I19" s="148">
        <f t="shared" si="12"/>
        <v>0</v>
      </c>
      <c r="J19" s="150">
        <f t="shared" si="13"/>
        <v>0</v>
      </c>
      <c r="K19" s="148">
        <f>I19+J19</f>
        <v>0</v>
      </c>
      <c r="L19" s="148">
        <f t="shared" si="15"/>
        <v>0</v>
      </c>
      <c r="M19" s="148">
        <f t="shared" si="16"/>
        <v>0</v>
      </c>
      <c r="N19" s="148" t="e">
        <f t="shared" si="17"/>
        <v>#DIV/0!</v>
      </c>
      <c r="O19" s="147">
        <v>6500</v>
      </c>
      <c r="P19" s="130" t="e">
        <f t="shared" si="0"/>
        <v>#DIV/0!</v>
      </c>
      <c r="Q19" s="151" t="e">
        <f t="shared" si="1"/>
        <v>#DIV/0!</v>
      </c>
      <c r="R19" s="109" t="e">
        <f t="shared" si="2"/>
        <v>#DIV/0!</v>
      </c>
      <c r="S19" s="152">
        <f>'[7]BOM (Long)'!$P$14</f>
        <v>5537.5832540437677</v>
      </c>
      <c r="T19" s="130" t="e">
        <f t="shared" si="3"/>
        <v>#DIV/0!</v>
      </c>
      <c r="U19" s="151" t="e">
        <f t="shared" si="4"/>
        <v>#DIV/0!</v>
      </c>
      <c r="V19" s="153" t="e">
        <f t="shared" si="5"/>
        <v>#DIV/0!</v>
      </c>
      <c r="W19" s="157">
        <f t="shared" si="5"/>
        <v>0.6</v>
      </c>
      <c r="X19" s="153">
        <f t="shared" si="6"/>
        <v>0.49005161540210335</v>
      </c>
      <c r="Y19" s="157">
        <f t="shared" si="7"/>
        <v>0.49005161540210335</v>
      </c>
      <c r="Z19" s="109">
        <f>Z18/$Y$15</f>
        <v>16571.256311586796</v>
      </c>
      <c r="AA19" s="152">
        <f>Z19-$Z$14</f>
        <v>6871.2563115867961</v>
      </c>
      <c r="AB19" s="130">
        <f>Z19-Z18</f>
        <v>1683.1762829052077</v>
      </c>
      <c r="AC19" s="109">
        <v>5000</v>
      </c>
    </row>
    <row r="20" spans="1:31" hidden="1" x14ac:dyDescent="0.35">
      <c r="A20" s="144"/>
      <c r="B20" s="158"/>
      <c r="C20" s="159"/>
      <c r="D20" s="110">
        <f t="shared" si="8"/>
        <v>0</v>
      </c>
      <c r="E20" s="147"/>
      <c r="F20" s="160">
        <f t="shared" si="9"/>
        <v>0</v>
      </c>
      <c r="G20" s="160">
        <f t="shared" si="10"/>
        <v>0</v>
      </c>
      <c r="H20" s="160">
        <f t="shared" si="11"/>
        <v>0</v>
      </c>
      <c r="I20" s="160">
        <f t="shared" si="12"/>
        <v>0</v>
      </c>
      <c r="J20" s="160">
        <f t="shared" si="13"/>
        <v>0</v>
      </c>
      <c r="K20" s="160">
        <f t="shared" si="14"/>
        <v>0</v>
      </c>
      <c r="L20" s="160">
        <f t="shared" si="15"/>
        <v>0</v>
      </c>
      <c r="M20" s="160">
        <f t="shared" si="16"/>
        <v>0</v>
      </c>
      <c r="N20" s="160" t="e">
        <f t="shared" si="17"/>
        <v>#DIV/0!</v>
      </c>
      <c r="O20" s="160"/>
      <c r="P20" s="160" t="e">
        <f t="shared" si="0"/>
        <v>#DIV/0!</v>
      </c>
      <c r="Q20" s="161" t="e">
        <f t="shared" si="1"/>
        <v>#DIV/0!</v>
      </c>
    </row>
    <row r="21" spans="1:31" s="75" customFormat="1" ht="29" x14ac:dyDescent="0.35">
      <c r="B21" s="162" t="s">
        <v>431</v>
      </c>
      <c r="C21" s="163">
        <f>SUM(C14:C20)</f>
        <v>0.90000000000000013</v>
      </c>
      <c r="D21" s="110">
        <f t="shared" si="8"/>
        <v>1</v>
      </c>
      <c r="E21" s="470">
        <f>E14-E18</f>
        <v>1500</v>
      </c>
      <c r="F21" s="164">
        <f>SUM(F14:F20)</f>
        <v>900</v>
      </c>
      <c r="G21" s="78">
        <f t="shared" ref="G21:L21" si="18">SUM(G14:G20)</f>
        <v>1</v>
      </c>
      <c r="H21" s="78">
        <f t="shared" si="18"/>
        <v>1</v>
      </c>
      <c r="I21" s="165">
        <f t="shared" si="18"/>
        <v>11300.000000000002</v>
      </c>
      <c r="J21" s="165">
        <f>SUM(J14:J20)</f>
        <v>4588.8888888888887</v>
      </c>
      <c r="K21" s="164">
        <f>SUM(K14:K20)</f>
        <v>15888.888888888892</v>
      </c>
      <c r="L21" s="164">
        <f t="shared" si="18"/>
        <v>15616.666666666664</v>
      </c>
      <c r="M21" s="164">
        <f>SUM(M14:M20)</f>
        <v>-272.22222222222587</v>
      </c>
      <c r="N21" s="200" t="e">
        <f>SUMPRODUCT(C14:C19,N14:N19)</f>
        <v>#DIV/0!</v>
      </c>
      <c r="P21" s="75" t="e">
        <f t="shared" si="0"/>
        <v>#DIV/0!</v>
      </c>
    </row>
    <row r="22" spans="1:31" x14ac:dyDescent="0.35">
      <c r="B22" t="s">
        <v>432</v>
      </c>
      <c r="C22" s="166">
        <f>100%-C21</f>
        <v>9.9999999999999867E-2</v>
      </c>
      <c r="E22" s="274">
        <f>E21/E14</f>
        <v>9.202453987730061E-2</v>
      </c>
      <c r="N22" s="130" t="e">
        <f>K21-N21</f>
        <v>#DIV/0!</v>
      </c>
      <c r="P22" s="130" t="e">
        <f t="shared" si="0"/>
        <v>#DIV/0!</v>
      </c>
    </row>
    <row r="23" spans="1:31" x14ac:dyDescent="0.35">
      <c r="B23" t="s">
        <v>433</v>
      </c>
      <c r="E23" s="868">
        <f>SUMPRODUCT(C14:C19,E14:E19)</f>
        <v>14055</v>
      </c>
      <c r="F23" s="148">
        <f>1000-F21</f>
        <v>100</v>
      </c>
    </row>
    <row r="26" spans="1:31" x14ac:dyDescent="0.35">
      <c r="B26" s="117" t="s">
        <v>434</v>
      </c>
      <c r="C26" s="136">
        <f>C11</f>
        <v>15888.888888888889</v>
      </c>
    </row>
    <row r="27" spans="1:31" x14ac:dyDescent="0.35">
      <c r="B27" s="117" t="s">
        <v>686</v>
      </c>
      <c r="C27" s="137">
        <v>1500</v>
      </c>
    </row>
    <row r="28" spans="1:31" x14ac:dyDescent="0.35">
      <c r="B28" s="117" t="s">
        <v>398</v>
      </c>
      <c r="C28" s="138">
        <v>0.06</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1131" t="s">
        <v>419</v>
      </c>
      <c r="Q34" s="1131"/>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0.53</v>
      </c>
      <c r="E35" s="147">
        <f>N14</f>
        <v>16584.133760227684</v>
      </c>
      <c r="F35" s="148">
        <f>C35*1000</f>
        <v>530</v>
      </c>
      <c r="G35" s="149">
        <f t="shared" ref="G35:G40" si="19">F35/1000/(1-$C$28)</f>
        <v>0.56382978723404265</v>
      </c>
      <c r="H35" s="549" t="e">
        <f t="shared" ref="H35:H40" si="20">E35*G35/SUMPRODUCT($E$35:$E$40,$G$35:$G$40)</f>
        <v>#DIV/0!</v>
      </c>
      <c r="I35" s="148" t="e">
        <f>$C$26*H35</f>
        <v>#DIV/0!</v>
      </c>
      <c r="J35" s="150" t="e">
        <f>($C$27+$C$30)*H35</f>
        <v>#DIV/0!</v>
      </c>
      <c r="K35" s="148" t="e">
        <f>I35+J35</f>
        <v>#DIV/0!</v>
      </c>
      <c r="L35" s="148">
        <f t="shared" ref="L35:L40" si="21">O35</f>
        <v>18300</v>
      </c>
      <c r="M35" s="148" t="e">
        <f>L35-N35</f>
        <v>#DIV/0!</v>
      </c>
      <c r="N35" s="148" t="e">
        <f t="shared" ref="N35:N40" si="22">K35/(F35/(1-$C$28))*1000</f>
        <v>#DIV/0!</v>
      </c>
      <c r="O35" s="168">
        <v>18300</v>
      </c>
      <c r="P35" s="130" t="e">
        <f t="shared" ref="P35:P41" si="23">O35-N35</f>
        <v>#DIV/0!</v>
      </c>
      <c r="Q35" s="151" t="e">
        <f>P35/E35</f>
        <v>#DIV/0!</v>
      </c>
      <c r="R35" s="109" t="e">
        <f t="shared" ref="R35:R40" si="24">I35/F35*1000</f>
        <v>#DIV/0!</v>
      </c>
      <c r="S35" s="152">
        <f>'[7]BOM (Long)'!$P$7</f>
        <v>11536.63177925785</v>
      </c>
      <c r="T35" s="130" t="e">
        <f t="shared" ref="T35:T40" si="25">R35-S35</f>
        <v>#DIV/0!</v>
      </c>
      <c r="U35" s="151" t="e">
        <f t="shared" ref="U35:U40" si="26">T35/S35</f>
        <v>#DIV/0!</v>
      </c>
      <c r="V35" s="153" t="e">
        <f t="shared" ref="V35:W40" si="27">R35/R$16</f>
        <v>#DIV/0!</v>
      </c>
      <c r="W35" s="154">
        <f t="shared" si="27"/>
        <v>1.25</v>
      </c>
      <c r="X35" s="153">
        <f t="shared" ref="X35:X40" si="28">S35/C$6</f>
        <v>1.0209408654210488</v>
      </c>
      <c r="Y35" s="154">
        <f t="shared" ref="Y35:Y40" si="29">S35/C$6</f>
        <v>1.0209408654210488</v>
      </c>
      <c r="Z35" s="109">
        <v>9700</v>
      </c>
      <c r="AA35" s="152"/>
    </row>
    <row r="36" spans="1:28" x14ac:dyDescent="0.35">
      <c r="A36" s="144">
        <v>5</v>
      </c>
      <c r="B36" s="145" t="s">
        <v>442</v>
      </c>
      <c r="C36" s="155">
        <v>0.03</v>
      </c>
      <c r="E36" s="147">
        <f t="shared" ref="E36:E39" si="30">N15</f>
        <v>15057.98648167912</v>
      </c>
      <c r="F36" s="148">
        <f t="shared" ref="F36:F41" si="31">C36*1000</f>
        <v>30</v>
      </c>
      <c r="G36" s="149">
        <f t="shared" si="19"/>
        <v>3.1914893617021274E-2</v>
      </c>
      <c r="H36" s="549" t="e">
        <f t="shared" si="20"/>
        <v>#DIV/0!</v>
      </c>
      <c r="I36" s="148" t="e">
        <f>$C$26*H36</f>
        <v>#DIV/0!</v>
      </c>
      <c r="J36" s="150" t="e">
        <f t="shared" ref="J36:J40" si="32">($C$27+$C$30)*H36</f>
        <v>#DIV/0!</v>
      </c>
      <c r="K36" s="148" t="e">
        <f t="shared" ref="K36:K40" si="33">I36+J36</f>
        <v>#DIV/0!</v>
      </c>
      <c r="L36" s="148">
        <f t="shared" si="21"/>
        <v>16800</v>
      </c>
      <c r="M36" s="148" t="e">
        <f t="shared" ref="M36:M40" si="34">L36-N36</f>
        <v>#DIV/0!</v>
      </c>
      <c r="N36" s="148" t="e">
        <f t="shared" si="22"/>
        <v>#DIV/0!</v>
      </c>
      <c r="O36" s="147">
        <f>O35-1500</f>
        <v>16800</v>
      </c>
      <c r="P36" s="130" t="e">
        <f t="shared" si="23"/>
        <v>#DIV/0!</v>
      </c>
      <c r="Q36" s="151" t="e">
        <f t="shared" ref="Q36:Q41" si="35">P36/E36</f>
        <v>#DIV/0!</v>
      </c>
      <c r="R36" s="109" t="e">
        <f t="shared" si="24"/>
        <v>#DIV/0!</v>
      </c>
      <c r="S36" s="152">
        <f>'[7]BOM (Long)'!$P$9</f>
        <v>10152.23596574691</v>
      </c>
      <c r="T36" s="130" t="e">
        <f t="shared" si="25"/>
        <v>#DIV/0!</v>
      </c>
      <c r="U36" s="151" t="e">
        <f t="shared" si="26"/>
        <v>#DIV/0!</v>
      </c>
      <c r="V36" s="153" t="e">
        <f t="shared" si="27"/>
        <v>#DIV/0!</v>
      </c>
      <c r="W36" s="153">
        <f t="shared" si="27"/>
        <v>1.1000000000000001</v>
      </c>
      <c r="X36" s="153">
        <f t="shared" si="28"/>
        <v>0.89842796157052296</v>
      </c>
      <c r="Y36" s="153">
        <f t="shared" si="29"/>
        <v>0.89842796157052296</v>
      </c>
      <c r="Z36" s="109">
        <f>Z35/$Y$15</f>
        <v>10796.636363636362</v>
      </c>
      <c r="AA36" s="152">
        <f>Z36-$Z$14</f>
        <v>1096.6363636363621</v>
      </c>
      <c r="AB36" s="130">
        <f>Z36-Z35</f>
        <v>1096.6363636363621</v>
      </c>
    </row>
    <row r="37" spans="1:28" x14ac:dyDescent="0.35">
      <c r="A37" s="144">
        <v>7</v>
      </c>
      <c r="B37" s="145" t="s">
        <v>443</v>
      </c>
      <c r="C37" s="155">
        <v>0.02</v>
      </c>
      <c r="E37" s="147">
        <f t="shared" si="30"/>
        <v>13531.839203130559</v>
      </c>
      <c r="F37" s="148">
        <f t="shared" si="31"/>
        <v>20</v>
      </c>
      <c r="G37" s="149">
        <f t="shared" si="19"/>
        <v>2.1276595744680854E-2</v>
      </c>
      <c r="H37" s="549" t="e">
        <f t="shared" si="20"/>
        <v>#DIV/0!</v>
      </c>
      <c r="I37" s="148" t="e">
        <f t="shared" ref="I37:I40" si="36">$C$26*H37</f>
        <v>#DIV/0!</v>
      </c>
      <c r="J37" s="150" t="e">
        <f t="shared" si="32"/>
        <v>#DIV/0!</v>
      </c>
      <c r="K37" s="148" t="e">
        <f t="shared" si="33"/>
        <v>#DIV/0!</v>
      </c>
      <c r="L37" s="148">
        <f t="shared" si="21"/>
        <v>15300</v>
      </c>
      <c r="M37" s="148" t="e">
        <f t="shared" si="34"/>
        <v>#DIV/0!</v>
      </c>
      <c r="N37" s="148" t="e">
        <f t="shared" si="22"/>
        <v>#DIV/0!</v>
      </c>
      <c r="O37" s="147">
        <f>O35-3000</f>
        <v>15300</v>
      </c>
      <c r="P37" s="130" t="e">
        <f t="shared" si="23"/>
        <v>#DIV/0!</v>
      </c>
      <c r="Q37" s="151" t="e">
        <f t="shared" si="35"/>
        <v>#DIV/0!</v>
      </c>
      <c r="R37" s="109" t="e">
        <f t="shared" si="24"/>
        <v>#DIV/0!</v>
      </c>
      <c r="S37" s="152">
        <f>'[7]BOM (Long)'!$P$10</f>
        <v>9229.3054234062802</v>
      </c>
      <c r="T37" s="130" t="e">
        <f t="shared" si="25"/>
        <v>#DIV/0!</v>
      </c>
      <c r="U37" s="151" t="e">
        <f t="shared" si="26"/>
        <v>#DIV/0!</v>
      </c>
      <c r="V37" s="153" t="e">
        <f t="shared" si="27"/>
        <v>#DIV/0!</v>
      </c>
      <c r="W37" s="156">
        <f t="shared" si="27"/>
        <v>1</v>
      </c>
      <c r="X37" s="153">
        <f t="shared" si="28"/>
        <v>0.816752692336839</v>
      </c>
      <c r="Y37" s="156">
        <f t="shared" si="29"/>
        <v>0.816752692336839</v>
      </c>
      <c r="Z37" s="109">
        <f>Z36/$Y$15</f>
        <v>12017.253275112887</v>
      </c>
      <c r="AA37" s="152">
        <f>Z37-$Z$14</f>
        <v>2317.2532751128874</v>
      </c>
      <c r="AB37" s="130">
        <f>Z37-Z36</f>
        <v>1220.6169114765253</v>
      </c>
    </row>
    <row r="38" spans="1:28" x14ac:dyDescent="0.35">
      <c r="A38" s="144">
        <v>8</v>
      </c>
      <c r="B38" s="145" t="s">
        <v>444</v>
      </c>
      <c r="C38" s="155">
        <v>0.02</v>
      </c>
      <c r="E38" s="147">
        <f t="shared" si="30"/>
        <v>13531.839203130559</v>
      </c>
      <c r="F38" s="148">
        <f t="shared" si="31"/>
        <v>20</v>
      </c>
      <c r="G38" s="149">
        <f t="shared" si="19"/>
        <v>2.1276595744680854E-2</v>
      </c>
      <c r="H38" s="549" t="e">
        <f t="shared" si="20"/>
        <v>#DIV/0!</v>
      </c>
      <c r="I38" s="148" t="e">
        <f t="shared" si="36"/>
        <v>#DIV/0!</v>
      </c>
      <c r="J38" s="150" t="e">
        <f t="shared" si="32"/>
        <v>#DIV/0!</v>
      </c>
      <c r="K38" s="148" t="e">
        <f t="shared" si="33"/>
        <v>#DIV/0!</v>
      </c>
      <c r="L38" s="148">
        <f t="shared" si="21"/>
        <v>15300</v>
      </c>
      <c r="M38" s="148" t="e">
        <f t="shared" si="34"/>
        <v>#DIV/0!</v>
      </c>
      <c r="N38" s="148" t="e">
        <f t="shared" si="22"/>
        <v>#DIV/0!</v>
      </c>
      <c r="O38" s="147">
        <f>O37</f>
        <v>15300</v>
      </c>
      <c r="P38" s="130" t="e">
        <f t="shared" si="23"/>
        <v>#DIV/0!</v>
      </c>
      <c r="Q38" s="151" t="e">
        <f t="shared" si="35"/>
        <v>#DIV/0!</v>
      </c>
      <c r="R38" s="109" t="e">
        <f t="shared" si="24"/>
        <v>#DIV/0!</v>
      </c>
      <c r="S38" s="152">
        <f>'[7]BOM (Long)'!$P$11</f>
        <v>9229.3054234062802</v>
      </c>
      <c r="T38" s="130" t="e">
        <f t="shared" si="25"/>
        <v>#DIV/0!</v>
      </c>
      <c r="U38" s="151" t="e">
        <f t="shared" si="26"/>
        <v>#DIV/0!</v>
      </c>
      <c r="V38" s="153" t="e">
        <f t="shared" si="27"/>
        <v>#DIV/0!</v>
      </c>
      <c r="W38" s="156">
        <f t="shared" si="27"/>
        <v>1</v>
      </c>
      <c r="X38" s="153">
        <f t="shared" si="28"/>
        <v>0.816752692336839</v>
      </c>
      <c r="Y38" s="156">
        <f t="shared" si="29"/>
        <v>0.816752692336839</v>
      </c>
      <c r="Z38" s="109">
        <f>Z37/$Y$15</f>
        <v>13375.867391867212</v>
      </c>
      <c r="AA38" s="152">
        <f>Z38-$Z$14</f>
        <v>3675.8673918672121</v>
      </c>
      <c r="AB38" s="130">
        <f>Z38-Z37</f>
        <v>1358.6141167543246</v>
      </c>
    </row>
    <row r="39" spans="1:28" x14ac:dyDescent="0.35">
      <c r="A39" s="144">
        <v>10</v>
      </c>
      <c r="B39" s="145" t="s">
        <v>445</v>
      </c>
      <c r="C39" s="155">
        <v>0.3</v>
      </c>
      <c r="E39" s="147">
        <f t="shared" si="30"/>
        <v>15057.98648167912</v>
      </c>
      <c r="F39" s="148">
        <f t="shared" si="31"/>
        <v>300</v>
      </c>
      <c r="G39" s="149">
        <f t="shared" si="19"/>
        <v>0.31914893617021278</v>
      </c>
      <c r="H39" s="549" t="e">
        <f t="shared" si="20"/>
        <v>#DIV/0!</v>
      </c>
      <c r="I39" s="148" t="e">
        <f t="shared" si="36"/>
        <v>#DIV/0!</v>
      </c>
      <c r="J39" s="150" t="e">
        <f t="shared" si="32"/>
        <v>#DIV/0!</v>
      </c>
      <c r="K39" s="148" t="e">
        <f t="shared" si="33"/>
        <v>#DIV/0!</v>
      </c>
      <c r="L39" s="148">
        <f t="shared" si="21"/>
        <v>17800</v>
      </c>
      <c r="M39" s="148" t="e">
        <f t="shared" si="34"/>
        <v>#DIV/0!</v>
      </c>
      <c r="N39" s="148" t="e">
        <f t="shared" si="22"/>
        <v>#DIV/0!</v>
      </c>
      <c r="O39" s="168">
        <v>17800</v>
      </c>
      <c r="P39" s="130" t="e">
        <f t="shared" si="23"/>
        <v>#DIV/0!</v>
      </c>
      <c r="Q39" s="151" t="e">
        <f t="shared" si="35"/>
        <v>#DIV/0!</v>
      </c>
      <c r="R39" s="109" t="e">
        <f t="shared" si="24"/>
        <v>#DIV/0!</v>
      </c>
      <c r="S39" s="152">
        <f>'[7]BOM (Long)'!$P$13</f>
        <v>10152.235965746908</v>
      </c>
      <c r="T39" s="130" t="e">
        <f t="shared" si="25"/>
        <v>#DIV/0!</v>
      </c>
      <c r="U39" s="151" t="e">
        <f t="shared" si="26"/>
        <v>#DIV/0!</v>
      </c>
      <c r="V39" s="153" t="e">
        <f t="shared" si="27"/>
        <v>#DIV/0!</v>
      </c>
      <c r="W39" s="153">
        <f t="shared" si="27"/>
        <v>1.0999999999999999</v>
      </c>
      <c r="X39" s="153">
        <f t="shared" si="28"/>
        <v>0.89842796157052285</v>
      </c>
      <c r="Y39" s="153">
        <f t="shared" si="29"/>
        <v>0.89842796157052285</v>
      </c>
      <c r="Z39" s="109">
        <f>Z38/$Y$15</f>
        <v>14888.080028681588</v>
      </c>
      <c r="AA39" s="152">
        <f>Z39-$Z$14</f>
        <v>5188.0800286815884</v>
      </c>
      <c r="AB39" s="130">
        <f>Z39-Z38</f>
        <v>1512.2126368143763</v>
      </c>
    </row>
    <row r="40" spans="1:28" x14ac:dyDescent="0.35">
      <c r="A40" s="144">
        <v>11</v>
      </c>
      <c r="B40" s="145" t="s">
        <v>446</v>
      </c>
      <c r="C40" s="155"/>
      <c r="E40" s="147" t="e">
        <f>N19</f>
        <v>#DIV/0!</v>
      </c>
      <c r="F40" s="148">
        <f t="shared" si="31"/>
        <v>0</v>
      </c>
      <c r="G40" s="149">
        <f t="shared" si="19"/>
        <v>0</v>
      </c>
      <c r="H40" s="549" t="e">
        <f t="shared" si="20"/>
        <v>#DIV/0!</v>
      </c>
      <c r="I40" s="148" t="e">
        <f t="shared" si="36"/>
        <v>#DIV/0!</v>
      </c>
      <c r="J40" s="150" t="e">
        <f t="shared" si="32"/>
        <v>#DIV/0!</v>
      </c>
      <c r="K40" s="148" t="e">
        <f t="shared" si="33"/>
        <v>#DIV/0!</v>
      </c>
      <c r="L40" s="148">
        <f t="shared" si="21"/>
        <v>12550</v>
      </c>
      <c r="M40" s="148" t="e">
        <f t="shared" si="34"/>
        <v>#DIV/0!</v>
      </c>
      <c r="N40" s="148" t="e">
        <f t="shared" si="22"/>
        <v>#DIV/0!</v>
      </c>
      <c r="O40" s="147">
        <f>C6+1250</f>
        <v>12550</v>
      </c>
      <c r="P40" s="130" t="e">
        <f t="shared" si="23"/>
        <v>#DIV/0!</v>
      </c>
      <c r="Q40" s="151" t="e">
        <f>P40/E40</f>
        <v>#DIV/0!</v>
      </c>
      <c r="R40" s="109" t="e">
        <f t="shared" si="24"/>
        <v>#DIV/0!</v>
      </c>
      <c r="S40" s="152">
        <f>'[7]BOM (Long)'!$P$14</f>
        <v>5537.5832540437677</v>
      </c>
      <c r="T40" s="130" t="e">
        <f t="shared" si="25"/>
        <v>#DIV/0!</v>
      </c>
      <c r="U40" s="151" t="e">
        <f t="shared" si="26"/>
        <v>#DIV/0!</v>
      </c>
      <c r="V40" s="153" t="e">
        <f t="shared" si="27"/>
        <v>#DIV/0!</v>
      </c>
      <c r="W40" s="157">
        <f t="shared" si="27"/>
        <v>0.6</v>
      </c>
      <c r="X40" s="153">
        <f t="shared" si="28"/>
        <v>0.49005161540210335</v>
      </c>
      <c r="Y40" s="157">
        <f t="shared" si="29"/>
        <v>0.49005161540210335</v>
      </c>
      <c r="Z40" s="109">
        <f>Z39/$Y$15</f>
        <v>16571.256311586796</v>
      </c>
      <c r="AA40" s="152">
        <f>Z40-$Z$14</f>
        <v>6871.2563115867961</v>
      </c>
      <c r="AB40" s="130">
        <f>Z40-Z39</f>
        <v>1683.1762829052077</v>
      </c>
    </row>
    <row r="41" spans="1:28" x14ac:dyDescent="0.35">
      <c r="A41" s="144"/>
      <c r="B41" s="158"/>
      <c r="C41" s="159"/>
      <c r="E41" s="147"/>
      <c r="F41" s="160">
        <f t="shared" si="31"/>
        <v>0</v>
      </c>
      <c r="G41" s="160">
        <f>F41/1000/(1-$C$8)</f>
        <v>0</v>
      </c>
      <c r="H41" s="160">
        <f>E41*G41/SUMPRODUCT($E$14:$E$20,$G$14:$G$20)</f>
        <v>0</v>
      </c>
      <c r="I41" s="160">
        <f>$C$6*H41</f>
        <v>0</v>
      </c>
      <c r="J41" s="160">
        <f>($C$7+$C$10)*H41</f>
        <v>0</v>
      </c>
      <c r="K41" s="160">
        <f>I41+J41</f>
        <v>0</v>
      </c>
      <c r="L41" s="160">
        <f>E41*G41</f>
        <v>0</v>
      </c>
      <c r="M41" s="160">
        <f t="shared" ref="M41" si="37">L41-K41</f>
        <v>0</v>
      </c>
      <c r="N41" s="160" t="e">
        <f>K41/(F41/(1-$C$8))*1000</f>
        <v>#DIV/0!</v>
      </c>
      <c r="O41" s="160"/>
      <c r="P41" s="160" t="e">
        <f t="shared" si="23"/>
        <v>#DIV/0!</v>
      </c>
      <c r="Q41" s="161" t="e">
        <f t="shared" si="35"/>
        <v>#DIV/0!</v>
      </c>
    </row>
    <row r="42" spans="1:28" ht="29" x14ac:dyDescent="0.35">
      <c r="A42" s="75"/>
      <c r="B42" s="162" t="s">
        <v>431</v>
      </c>
      <c r="C42" s="163">
        <f>SUM(C35:C41)</f>
        <v>0.90000000000000013</v>
      </c>
      <c r="D42" s="75"/>
      <c r="E42" s="75"/>
      <c r="F42" s="164">
        <f>SUM(F35:F41)</f>
        <v>900</v>
      </c>
      <c r="G42" s="78">
        <f t="shared" ref="G42:M42" si="38">SUM(G35:G41)</f>
        <v>0.95744680851063846</v>
      </c>
      <c r="H42" s="78" t="e">
        <f t="shared" si="38"/>
        <v>#DIV/0!</v>
      </c>
      <c r="I42" s="165" t="e">
        <f>SUM(I35:I41)</f>
        <v>#DIV/0!</v>
      </c>
      <c r="J42" s="165" t="e">
        <f>SUM(J35:J41)</f>
        <v>#DIV/0!</v>
      </c>
      <c r="K42" s="164" t="e">
        <f>SUM(K35:K41)</f>
        <v>#DIV/0!</v>
      </c>
      <c r="L42" s="164">
        <f>SUMPRODUCT(C35:C40,L35:L40)</f>
        <v>16155</v>
      </c>
      <c r="M42" s="164" t="e">
        <f t="shared" si="38"/>
        <v>#DIV/0!</v>
      </c>
      <c r="N42" s="75"/>
      <c r="O42" s="75"/>
      <c r="P42" s="75"/>
      <c r="Q42" s="75"/>
      <c r="R42" s="75"/>
      <c r="S42" s="75"/>
      <c r="T42" s="75"/>
      <c r="U42" s="75"/>
      <c r="V42" s="75"/>
      <c r="W42" s="75"/>
      <c r="X42" s="75"/>
      <c r="Y42" s="75"/>
      <c r="Z42" s="75"/>
      <c r="AA42" s="75"/>
      <c r="AB42" s="75"/>
    </row>
    <row r="43" spans="1:28" x14ac:dyDescent="0.35">
      <c r="B43" t="s">
        <v>432</v>
      </c>
      <c r="C43" s="166">
        <f>100%-C42</f>
        <v>9.9999999999999867E-2</v>
      </c>
    </row>
    <row r="44" spans="1:28" x14ac:dyDescent="0.35">
      <c r="B44" t="s">
        <v>433</v>
      </c>
      <c r="F44" s="148">
        <f>1000-F42</f>
        <v>100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8392-4A07-4566-9CC4-127AC0A5B6D0}">
  <sheetPr>
    <tabColor rgb="FFFF0000"/>
  </sheetPr>
  <dimension ref="A2:AE44"/>
  <sheetViews>
    <sheetView zoomScale="85" zoomScaleNormal="85" workbookViewId="0">
      <selection activeCell="C6" sqref="C6"/>
    </sheetView>
  </sheetViews>
  <sheetFormatPr defaultRowHeight="14.5" x14ac:dyDescent="0.35"/>
  <cols>
    <col min="1" max="1" width="5.90625" customWidth="1"/>
    <col min="2" max="2" width="24.08984375" customWidth="1"/>
    <col min="3" max="3" width="19.81640625" customWidth="1"/>
    <col min="4" max="4" width="2.90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6.453125" bestFit="1" customWidth="1"/>
    <col min="15" max="15" width="14.453125" bestFit="1" customWidth="1"/>
    <col min="16" max="16" width="7.453125" bestFit="1" customWidth="1"/>
    <col min="17" max="17" width="7.90625" bestFit="1" customWidth="1"/>
    <col min="18" max="18" width="14.6328125" bestFit="1" customWidth="1"/>
    <col min="19"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4</v>
      </c>
    </row>
    <row r="6" spans="1:31" x14ac:dyDescent="0.35">
      <c r="B6" s="117" t="s">
        <v>396</v>
      </c>
      <c r="C6" s="136">
        <f>'H_Tỷ lệ HH&amp;PS (-PS)'!E5</f>
        <v>11800</v>
      </c>
    </row>
    <row r="7" spans="1:31" x14ac:dyDescent="0.35">
      <c r="B7" s="117" t="s">
        <v>397</v>
      </c>
      <c r="C7" s="137">
        <v>3000</v>
      </c>
    </row>
    <row r="8" spans="1:31" x14ac:dyDescent="0.35">
      <c r="B8" s="117" t="s">
        <v>398</v>
      </c>
      <c r="C8" s="138">
        <v>0.1</v>
      </c>
    </row>
    <row r="9" spans="1:31" x14ac:dyDescent="0.35">
      <c r="B9" s="117" t="s">
        <v>399</v>
      </c>
      <c r="C9" s="139">
        <f>SUM(C6:C7)</f>
        <v>14800</v>
      </c>
    </row>
    <row r="10" spans="1:31" x14ac:dyDescent="0.35">
      <c r="B10" s="117" t="s">
        <v>400</v>
      </c>
      <c r="C10" s="139">
        <f>C9*C8/(1-C8)</f>
        <v>1644.4444444444443</v>
      </c>
    </row>
    <row r="11" spans="1:31" x14ac:dyDescent="0.35">
      <c r="B11" s="117" t="s">
        <v>401</v>
      </c>
      <c r="C11" s="139">
        <f>+C9/(1-C8)</f>
        <v>16444.444444444445</v>
      </c>
      <c r="X11" t="s">
        <v>402</v>
      </c>
    </row>
    <row r="12" spans="1:31" x14ac:dyDescent="0.35">
      <c r="B12" s="140" t="s">
        <v>403</v>
      </c>
      <c r="E12" s="111">
        <v>0</v>
      </c>
      <c r="S12" t="s">
        <v>404</v>
      </c>
      <c r="V12" t="s">
        <v>405</v>
      </c>
      <c r="W12" t="s">
        <v>406</v>
      </c>
      <c r="X12" t="s">
        <v>405</v>
      </c>
      <c r="Y12" t="s">
        <v>406</v>
      </c>
    </row>
    <row r="13" spans="1:31" ht="48" x14ac:dyDescent="0.35">
      <c r="A13" s="141" t="s">
        <v>0</v>
      </c>
      <c r="B13" s="141" t="s">
        <v>407</v>
      </c>
      <c r="C13" s="141" t="s">
        <v>408</v>
      </c>
      <c r="E13" s="142" t="s">
        <v>409</v>
      </c>
      <c r="F13" s="143" t="s">
        <v>410</v>
      </c>
      <c r="G13" s="143" t="s">
        <v>411</v>
      </c>
      <c r="H13" s="143" t="s">
        <v>412</v>
      </c>
      <c r="I13" s="143" t="s">
        <v>413</v>
      </c>
      <c r="J13" s="143" t="s">
        <v>414</v>
      </c>
      <c r="K13" s="143" t="s">
        <v>415</v>
      </c>
      <c r="L13" s="143" t="s">
        <v>416</v>
      </c>
      <c r="M13" s="143" t="s">
        <v>417</v>
      </c>
      <c r="N13" s="143" t="s">
        <v>418</v>
      </c>
      <c r="O13" s="142" t="s">
        <v>409</v>
      </c>
      <c r="P13" s="1131" t="s">
        <v>419</v>
      </c>
      <c r="Q13" s="1131"/>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0.53</v>
      </c>
      <c r="E14" s="147">
        <f>'Giá mua Chai-Vảy'!E14-$E$12</f>
        <v>16300</v>
      </c>
      <c r="F14" s="148">
        <f>C14*1000</f>
        <v>530</v>
      </c>
      <c r="G14" s="149">
        <f>F14/1000/(1-$C$8)</f>
        <v>0.58888888888888891</v>
      </c>
      <c r="H14" s="149">
        <f>E14*G14/SUMPRODUCT($E$14:$E$20,$G$14:$G$20)</f>
        <v>0.61465670579864828</v>
      </c>
      <c r="I14" s="148">
        <f>$C$6*H14</f>
        <v>7252.9491284240494</v>
      </c>
      <c r="J14" s="150">
        <f>($C$7+$C$10)*H14</f>
        <v>2854.7389224870553</v>
      </c>
      <c r="K14" s="148">
        <f>I14+J14</f>
        <v>10107.688050911105</v>
      </c>
      <c r="L14" s="148">
        <f>E14*G14</f>
        <v>9598.8888888888887</v>
      </c>
      <c r="M14" s="148">
        <f>L14-K14</f>
        <v>-508.79916202221648</v>
      </c>
      <c r="N14" s="148">
        <f>K14/(F14/(1-$C$8))*1000</f>
        <v>17163.998577018858</v>
      </c>
      <c r="O14" s="147">
        <v>16300</v>
      </c>
      <c r="P14" s="130">
        <f>O14-N14</f>
        <v>-863.99857701885776</v>
      </c>
      <c r="Q14" s="186">
        <f t="shared" ref="Q14:Q20" si="0">P14/E14</f>
        <v>-5.3006047669868571E-2</v>
      </c>
      <c r="R14" s="109">
        <f>I14/F14*1000</f>
        <v>13684.809676271792</v>
      </c>
      <c r="S14" s="152">
        <f>'[7]BOM (Long)'!$P$7</f>
        <v>11536.63177925785</v>
      </c>
      <c r="T14" s="130">
        <f t="shared" ref="T14:T19" si="1">R14-S14</f>
        <v>2148.1778970139421</v>
      </c>
      <c r="U14" s="151">
        <f t="shared" ref="U14:U19" si="2">T14/S14</f>
        <v>0.18620494595972398</v>
      </c>
      <c r="V14" s="153">
        <f t="shared" ref="V14:W19" si="3">R14/R$16</f>
        <v>1.2255639097744362</v>
      </c>
      <c r="W14" s="154">
        <f t="shared" si="3"/>
        <v>1.25</v>
      </c>
      <c r="X14" s="153">
        <f t="shared" ref="X14:X19" si="4">S14/C$6</f>
        <v>0.97768065925913983</v>
      </c>
      <c r="Y14" s="154">
        <f t="shared" ref="Y14:Y19" si="5">S14/C$6</f>
        <v>0.97768065925913983</v>
      </c>
      <c r="Z14" s="109">
        <v>9700</v>
      </c>
      <c r="AA14" s="152"/>
      <c r="AC14" s="109">
        <v>12500</v>
      </c>
      <c r="AE14" s="130">
        <f>AC14+AD14</f>
        <v>12500</v>
      </c>
    </row>
    <row r="15" spans="1:31" x14ac:dyDescent="0.35">
      <c r="A15" s="144">
        <v>5</v>
      </c>
      <c r="B15" s="145" t="s">
        <v>22</v>
      </c>
      <c r="C15" s="155">
        <v>0.03</v>
      </c>
      <c r="E15" s="147">
        <f>'Giá mua Chai-Vảy'!E15-$E$12</f>
        <v>14800</v>
      </c>
      <c r="F15" s="148">
        <f t="shared" ref="F15:F20" si="6">C15*1000</f>
        <v>30</v>
      </c>
      <c r="G15" s="149">
        <f t="shared" ref="G15:G20" si="7">F15/1000/(1-$C$8)</f>
        <v>3.3333333333333333E-2</v>
      </c>
      <c r="H15" s="149">
        <f t="shared" ref="H15:H20" si="8">E15*G15/SUMPRODUCT($E$14:$E$20,$G$14:$G$20)</f>
        <v>3.1590181430096058E-2</v>
      </c>
      <c r="I15" s="148">
        <f t="shared" ref="I15:I20" si="9">$C$6*H15</f>
        <v>372.76414087513348</v>
      </c>
      <c r="J15" s="150">
        <f t="shared" ref="J15:J20" si="10">($C$7+$C$10)*H15</f>
        <v>146.71884264200168</v>
      </c>
      <c r="K15" s="148">
        <f t="shared" ref="K15:K20" si="11">I15+J15</f>
        <v>519.48298351713515</v>
      </c>
      <c r="L15" s="148">
        <f>E15*G15</f>
        <v>493.33333333333331</v>
      </c>
      <c r="M15" s="148">
        <f t="shared" ref="M15:M20" si="12">L15-K15</f>
        <v>-26.149650183801839</v>
      </c>
      <c r="N15" s="148">
        <f t="shared" ref="N15:N20" si="13">K15/(F15/(1-$C$8))*1000</f>
        <v>15584.489505514053</v>
      </c>
      <c r="O15" s="147">
        <v>14800</v>
      </c>
      <c r="P15" s="130">
        <f t="shared" ref="P15:P20" si="14">O15-N15</f>
        <v>-784.48950551405323</v>
      </c>
      <c r="Q15" s="186">
        <f t="shared" si="0"/>
        <v>-5.300604766986846E-2</v>
      </c>
      <c r="R15" s="109">
        <f t="shared" ref="R15:R19" si="15">I15/F15*1000</f>
        <v>12425.47136250445</v>
      </c>
      <c r="S15" s="152">
        <f>'[7]BOM (Long)'!$P$9</f>
        <v>10152.23596574691</v>
      </c>
      <c r="T15" s="130">
        <f t="shared" si="1"/>
        <v>2273.23539675754</v>
      </c>
      <c r="U15" s="151">
        <f t="shared" si="2"/>
        <v>0.22391475182682044</v>
      </c>
      <c r="V15" s="153">
        <f t="shared" si="3"/>
        <v>1.1127819548872182</v>
      </c>
      <c r="W15" s="153">
        <f t="shared" si="3"/>
        <v>1.1000000000000001</v>
      </c>
      <c r="X15" s="153">
        <f t="shared" si="4"/>
        <v>0.86035898014804324</v>
      </c>
      <c r="Y15" s="153">
        <f t="shared" si="5"/>
        <v>0.86035898014804324</v>
      </c>
      <c r="Z15" s="109">
        <f>Z14/$Y$15</f>
        <v>11274.363636363634</v>
      </c>
      <c r="AA15" s="152">
        <f>Z15-$Z$14</f>
        <v>1574.3636363636342</v>
      </c>
      <c r="AB15" s="130">
        <f>Z15-Z14</f>
        <v>1574.3636363636342</v>
      </c>
      <c r="AC15" s="109">
        <v>10000</v>
      </c>
    </row>
    <row r="16" spans="1:31" x14ac:dyDescent="0.35">
      <c r="A16" s="144">
        <v>7</v>
      </c>
      <c r="B16" s="145" t="s">
        <v>27</v>
      </c>
      <c r="C16" s="155">
        <v>0.02</v>
      </c>
      <c r="E16" s="147">
        <f>'Giá mua Chai-Vảy'!E16-$E$12</f>
        <v>13300</v>
      </c>
      <c r="F16" s="148">
        <f t="shared" si="6"/>
        <v>20</v>
      </c>
      <c r="G16" s="149">
        <f t="shared" si="7"/>
        <v>2.2222222222222223E-2</v>
      </c>
      <c r="H16" s="149">
        <f t="shared" si="8"/>
        <v>1.8925649235147637E-2</v>
      </c>
      <c r="I16" s="148">
        <f t="shared" si="9"/>
        <v>223.32266097474212</v>
      </c>
      <c r="J16" s="150">
        <f t="shared" si="10"/>
        <v>87.899126447685688</v>
      </c>
      <c r="K16" s="148">
        <f t="shared" si="11"/>
        <v>311.22178742242784</v>
      </c>
      <c r="L16" s="148">
        <f>E16*G16</f>
        <v>295.55555555555554</v>
      </c>
      <c r="M16" s="148">
        <f t="shared" si="12"/>
        <v>-15.666231866872295</v>
      </c>
      <c r="N16" s="148">
        <f t="shared" si="13"/>
        <v>14004.980434009252</v>
      </c>
      <c r="O16" s="147">
        <v>13300</v>
      </c>
      <c r="P16" s="130">
        <f t="shared" si="14"/>
        <v>-704.98043400925235</v>
      </c>
      <c r="Q16" s="186">
        <f t="shared" si="0"/>
        <v>-5.3006047669868599E-2</v>
      </c>
      <c r="R16" s="109">
        <f t="shared" si="15"/>
        <v>11166.133048737105</v>
      </c>
      <c r="S16" s="152">
        <f>'[7]BOM (Long)'!$P$10</f>
        <v>9229.3054234062802</v>
      </c>
      <c r="T16" s="130">
        <f t="shared" si="1"/>
        <v>1936.827625330825</v>
      </c>
      <c r="U16" s="151">
        <f t="shared" si="2"/>
        <v>0.20985627156935019</v>
      </c>
      <c r="V16" s="153">
        <f t="shared" si="3"/>
        <v>1</v>
      </c>
      <c r="W16" s="156">
        <f t="shared" si="3"/>
        <v>1</v>
      </c>
      <c r="X16" s="153">
        <f t="shared" si="4"/>
        <v>0.78214452740731188</v>
      </c>
      <c r="Y16" s="156">
        <f t="shared" si="5"/>
        <v>0.78214452740731188</v>
      </c>
      <c r="Z16" s="109">
        <f>Z15/$Y$15</f>
        <v>13104.255196387487</v>
      </c>
      <c r="AA16" s="152">
        <f>Z16-$Z$14</f>
        <v>3404.2551963874866</v>
      </c>
      <c r="AB16" s="130">
        <f>Z16-Z15</f>
        <v>1829.8915600238524</v>
      </c>
      <c r="AC16" s="109">
        <v>9000</v>
      </c>
    </row>
    <row r="17" spans="1:31" x14ac:dyDescent="0.35">
      <c r="A17" s="144">
        <v>8</v>
      </c>
      <c r="B17" s="145" t="s">
        <v>29</v>
      </c>
      <c r="C17" s="155">
        <v>0.02</v>
      </c>
      <c r="E17" s="147">
        <f>'Giá mua Chai-Vảy'!E17-$E$12</f>
        <v>13300</v>
      </c>
      <c r="F17" s="148">
        <f t="shared" si="6"/>
        <v>20</v>
      </c>
      <c r="G17" s="149">
        <f t="shared" si="7"/>
        <v>2.2222222222222223E-2</v>
      </c>
      <c r="H17" s="149">
        <f t="shared" si="8"/>
        <v>1.8925649235147637E-2</v>
      </c>
      <c r="I17" s="148">
        <f t="shared" si="9"/>
        <v>223.32266097474212</v>
      </c>
      <c r="J17" s="150">
        <f t="shared" si="10"/>
        <v>87.899126447685688</v>
      </c>
      <c r="K17" s="148">
        <f t="shared" si="11"/>
        <v>311.22178742242784</v>
      </c>
      <c r="L17" s="148">
        <f>E17*G17</f>
        <v>295.55555555555554</v>
      </c>
      <c r="M17" s="148">
        <f t="shared" si="12"/>
        <v>-15.666231866872295</v>
      </c>
      <c r="N17" s="148">
        <f t="shared" si="13"/>
        <v>14004.980434009252</v>
      </c>
      <c r="O17" s="147">
        <v>13300</v>
      </c>
      <c r="P17" s="130">
        <f t="shared" si="14"/>
        <v>-704.98043400925235</v>
      </c>
      <c r="Q17" s="186">
        <f t="shared" si="0"/>
        <v>-5.3006047669868599E-2</v>
      </c>
      <c r="R17" s="109">
        <f t="shared" si="15"/>
        <v>11166.133048737105</v>
      </c>
      <c r="S17" s="152">
        <f>'[7]BOM (Long)'!$P$11</f>
        <v>9229.3054234062802</v>
      </c>
      <c r="T17" s="130">
        <f t="shared" si="1"/>
        <v>1936.827625330825</v>
      </c>
      <c r="U17" s="151">
        <f t="shared" si="2"/>
        <v>0.20985627156935019</v>
      </c>
      <c r="V17" s="153">
        <f t="shared" si="3"/>
        <v>1</v>
      </c>
      <c r="W17" s="156">
        <f t="shared" si="3"/>
        <v>1</v>
      </c>
      <c r="X17" s="153">
        <f t="shared" si="4"/>
        <v>0.78214452740731188</v>
      </c>
      <c r="Y17" s="156">
        <f t="shared" si="5"/>
        <v>0.78214452740731188</v>
      </c>
      <c r="Z17" s="109">
        <f>Z16/$Y$15</f>
        <v>15231.148275028894</v>
      </c>
      <c r="AA17" s="152">
        <f>Z17-$Z$14</f>
        <v>5531.1482750288942</v>
      </c>
      <c r="AB17" s="130">
        <f>Z17-Z16</f>
        <v>2126.8930786414076</v>
      </c>
      <c r="AC17" s="109">
        <v>9000</v>
      </c>
    </row>
    <row r="18" spans="1:31" x14ac:dyDescent="0.35">
      <c r="A18" s="144">
        <v>10</v>
      </c>
      <c r="B18" s="145" t="s">
        <v>19</v>
      </c>
      <c r="C18" s="155">
        <v>0.3</v>
      </c>
      <c r="E18" s="147">
        <f>'Giá mua Chai-Vảy'!E18-$E$12</f>
        <v>14800</v>
      </c>
      <c r="F18" s="148">
        <f t="shared" si="6"/>
        <v>300</v>
      </c>
      <c r="G18" s="149">
        <f t="shared" si="7"/>
        <v>0.33333333333333331</v>
      </c>
      <c r="H18" s="149">
        <f t="shared" si="8"/>
        <v>0.31590181430096054</v>
      </c>
      <c r="I18" s="148">
        <f t="shared" si="9"/>
        <v>3727.6414087513344</v>
      </c>
      <c r="J18" s="150">
        <f t="shared" si="10"/>
        <v>1467.1884264200166</v>
      </c>
      <c r="K18" s="148">
        <f t="shared" si="11"/>
        <v>5194.8298351713511</v>
      </c>
      <c r="L18" s="148">
        <f>E18*G18</f>
        <v>4933.333333333333</v>
      </c>
      <c r="M18" s="148">
        <f t="shared" si="12"/>
        <v>-261.49650183801805</v>
      </c>
      <c r="N18" s="148">
        <f t="shared" si="13"/>
        <v>15584.489505514053</v>
      </c>
      <c r="O18" s="147">
        <v>14800</v>
      </c>
      <c r="P18" s="130">
        <f t="shared" si="14"/>
        <v>-784.48950551405323</v>
      </c>
      <c r="Q18" s="186">
        <f t="shared" si="0"/>
        <v>-5.300604766986846E-2</v>
      </c>
      <c r="R18" s="109">
        <f t="shared" si="15"/>
        <v>12425.471362504448</v>
      </c>
      <c r="S18" s="152">
        <f>'[7]BOM (Long)'!$P$13</f>
        <v>10152.235965746908</v>
      </c>
      <c r="T18" s="130">
        <f t="shared" si="1"/>
        <v>2273.23539675754</v>
      </c>
      <c r="U18" s="151">
        <f t="shared" si="2"/>
        <v>0.22391475182682047</v>
      </c>
      <c r="V18" s="153">
        <f t="shared" si="3"/>
        <v>1.112781954887218</v>
      </c>
      <c r="W18" s="153">
        <f t="shared" si="3"/>
        <v>1.0999999999999999</v>
      </c>
      <c r="X18" s="153">
        <f t="shared" si="4"/>
        <v>0.86035898014804302</v>
      </c>
      <c r="Y18" s="153">
        <f t="shared" si="5"/>
        <v>0.86035898014804302</v>
      </c>
      <c r="Z18" s="109">
        <f>Z17/$Y$15</f>
        <v>17703.247861035921</v>
      </c>
      <c r="AA18" s="152">
        <f>Z18-$Z$14</f>
        <v>8003.2478610359212</v>
      </c>
      <c r="AB18" s="130">
        <f>Z18-Z17</f>
        <v>2472.099586007027</v>
      </c>
      <c r="AC18" s="109">
        <v>10000</v>
      </c>
      <c r="AD18" s="109">
        <f>'[8]CP Công đoạn (3)'!$CJ$6</f>
        <v>2321.0309940637335</v>
      </c>
      <c r="AE18" s="130">
        <f>AC18+AD18</f>
        <v>12321.030994063734</v>
      </c>
    </row>
    <row r="19" spans="1:31" x14ac:dyDescent="0.35">
      <c r="A19" s="144">
        <v>11</v>
      </c>
      <c r="B19" s="145" t="s">
        <v>430</v>
      </c>
      <c r="C19" s="464"/>
      <c r="E19" s="147">
        <f>'Giá mua Chai-Vảy'!E19-$E$12</f>
        <v>7800</v>
      </c>
      <c r="F19" s="148">
        <f t="shared" si="6"/>
        <v>0</v>
      </c>
      <c r="G19" s="149">
        <f t="shared" si="7"/>
        <v>0</v>
      </c>
      <c r="H19" s="149">
        <f t="shared" si="8"/>
        <v>0</v>
      </c>
      <c r="I19" s="148">
        <f t="shared" si="9"/>
        <v>0</v>
      </c>
      <c r="J19" s="150">
        <f t="shared" si="10"/>
        <v>0</v>
      </c>
      <c r="K19" s="148">
        <f>I19+J19</f>
        <v>0</v>
      </c>
      <c r="L19" s="148">
        <f t="shared" ref="L19:L20" si="16">E19*G19</f>
        <v>0</v>
      </c>
      <c r="M19" s="148">
        <f t="shared" si="12"/>
        <v>0</v>
      </c>
      <c r="N19" s="148" t="e">
        <f t="shared" si="13"/>
        <v>#DIV/0!</v>
      </c>
      <c r="O19" s="147">
        <v>7800</v>
      </c>
      <c r="P19" s="130" t="e">
        <f t="shared" si="14"/>
        <v>#DIV/0!</v>
      </c>
      <c r="Q19" s="186" t="e">
        <f t="shared" si="0"/>
        <v>#DIV/0!</v>
      </c>
      <c r="R19" s="109" t="e">
        <f t="shared" si="15"/>
        <v>#DIV/0!</v>
      </c>
      <c r="S19" s="152">
        <f>'[7]BOM (Long)'!$P$14</f>
        <v>5537.5832540437677</v>
      </c>
      <c r="T19" s="130" t="e">
        <f t="shared" si="1"/>
        <v>#DIV/0!</v>
      </c>
      <c r="U19" s="151" t="e">
        <f t="shared" si="2"/>
        <v>#DIV/0!</v>
      </c>
      <c r="V19" s="153" t="e">
        <f t="shared" si="3"/>
        <v>#DIV/0!</v>
      </c>
      <c r="W19" s="157">
        <f t="shared" si="3"/>
        <v>0.6</v>
      </c>
      <c r="X19" s="153">
        <f t="shared" si="4"/>
        <v>0.46928671644438708</v>
      </c>
      <c r="Y19" s="157">
        <f t="shared" si="5"/>
        <v>0.46928671644438708</v>
      </c>
      <c r="Z19" s="109">
        <f>Z18/$Y$15</f>
        <v>20576.582879380996</v>
      </c>
      <c r="AA19" s="152">
        <f>Z19-$Z$14</f>
        <v>10876.582879380996</v>
      </c>
      <c r="AB19" s="130">
        <f>Z19-Z18</f>
        <v>2873.3350183450748</v>
      </c>
      <c r="AC19" s="109">
        <v>5000</v>
      </c>
    </row>
    <row r="20" spans="1:31" hidden="1" x14ac:dyDescent="0.35">
      <c r="A20" s="144"/>
      <c r="B20" s="158"/>
      <c r="C20" s="159"/>
      <c r="E20" s="147"/>
      <c r="F20" s="160">
        <f t="shared" si="6"/>
        <v>0</v>
      </c>
      <c r="G20" s="160">
        <f t="shared" si="7"/>
        <v>0</v>
      </c>
      <c r="H20" s="160">
        <f t="shared" si="8"/>
        <v>0</v>
      </c>
      <c r="I20" s="160">
        <f t="shared" si="9"/>
        <v>0</v>
      </c>
      <c r="J20" s="160">
        <f t="shared" si="10"/>
        <v>0</v>
      </c>
      <c r="K20" s="160">
        <f t="shared" si="11"/>
        <v>0</v>
      </c>
      <c r="L20" s="160">
        <f t="shared" si="16"/>
        <v>0</v>
      </c>
      <c r="M20" s="160">
        <f t="shared" si="12"/>
        <v>0</v>
      </c>
      <c r="N20" s="160" t="e">
        <f t="shared" si="13"/>
        <v>#DIV/0!</v>
      </c>
      <c r="O20" s="160"/>
      <c r="P20" s="160" t="e">
        <f t="shared" si="14"/>
        <v>#DIV/0!</v>
      </c>
      <c r="Q20" s="161" t="e">
        <f t="shared" si="0"/>
        <v>#DIV/0!</v>
      </c>
    </row>
    <row r="21" spans="1:31" s="75" customFormat="1" ht="29" x14ac:dyDescent="0.35">
      <c r="B21" s="162" t="s">
        <v>431</v>
      </c>
      <c r="C21" s="462">
        <f>SUM(C14:C20)</f>
        <v>0.90000000000000013</v>
      </c>
      <c r="F21" s="164">
        <f>SUM(F14:F20)</f>
        <v>900</v>
      </c>
      <c r="G21" s="78">
        <f t="shared" ref="G21:M21" si="17">SUM(G14:G20)</f>
        <v>1</v>
      </c>
      <c r="H21" s="78">
        <f t="shared" si="17"/>
        <v>1</v>
      </c>
      <c r="I21" s="165">
        <f>SUM(I14:I20)</f>
        <v>11800.000000000002</v>
      </c>
      <c r="J21" s="165">
        <f>SUM(J14:J20)</f>
        <v>4644.4444444444453</v>
      </c>
      <c r="K21" s="164">
        <f>SUM(K14:K20)</f>
        <v>16444.444444444445</v>
      </c>
      <c r="L21" s="164">
        <f>SUM(L14:L20)</f>
        <v>15616.666666666664</v>
      </c>
      <c r="M21" s="164">
        <f t="shared" si="17"/>
        <v>-827.77777777778101</v>
      </c>
      <c r="N21" s="200">
        <f>SUMPRODUCT(C14:C18,N14:N18)</f>
        <v>14800.000000000002</v>
      </c>
      <c r="O21" s="470">
        <f>AVERAGE(O14:O18)</f>
        <v>14500</v>
      </c>
      <c r="R21" s="200">
        <f>SUMPRODUCT(F14:F18,R14:R18)</f>
        <v>11800000.000000002</v>
      </c>
    </row>
    <row r="22" spans="1:31" x14ac:dyDescent="0.35">
      <c r="B22" t="s">
        <v>432</v>
      </c>
      <c r="C22" s="461">
        <f>100%-C21</f>
        <v>9.9999999999999867E-2</v>
      </c>
      <c r="I22" s="149">
        <f>C10/J21</f>
        <v>0.35406698564593292</v>
      </c>
      <c r="J22" s="149">
        <f>C7/J21</f>
        <v>0.64593301435406691</v>
      </c>
      <c r="K22" s="742" t="s">
        <v>856</v>
      </c>
      <c r="L22" s="742" t="s">
        <v>855</v>
      </c>
      <c r="N22" s="130">
        <f>K21-N21</f>
        <v>1644.4444444444434</v>
      </c>
      <c r="O22" s="200">
        <f>SUMPRODUCT(C14:C18,O14:O18)</f>
        <v>14055</v>
      </c>
    </row>
    <row r="23" spans="1:31" x14ac:dyDescent="0.35">
      <c r="B23" t="s">
        <v>433</v>
      </c>
      <c r="F23" s="148">
        <f>1000-F21</f>
        <v>100</v>
      </c>
      <c r="I23" s="110">
        <f>I14/$K14</f>
        <v>0.71756756756756757</v>
      </c>
      <c r="J23" s="153">
        <f>J14/$K14</f>
        <v>0.28243243243243243</v>
      </c>
      <c r="K23" s="310">
        <f>J23*I22</f>
        <v>9.9999999999999978E-2</v>
      </c>
      <c r="L23" s="310">
        <f>J23*J22</f>
        <v>0.1824324324324324</v>
      </c>
      <c r="N23" s="110">
        <f>K14/$K14</f>
        <v>1</v>
      </c>
    </row>
    <row r="24" spans="1:31" x14ac:dyDescent="0.35">
      <c r="I24" s="109">
        <f>$N14*I$23</f>
        <v>12316.328708644613</v>
      </c>
      <c r="J24" s="109">
        <f>$N14*J$23</f>
        <v>4847.6698683742452</v>
      </c>
      <c r="K24" s="317">
        <f>$N14*K$23</f>
        <v>1716.3998577018854</v>
      </c>
      <c r="L24" s="317">
        <f>$N14*L$23</f>
        <v>3131.2700106723587</v>
      </c>
      <c r="N24" s="109">
        <f>$N14*N$23</f>
        <v>17163.998577018858</v>
      </c>
    </row>
    <row r="25" spans="1:31" x14ac:dyDescent="0.35">
      <c r="I25" s="109">
        <f t="shared" ref="I25:L25" si="18">$N15*I$23</f>
        <v>11182.924226254003</v>
      </c>
      <c r="J25" s="109">
        <f t="shared" si="18"/>
        <v>4401.5652792600504</v>
      </c>
      <c r="K25" s="317">
        <f t="shared" si="18"/>
        <v>1558.448950551405</v>
      </c>
      <c r="L25" s="317">
        <f t="shared" si="18"/>
        <v>2843.1163287086442</v>
      </c>
      <c r="N25" s="109">
        <f>$N15*N$23</f>
        <v>15584.489505514053</v>
      </c>
    </row>
    <row r="26" spans="1:31" x14ac:dyDescent="0.35">
      <c r="B26" s="117" t="s">
        <v>434</v>
      </c>
      <c r="C26" s="136">
        <f>C11</f>
        <v>16444.444444444445</v>
      </c>
      <c r="I26" s="109">
        <f t="shared" ref="I26:L26" si="19">$N16*I$23</f>
        <v>10049.519743863397</v>
      </c>
      <c r="J26" s="109">
        <f t="shared" si="19"/>
        <v>3955.4606901458565</v>
      </c>
      <c r="K26" s="317">
        <f t="shared" si="19"/>
        <v>1400.4980434009249</v>
      </c>
      <c r="L26" s="317">
        <f t="shared" si="19"/>
        <v>2554.9626467449307</v>
      </c>
      <c r="N26" s="109">
        <f>$N16*N$23</f>
        <v>14004.980434009252</v>
      </c>
    </row>
    <row r="27" spans="1:31" x14ac:dyDescent="0.35">
      <c r="B27" s="117" t="s">
        <v>397</v>
      </c>
      <c r="C27" s="137">
        <v>1500</v>
      </c>
      <c r="I27" s="109">
        <f t="shared" ref="I27:L27" si="20">$N17*I$23</f>
        <v>10049.519743863397</v>
      </c>
      <c r="J27" s="109">
        <f t="shared" si="20"/>
        <v>3955.4606901458565</v>
      </c>
      <c r="K27" s="317">
        <f t="shared" si="20"/>
        <v>1400.4980434009249</v>
      </c>
      <c r="L27" s="317">
        <f t="shared" si="20"/>
        <v>2554.9626467449307</v>
      </c>
      <c r="N27" s="109">
        <f>$N17*N$23</f>
        <v>14004.980434009252</v>
      </c>
    </row>
    <row r="28" spans="1:31" x14ac:dyDescent="0.35">
      <c r="B28" s="117" t="s">
        <v>398</v>
      </c>
      <c r="C28" s="138">
        <v>0.06</v>
      </c>
      <c r="I28" s="109">
        <f>$N18*I$23</f>
        <v>11182.924226254003</v>
      </c>
      <c r="J28" s="109">
        <f>$N18*J$23</f>
        <v>4401.5652792600504</v>
      </c>
      <c r="K28" s="317">
        <f t="shared" ref="K28:L28" si="21">$N18*K$23</f>
        <v>1558.448950551405</v>
      </c>
      <c r="L28" s="317">
        <f t="shared" si="21"/>
        <v>2843.1163287086442</v>
      </c>
      <c r="N28" s="109">
        <f>$N18*N$23</f>
        <v>15584.489505514053</v>
      </c>
    </row>
    <row r="29" spans="1:31" x14ac:dyDescent="0.35">
      <c r="B29" s="117" t="s">
        <v>399</v>
      </c>
      <c r="C29" s="139">
        <f>SUM(C26:C27)</f>
        <v>17944.444444444445</v>
      </c>
    </row>
    <row r="30" spans="1:31" x14ac:dyDescent="0.35">
      <c r="B30" s="117" t="s">
        <v>400</v>
      </c>
      <c r="C30" s="139">
        <f>C29*C28/(1-C28)</f>
        <v>1145.3900709219859</v>
      </c>
    </row>
    <row r="31" spans="1:31" x14ac:dyDescent="0.35">
      <c r="B31" s="117" t="s">
        <v>401</v>
      </c>
      <c r="C31" s="139">
        <f>+C29/(1-C28)</f>
        <v>19089.83451536643</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1131" t="s">
        <v>419</v>
      </c>
      <c r="Q34" s="1131"/>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 t="shared" ref="E35:E40" si="22">N14</f>
        <v>17163.998577018858</v>
      </c>
      <c r="F35" s="148">
        <f>C35*1000</f>
        <v>540</v>
      </c>
      <c r="G35" s="149">
        <f t="shared" ref="G35:G40" si="23">F35/1000/(1-$C$28)</f>
        <v>0.57446808510638303</v>
      </c>
      <c r="H35" s="149" t="e">
        <f t="shared" ref="H35:H40" si="24">E35*G35/SUMPRODUCT($E$35:$E$40,$G$35:$G$40)</f>
        <v>#DIV/0!</v>
      </c>
      <c r="I35" s="148" t="e">
        <f t="shared" ref="I35:I40" si="25">$C$26*H35</f>
        <v>#DIV/0!</v>
      </c>
      <c r="J35" s="150">
        <f t="shared" ref="J35:J40" si="26">$C$27+$C$30</f>
        <v>2645.3900709219861</v>
      </c>
      <c r="K35" s="148">
        <f>N14+J35</f>
        <v>19809.388647940843</v>
      </c>
      <c r="L35" s="148">
        <f t="shared" ref="L35:L40" si="27">O35</f>
        <v>19300</v>
      </c>
      <c r="M35" s="148">
        <f>L35-K35</f>
        <v>-509.38864794084293</v>
      </c>
      <c r="N35" s="148">
        <f>K35</f>
        <v>19809.388647940843</v>
      </c>
      <c r="O35" s="147">
        <f>O14+3000</f>
        <v>19300</v>
      </c>
      <c r="P35" s="130">
        <f t="shared" ref="P35:P41" si="28">O35-N35</f>
        <v>-509.38864794084293</v>
      </c>
      <c r="Q35" s="151">
        <f>P35/E35</f>
        <v>-2.9677737716831975E-2</v>
      </c>
      <c r="R35" s="109" t="e">
        <f t="shared" ref="R35:R40" si="29">I35/F35*1000</f>
        <v>#DIV/0!</v>
      </c>
      <c r="S35" s="152">
        <f>'[7]BOM (Long)'!$P$7</f>
        <v>11536.63177925785</v>
      </c>
      <c r="T35" s="130" t="e">
        <f t="shared" ref="T35:T40" si="30">R35-S35</f>
        <v>#DIV/0!</v>
      </c>
      <c r="U35" s="151" t="e">
        <f t="shared" ref="U35:U40" si="31">T35/S35</f>
        <v>#DIV/0!</v>
      </c>
      <c r="V35" s="153" t="e">
        <f t="shared" ref="V35:W40" si="32">R35/R$16</f>
        <v>#DIV/0!</v>
      </c>
      <c r="W35" s="154">
        <f t="shared" si="32"/>
        <v>1.25</v>
      </c>
      <c r="X35" s="153">
        <f t="shared" ref="X35:X40" si="33">S35/C$6</f>
        <v>0.97768065925913983</v>
      </c>
      <c r="Y35" s="154">
        <f t="shared" ref="Y35:Y40" si="34">S35/C$6</f>
        <v>0.97768065925913983</v>
      </c>
      <c r="Z35" s="109">
        <v>9700</v>
      </c>
      <c r="AA35" s="152"/>
    </row>
    <row r="36" spans="1:28" x14ac:dyDescent="0.35">
      <c r="A36" s="144">
        <v>5</v>
      </c>
      <c r="B36" s="145" t="s">
        <v>442</v>
      </c>
      <c r="C36" s="155">
        <v>0.03</v>
      </c>
      <c r="E36" s="147">
        <f t="shared" si="22"/>
        <v>15584.489505514053</v>
      </c>
      <c r="F36" s="148">
        <f t="shared" ref="F36:F41" si="35">C36*1000</f>
        <v>30</v>
      </c>
      <c r="G36" s="149">
        <f t="shared" si="23"/>
        <v>3.1914893617021274E-2</v>
      </c>
      <c r="H36" s="149" t="e">
        <f t="shared" si="24"/>
        <v>#DIV/0!</v>
      </c>
      <c r="I36" s="148" t="e">
        <f t="shared" si="25"/>
        <v>#DIV/0!</v>
      </c>
      <c r="J36" s="150">
        <f t="shared" si="26"/>
        <v>2645.3900709219861</v>
      </c>
      <c r="K36" s="148">
        <f t="shared" ref="K36:K40" si="36">N15+J36</f>
        <v>18229.87957643604</v>
      </c>
      <c r="L36" s="148">
        <f t="shared" si="27"/>
        <v>17800</v>
      </c>
      <c r="M36" s="148">
        <f t="shared" ref="M36:M41" si="37">L36-K36</f>
        <v>-429.87957643604022</v>
      </c>
      <c r="N36" s="148">
        <f t="shared" ref="N36:N40" si="38">K36</f>
        <v>18229.87957643604</v>
      </c>
      <c r="O36" s="147">
        <f t="shared" ref="O36:O40" si="39">O15+3000</f>
        <v>17800</v>
      </c>
      <c r="P36" s="130">
        <f t="shared" si="28"/>
        <v>-429.87957643604022</v>
      </c>
      <c r="Q36" s="151">
        <f t="shared" ref="Q36:Q41" si="40">P36/E36</f>
        <v>-2.7583808650513811E-2</v>
      </c>
      <c r="R36" s="109" t="e">
        <f t="shared" si="29"/>
        <v>#DIV/0!</v>
      </c>
      <c r="S36" s="152">
        <f>'[7]BOM (Long)'!$P$9</f>
        <v>10152.23596574691</v>
      </c>
      <c r="T36" s="130" t="e">
        <f t="shared" si="30"/>
        <v>#DIV/0!</v>
      </c>
      <c r="U36" s="151" t="e">
        <f t="shared" si="31"/>
        <v>#DIV/0!</v>
      </c>
      <c r="V36" s="153" t="e">
        <f t="shared" si="32"/>
        <v>#DIV/0!</v>
      </c>
      <c r="W36" s="153">
        <f t="shared" si="32"/>
        <v>1.1000000000000001</v>
      </c>
      <c r="X36" s="153">
        <f t="shared" si="33"/>
        <v>0.86035898014804324</v>
      </c>
      <c r="Y36" s="153">
        <f t="shared" si="34"/>
        <v>0.86035898014804324</v>
      </c>
      <c r="Z36" s="109">
        <f>Z35/$Y$15</f>
        <v>11274.363636363634</v>
      </c>
      <c r="AA36" s="152">
        <f>Z36-$Z$14</f>
        <v>1574.3636363636342</v>
      </c>
      <c r="AB36" s="130">
        <f>Z36-Z35</f>
        <v>1574.3636363636342</v>
      </c>
    </row>
    <row r="37" spans="1:28" x14ac:dyDescent="0.35">
      <c r="A37" s="144">
        <v>7</v>
      </c>
      <c r="B37" s="145" t="s">
        <v>443</v>
      </c>
      <c r="C37" s="155">
        <v>0.02</v>
      </c>
      <c r="E37" s="147">
        <f t="shared" si="22"/>
        <v>14004.980434009252</v>
      </c>
      <c r="F37" s="148">
        <f t="shared" si="35"/>
        <v>20</v>
      </c>
      <c r="G37" s="149">
        <f t="shared" si="23"/>
        <v>2.1276595744680854E-2</v>
      </c>
      <c r="H37" s="149" t="e">
        <f t="shared" si="24"/>
        <v>#DIV/0!</v>
      </c>
      <c r="I37" s="148" t="e">
        <f t="shared" si="25"/>
        <v>#DIV/0!</v>
      </c>
      <c r="J37" s="150">
        <f t="shared" si="26"/>
        <v>2645.3900709219861</v>
      </c>
      <c r="K37" s="148">
        <f t="shared" si="36"/>
        <v>16650.370504931238</v>
      </c>
      <c r="L37" s="148">
        <f t="shared" si="27"/>
        <v>16300</v>
      </c>
      <c r="M37" s="148">
        <f t="shared" si="37"/>
        <v>-350.37050493123752</v>
      </c>
      <c r="N37" s="148">
        <f t="shared" si="38"/>
        <v>16650.370504931238</v>
      </c>
      <c r="O37" s="147">
        <f t="shared" si="39"/>
        <v>16300</v>
      </c>
      <c r="P37" s="130">
        <f t="shared" si="28"/>
        <v>-350.37050493123752</v>
      </c>
      <c r="Q37" s="151">
        <f t="shared" si="40"/>
        <v>-2.5017564757206574E-2</v>
      </c>
      <c r="R37" s="109" t="e">
        <f t="shared" si="29"/>
        <v>#DIV/0!</v>
      </c>
      <c r="S37" s="152">
        <f>'[7]BOM (Long)'!$P$10</f>
        <v>9229.3054234062802</v>
      </c>
      <c r="T37" s="130" t="e">
        <f t="shared" si="30"/>
        <v>#DIV/0!</v>
      </c>
      <c r="U37" s="151" t="e">
        <f t="shared" si="31"/>
        <v>#DIV/0!</v>
      </c>
      <c r="V37" s="153" t="e">
        <f t="shared" si="32"/>
        <v>#DIV/0!</v>
      </c>
      <c r="W37" s="156">
        <f t="shared" si="32"/>
        <v>1</v>
      </c>
      <c r="X37" s="153">
        <f t="shared" si="33"/>
        <v>0.78214452740731188</v>
      </c>
      <c r="Y37" s="156">
        <f t="shared" si="34"/>
        <v>0.78214452740731188</v>
      </c>
      <c r="Z37" s="109">
        <f>Z36/$Y$15</f>
        <v>13104.255196387487</v>
      </c>
      <c r="AA37" s="152">
        <f>Z37-$Z$14</f>
        <v>3404.2551963874866</v>
      </c>
      <c r="AB37" s="130">
        <f>Z37-Z36</f>
        <v>1829.8915600238524</v>
      </c>
    </row>
    <row r="38" spans="1:28" x14ac:dyDescent="0.35">
      <c r="A38" s="144">
        <v>8</v>
      </c>
      <c r="B38" s="145" t="s">
        <v>444</v>
      </c>
      <c r="C38" s="155">
        <v>0.02</v>
      </c>
      <c r="E38" s="147">
        <f t="shared" si="22"/>
        <v>14004.980434009252</v>
      </c>
      <c r="F38" s="148">
        <f t="shared" si="35"/>
        <v>20</v>
      </c>
      <c r="G38" s="149">
        <f t="shared" si="23"/>
        <v>2.1276595744680854E-2</v>
      </c>
      <c r="H38" s="149" t="e">
        <f t="shared" si="24"/>
        <v>#DIV/0!</v>
      </c>
      <c r="I38" s="148" t="e">
        <f t="shared" si="25"/>
        <v>#DIV/0!</v>
      </c>
      <c r="J38" s="150">
        <f t="shared" si="26"/>
        <v>2645.3900709219861</v>
      </c>
      <c r="K38" s="148">
        <f t="shared" si="36"/>
        <v>16650.370504931238</v>
      </c>
      <c r="L38" s="148">
        <f t="shared" si="27"/>
        <v>16300</v>
      </c>
      <c r="M38" s="148">
        <f t="shared" si="37"/>
        <v>-350.37050493123752</v>
      </c>
      <c r="N38" s="148">
        <f t="shared" si="38"/>
        <v>16650.370504931238</v>
      </c>
      <c r="O38" s="147">
        <f t="shared" si="39"/>
        <v>16300</v>
      </c>
      <c r="P38" s="130">
        <f t="shared" si="28"/>
        <v>-350.37050493123752</v>
      </c>
      <c r="Q38" s="151">
        <f t="shared" si="40"/>
        <v>-2.5017564757206574E-2</v>
      </c>
      <c r="R38" s="109" t="e">
        <f t="shared" si="29"/>
        <v>#DIV/0!</v>
      </c>
      <c r="S38" s="152">
        <f>'[7]BOM (Long)'!$P$11</f>
        <v>9229.3054234062802</v>
      </c>
      <c r="T38" s="130" t="e">
        <f t="shared" si="30"/>
        <v>#DIV/0!</v>
      </c>
      <c r="U38" s="151" t="e">
        <f t="shared" si="31"/>
        <v>#DIV/0!</v>
      </c>
      <c r="V38" s="153" t="e">
        <f t="shared" si="32"/>
        <v>#DIV/0!</v>
      </c>
      <c r="W38" s="156">
        <f t="shared" si="32"/>
        <v>1</v>
      </c>
      <c r="X38" s="153">
        <f t="shared" si="33"/>
        <v>0.78214452740731188</v>
      </c>
      <c r="Y38" s="156">
        <f t="shared" si="34"/>
        <v>0.78214452740731188</v>
      </c>
      <c r="Z38" s="109">
        <f>Z37/$Y$15</f>
        <v>15231.148275028894</v>
      </c>
      <c r="AA38" s="152">
        <f>Z38-$Z$14</f>
        <v>5531.1482750288942</v>
      </c>
      <c r="AB38" s="130">
        <f>Z38-Z37</f>
        <v>2126.8930786414076</v>
      </c>
    </row>
    <row r="39" spans="1:28" x14ac:dyDescent="0.35">
      <c r="A39" s="144">
        <v>10</v>
      </c>
      <c r="B39" s="145" t="s">
        <v>445</v>
      </c>
      <c r="C39" s="155">
        <v>0.27</v>
      </c>
      <c r="E39" s="147">
        <f t="shared" si="22"/>
        <v>15584.489505514053</v>
      </c>
      <c r="F39" s="148">
        <f t="shared" si="35"/>
        <v>270</v>
      </c>
      <c r="G39" s="149">
        <f t="shared" si="23"/>
        <v>0.28723404255319152</v>
      </c>
      <c r="H39" s="149" t="e">
        <f t="shared" si="24"/>
        <v>#DIV/0!</v>
      </c>
      <c r="I39" s="148" t="e">
        <f t="shared" si="25"/>
        <v>#DIV/0!</v>
      </c>
      <c r="J39" s="150">
        <f t="shared" si="26"/>
        <v>2645.3900709219861</v>
      </c>
      <c r="K39" s="148">
        <f t="shared" si="36"/>
        <v>18229.87957643604</v>
      </c>
      <c r="L39" s="148">
        <f t="shared" si="27"/>
        <v>17800</v>
      </c>
      <c r="M39" s="148">
        <f t="shared" si="37"/>
        <v>-429.87957643604022</v>
      </c>
      <c r="N39" s="148">
        <f t="shared" si="38"/>
        <v>18229.87957643604</v>
      </c>
      <c r="O39" s="147">
        <f t="shared" si="39"/>
        <v>17800</v>
      </c>
      <c r="P39" s="130">
        <f t="shared" si="28"/>
        <v>-429.87957643604022</v>
      </c>
      <c r="Q39" s="151">
        <f t="shared" si="40"/>
        <v>-2.7583808650513811E-2</v>
      </c>
      <c r="R39" s="109" t="e">
        <f t="shared" si="29"/>
        <v>#DIV/0!</v>
      </c>
      <c r="S39" s="152">
        <f>'[7]BOM (Long)'!$P$13</f>
        <v>10152.235965746908</v>
      </c>
      <c r="T39" s="130" t="e">
        <f t="shared" si="30"/>
        <v>#DIV/0!</v>
      </c>
      <c r="U39" s="151" t="e">
        <f t="shared" si="31"/>
        <v>#DIV/0!</v>
      </c>
      <c r="V39" s="153" t="e">
        <f t="shared" si="32"/>
        <v>#DIV/0!</v>
      </c>
      <c r="W39" s="153">
        <f t="shared" si="32"/>
        <v>1.0999999999999999</v>
      </c>
      <c r="X39" s="153">
        <f t="shared" si="33"/>
        <v>0.86035898014804302</v>
      </c>
      <c r="Y39" s="153">
        <f t="shared" si="34"/>
        <v>0.86035898014804302</v>
      </c>
      <c r="Z39" s="109">
        <f>Z38/$Y$15</f>
        <v>17703.247861035921</v>
      </c>
      <c r="AA39" s="152">
        <f>Z39-$Z$14</f>
        <v>8003.2478610359212</v>
      </c>
      <c r="AB39" s="130">
        <f>Z39-Z38</f>
        <v>2472.099586007027</v>
      </c>
    </row>
    <row r="40" spans="1:28" x14ac:dyDescent="0.35">
      <c r="A40" s="144">
        <v>11</v>
      </c>
      <c r="B40" s="145" t="s">
        <v>446</v>
      </c>
      <c r="C40" s="155">
        <v>0.01</v>
      </c>
      <c r="E40" s="147" t="e">
        <f t="shared" si="22"/>
        <v>#DIV/0!</v>
      </c>
      <c r="F40" s="148">
        <f t="shared" si="35"/>
        <v>10</v>
      </c>
      <c r="G40" s="149">
        <f t="shared" si="23"/>
        <v>1.0638297872340427E-2</v>
      </c>
      <c r="H40" s="149" t="e">
        <f t="shared" si="24"/>
        <v>#DIV/0!</v>
      </c>
      <c r="I40" s="148" t="e">
        <f t="shared" si="25"/>
        <v>#DIV/0!</v>
      </c>
      <c r="J40" s="150">
        <f t="shared" si="26"/>
        <v>2645.3900709219861</v>
      </c>
      <c r="K40" s="148" t="e">
        <f t="shared" si="36"/>
        <v>#DIV/0!</v>
      </c>
      <c r="L40" s="148">
        <f t="shared" si="27"/>
        <v>10800</v>
      </c>
      <c r="M40" s="148" t="e">
        <f t="shared" si="37"/>
        <v>#DIV/0!</v>
      </c>
      <c r="N40" s="148" t="e">
        <f t="shared" si="38"/>
        <v>#DIV/0!</v>
      </c>
      <c r="O40" s="147">
        <f t="shared" si="39"/>
        <v>10800</v>
      </c>
      <c r="P40" s="130" t="e">
        <f t="shared" si="28"/>
        <v>#DIV/0!</v>
      </c>
      <c r="Q40" s="151" t="e">
        <f>P40/E40</f>
        <v>#DIV/0!</v>
      </c>
      <c r="R40" s="109" t="e">
        <f t="shared" si="29"/>
        <v>#DIV/0!</v>
      </c>
      <c r="S40" s="152">
        <f>'[7]BOM (Long)'!$P$14</f>
        <v>5537.5832540437677</v>
      </c>
      <c r="T40" s="130" t="e">
        <f t="shared" si="30"/>
        <v>#DIV/0!</v>
      </c>
      <c r="U40" s="151" t="e">
        <f t="shared" si="31"/>
        <v>#DIV/0!</v>
      </c>
      <c r="V40" s="153" t="e">
        <f t="shared" si="32"/>
        <v>#DIV/0!</v>
      </c>
      <c r="W40" s="157">
        <f t="shared" si="32"/>
        <v>0.6</v>
      </c>
      <c r="X40" s="153">
        <f t="shared" si="33"/>
        <v>0.46928671644438708</v>
      </c>
      <c r="Y40" s="157">
        <f t="shared" si="34"/>
        <v>0.46928671644438708</v>
      </c>
      <c r="Z40" s="109">
        <f>Z39/$Y$15</f>
        <v>20576.582879380996</v>
      </c>
      <c r="AA40" s="152">
        <f>Z40-$Z$14</f>
        <v>10876.582879380996</v>
      </c>
      <c r="AB40" s="130">
        <f>Z40-Z39</f>
        <v>2873.3350183450748</v>
      </c>
    </row>
    <row r="41" spans="1:28" x14ac:dyDescent="0.35">
      <c r="A41" s="144"/>
      <c r="B41" s="158"/>
      <c r="C41" s="159"/>
      <c r="E41" s="147"/>
      <c r="F41" s="160">
        <f t="shared" si="35"/>
        <v>0</v>
      </c>
      <c r="G41" s="160">
        <f>F41/1000/(1-$C$8)</f>
        <v>0</v>
      </c>
      <c r="H41" s="160">
        <f>E41*G41/SUMPRODUCT($E$14:$E$20,$G$14:$G$20)</f>
        <v>0</v>
      </c>
      <c r="I41" s="160">
        <f>$C$6*H41</f>
        <v>0</v>
      </c>
      <c r="J41" s="160">
        <f>($C$7+$C$10)*H41</f>
        <v>0</v>
      </c>
      <c r="K41" s="160">
        <f>I41+J41</f>
        <v>0</v>
      </c>
      <c r="L41" s="160">
        <f>E41*G41</f>
        <v>0</v>
      </c>
      <c r="M41" s="160">
        <f t="shared" si="37"/>
        <v>0</v>
      </c>
      <c r="N41" s="160" t="e">
        <f>K41/(F41/(1-$C$8))*1000</f>
        <v>#DIV/0!</v>
      </c>
      <c r="O41" s="160"/>
      <c r="P41" s="160" t="e">
        <f t="shared" si="28"/>
        <v>#DIV/0!</v>
      </c>
      <c r="Q41" s="161" t="e">
        <f t="shared" si="40"/>
        <v>#DIV/0!</v>
      </c>
    </row>
    <row r="42" spans="1:28" ht="29" x14ac:dyDescent="0.35">
      <c r="A42" s="75"/>
      <c r="B42" s="162" t="s">
        <v>431</v>
      </c>
      <c r="C42" s="163">
        <f>SUM(C35:C41)</f>
        <v>0.89000000000000012</v>
      </c>
      <c r="D42" s="75"/>
      <c r="E42" s="75"/>
      <c r="F42" s="164">
        <f>SUM(F35:F41)</f>
        <v>890</v>
      </c>
      <c r="G42" s="78">
        <f t="shared" ref="G42:M42" si="41">SUM(G35:G41)</f>
        <v>0.94680851063829796</v>
      </c>
      <c r="H42" s="78" t="e">
        <f t="shared" si="41"/>
        <v>#DIV/0!</v>
      </c>
      <c r="I42" s="165" t="e">
        <f t="shared" si="41"/>
        <v>#DIV/0!</v>
      </c>
      <c r="J42" s="165">
        <f t="shared" si="41"/>
        <v>15872.340425531915</v>
      </c>
      <c r="K42" s="164" t="e">
        <f>SUM(K35:K41)</f>
        <v>#DIV/0!</v>
      </c>
      <c r="L42" s="164">
        <f>SUM(L35:L41)</f>
        <v>98300</v>
      </c>
      <c r="M42" s="164" t="e">
        <f t="shared" si="41"/>
        <v>#DIV/0!</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5"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A0C1-D07B-4B42-A70C-DC523F9B3E81}">
  <sheetPr>
    <tabColor rgb="FF00B0F0"/>
  </sheetPr>
  <dimension ref="B3:AX23"/>
  <sheetViews>
    <sheetView zoomScale="85" zoomScaleNormal="85" workbookViewId="0">
      <pane xSplit="4" ySplit="4" topLeftCell="AH5" activePane="bottomRight" state="frozen"/>
      <selection pane="topRight" activeCell="E1" sqref="E1"/>
      <selection pane="bottomLeft" activeCell="A5" sqref="A5"/>
      <selection pane="bottomRight" activeCell="AX9" sqref="AX9"/>
    </sheetView>
  </sheetViews>
  <sheetFormatPr defaultRowHeight="14.5" x14ac:dyDescent="0.35"/>
  <cols>
    <col min="1" max="1" width="3.453125" customWidth="1"/>
    <col min="2" max="2" width="8.1796875" customWidth="1"/>
    <col min="3" max="3" width="7" bestFit="1" customWidth="1"/>
    <col min="4" max="4" width="8.7265625" customWidth="1"/>
    <col min="5" max="5" width="9.1796875" bestFit="1" customWidth="1"/>
    <col min="6" max="6" width="9.08984375" bestFit="1" customWidth="1"/>
    <col min="7" max="8" width="8.08984375" bestFit="1" customWidth="1"/>
    <col min="9" max="9" width="8.7265625" bestFit="1" customWidth="1"/>
    <col min="10" max="10" width="7.6328125" customWidth="1"/>
    <col min="20" max="20" width="7.453125" customWidth="1"/>
    <col min="30" max="30" width="12.08984375" customWidth="1"/>
    <col min="31" max="31" width="8.36328125" bestFit="1" customWidth="1"/>
    <col min="32" max="33" width="6.36328125" bestFit="1" customWidth="1"/>
    <col min="34" max="34" width="8" bestFit="1" customWidth="1"/>
    <col min="35" max="35" width="7.26953125" bestFit="1" customWidth="1"/>
    <col min="36" max="36" width="8.08984375" bestFit="1" customWidth="1"/>
    <col min="37" max="37" width="7.26953125" bestFit="1" customWidth="1"/>
    <col min="38" max="38" width="8.453125" customWidth="1"/>
    <col min="39" max="39" width="7.26953125" bestFit="1" customWidth="1"/>
    <col min="40" max="40" width="8.08984375" bestFit="1" customWidth="1"/>
    <col min="41" max="41" width="7.26953125" bestFit="1" customWidth="1"/>
    <col min="42" max="42" width="8.08984375" bestFit="1" customWidth="1"/>
    <col min="43" max="43" width="7.26953125" bestFit="1" customWidth="1"/>
    <col min="44" max="44" width="8.08984375" bestFit="1" customWidth="1"/>
    <col min="45" max="45" width="7.26953125" bestFit="1" customWidth="1"/>
    <col min="46" max="46" width="8.08984375" bestFit="1" customWidth="1"/>
    <col min="47" max="47" width="7.26953125" bestFit="1" customWidth="1"/>
    <col min="48" max="48" width="8.08984375" bestFit="1" customWidth="1"/>
    <col min="49" max="49" width="7.26953125" bestFit="1" customWidth="1"/>
    <col min="50" max="50" width="8.08984375" bestFit="1" customWidth="1"/>
  </cols>
  <sheetData>
    <row r="3" spans="2:50" s="2" customFormat="1" ht="28.5" customHeight="1" x14ac:dyDescent="0.35">
      <c r="B3" s="665" t="s">
        <v>807</v>
      </c>
      <c r="C3" s="2" t="s">
        <v>650</v>
      </c>
      <c r="D3" s="1135" t="s">
        <v>658</v>
      </c>
      <c r="E3" s="1135"/>
      <c r="F3" s="1135"/>
      <c r="G3" s="1135"/>
      <c r="H3" s="1135"/>
      <c r="I3" s="1135"/>
      <c r="J3" s="1135" t="s">
        <v>815</v>
      </c>
      <c r="K3" s="1135"/>
      <c r="L3" s="1135"/>
      <c r="M3" s="1135"/>
      <c r="N3" s="1135"/>
      <c r="O3" s="1135"/>
      <c r="P3" s="1135"/>
      <c r="Q3" s="1135"/>
      <c r="R3" s="1135"/>
      <c r="S3" s="1135"/>
      <c r="T3" s="1135" t="s">
        <v>816</v>
      </c>
      <c r="U3" s="1135"/>
      <c r="V3" s="1135"/>
      <c r="W3" s="1135"/>
      <c r="X3" s="1135"/>
      <c r="Y3" s="1135"/>
      <c r="Z3" s="1135"/>
      <c r="AA3" s="1135"/>
      <c r="AB3" s="1135"/>
      <c r="AC3" s="1135"/>
      <c r="AD3" s="1135" t="s">
        <v>840</v>
      </c>
      <c r="AE3" s="1135"/>
      <c r="AF3" s="1135"/>
      <c r="AG3" s="1135"/>
      <c r="AH3" s="1135"/>
      <c r="AI3" s="1135"/>
      <c r="AJ3" s="1135"/>
      <c r="AK3" s="1135"/>
      <c r="AL3" s="1135"/>
      <c r="AM3" s="1135"/>
      <c r="AN3" s="1135"/>
      <c r="AO3" s="1135"/>
      <c r="AP3" s="1135"/>
      <c r="AQ3" s="1135"/>
      <c r="AR3" s="1135"/>
      <c r="AS3" s="203"/>
    </row>
    <row r="4" spans="2:50" s="665" customFormat="1" ht="26.5" customHeight="1" x14ac:dyDescent="0.35">
      <c r="B4" s="667">
        <v>11300</v>
      </c>
      <c r="C4" s="667">
        <v>3000</v>
      </c>
      <c r="D4" s="667" t="s">
        <v>808</v>
      </c>
      <c r="E4" s="665" t="s">
        <v>806</v>
      </c>
      <c r="F4" s="665" t="s">
        <v>726</v>
      </c>
      <c r="G4" s="665" t="s">
        <v>389</v>
      </c>
      <c r="H4" s="665" t="s">
        <v>728</v>
      </c>
      <c r="I4" s="665" t="s">
        <v>390</v>
      </c>
      <c r="J4" s="1140" t="s">
        <v>806</v>
      </c>
      <c r="K4" s="1140"/>
      <c r="L4" s="1136" t="s">
        <v>726</v>
      </c>
      <c r="M4" s="1136"/>
      <c r="N4" s="1139" t="s">
        <v>389</v>
      </c>
      <c r="O4" s="1139"/>
      <c r="P4" s="1138" t="s">
        <v>728</v>
      </c>
      <c r="Q4" s="1138"/>
      <c r="R4" s="1137" t="s">
        <v>390</v>
      </c>
      <c r="S4" s="1137"/>
      <c r="T4" s="1140" t="s">
        <v>806</v>
      </c>
      <c r="U4" s="1140"/>
      <c r="V4" s="1136" t="s">
        <v>726</v>
      </c>
      <c r="W4" s="1136"/>
      <c r="X4" s="1139" t="s">
        <v>389</v>
      </c>
      <c r="Y4" s="1139"/>
      <c r="Z4" s="1138" t="s">
        <v>728</v>
      </c>
      <c r="AA4" s="1138"/>
      <c r="AB4" s="1137" t="s">
        <v>390</v>
      </c>
      <c r="AC4" s="1137"/>
      <c r="AD4" s="1134" t="s">
        <v>813</v>
      </c>
      <c r="AE4" s="1134"/>
      <c r="AF4" s="1134"/>
      <c r="AG4" s="1134"/>
      <c r="AH4" s="1134"/>
      <c r="AI4" s="1134" t="s">
        <v>556</v>
      </c>
      <c r="AJ4" s="1134"/>
      <c r="AK4" s="1134" t="s">
        <v>560</v>
      </c>
      <c r="AL4" s="1134"/>
      <c r="AM4" s="1134" t="s">
        <v>564</v>
      </c>
      <c r="AN4" s="1134"/>
      <c r="AO4" s="1134" t="s">
        <v>567</v>
      </c>
      <c r="AP4" s="1134"/>
      <c r="AQ4" s="1133" t="s">
        <v>545</v>
      </c>
      <c r="AR4" s="1133"/>
      <c r="AS4" s="1133" t="s">
        <v>546</v>
      </c>
      <c r="AT4" s="1133"/>
      <c r="AU4" s="1132" t="s">
        <v>683</v>
      </c>
      <c r="AV4" s="1132"/>
      <c r="AW4" s="1133" t="s">
        <v>371</v>
      </c>
      <c r="AX4" s="1133"/>
    </row>
    <row r="5" spans="2:50" s="203" customFormat="1" ht="26.5" customHeight="1" x14ac:dyDescent="0.35">
      <c r="B5" s="708"/>
      <c r="C5" s="708"/>
      <c r="D5" s="709"/>
      <c r="J5" s="674" t="s">
        <v>455</v>
      </c>
      <c r="K5" s="203" t="s">
        <v>372</v>
      </c>
      <c r="L5" s="674" t="s">
        <v>455</v>
      </c>
      <c r="M5" s="203" t="s">
        <v>372</v>
      </c>
      <c r="N5" s="674" t="s">
        <v>455</v>
      </c>
      <c r="O5" s="203" t="s">
        <v>372</v>
      </c>
      <c r="P5" s="674" t="s">
        <v>455</v>
      </c>
      <c r="Q5" s="203" t="s">
        <v>372</v>
      </c>
      <c r="R5" s="674" t="s">
        <v>455</v>
      </c>
      <c r="S5" s="203" t="s">
        <v>372</v>
      </c>
      <c r="T5" s="674" t="s">
        <v>455</v>
      </c>
      <c r="U5" s="203" t="s">
        <v>372</v>
      </c>
      <c r="V5" s="674" t="s">
        <v>455</v>
      </c>
      <c r="W5" s="203" t="s">
        <v>372</v>
      </c>
      <c r="X5" s="674" t="s">
        <v>455</v>
      </c>
      <c r="Y5" s="203" t="s">
        <v>372</v>
      </c>
      <c r="Z5" s="674" t="s">
        <v>455</v>
      </c>
      <c r="AA5" s="203" t="s">
        <v>372</v>
      </c>
      <c r="AB5" s="674" t="s">
        <v>455</v>
      </c>
      <c r="AC5" s="203" t="s">
        <v>372</v>
      </c>
      <c r="AD5" s="203" t="s">
        <v>814</v>
      </c>
      <c r="AE5" s="203" t="s">
        <v>810</v>
      </c>
      <c r="AF5" s="203" t="s">
        <v>811</v>
      </c>
      <c r="AG5" s="203" t="s">
        <v>812</v>
      </c>
      <c r="AH5" s="203" t="s">
        <v>499</v>
      </c>
      <c r="AI5" s="674" t="s">
        <v>455</v>
      </c>
      <c r="AJ5" s="203" t="s">
        <v>372</v>
      </c>
      <c r="AK5" s="674" t="s">
        <v>455</v>
      </c>
      <c r="AL5" s="203" t="s">
        <v>372</v>
      </c>
      <c r="AM5" s="674" t="s">
        <v>455</v>
      </c>
      <c r="AN5" s="203" t="s">
        <v>372</v>
      </c>
      <c r="AO5" s="674" t="s">
        <v>455</v>
      </c>
      <c r="AP5" s="203" t="s">
        <v>372</v>
      </c>
      <c r="AQ5" s="674" t="s">
        <v>455</v>
      </c>
      <c r="AR5" s="203" t="s">
        <v>372</v>
      </c>
      <c r="AS5" s="674" t="s">
        <v>455</v>
      </c>
      <c r="AT5" s="203" t="s">
        <v>372</v>
      </c>
      <c r="AU5" s="674" t="s">
        <v>455</v>
      </c>
      <c r="AV5" s="203" t="s">
        <v>372</v>
      </c>
      <c r="AW5" s="674" t="s">
        <v>455</v>
      </c>
      <c r="AX5" s="203" t="s">
        <v>372</v>
      </c>
    </row>
    <row r="6" spans="2:50" ht="14.5" customHeight="1" x14ac:dyDescent="0.35">
      <c r="B6" s="130"/>
      <c r="C6" s="130"/>
      <c r="D6" s="69">
        <v>7.0000000000000007E-2</v>
      </c>
      <c r="E6" s="109">
        <f t="shared" ref="E6:I8" si="0">E$9/$D$9*$D6</f>
        <v>11608.89363215939</v>
      </c>
      <c r="F6" s="109">
        <f t="shared" si="0"/>
        <v>10540.590537175382</v>
      </c>
      <c r="G6" s="109">
        <f t="shared" si="0"/>
        <v>9472.2874421913912</v>
      </c>
      <c r="H6" s="109">
        <f t="shared" si="0"/>
        <v>9472.2874421913912</v>
      </c>
      <c r="I6" s="109">
        <f t="shared" si="0"/>
        <v>10540.590537175383</v>
      </c>
      <c r="J6" s="151">
        <f>J7+1%</f>
        <v>0.90140263745232785</v>
      </c>
      <c r="K6" s="109">
        <f t="shared" ref="K6:K8" si="1">$E$9/J6</f>
        <v>18398.142041274848</v>
      </c>
      <c r="L6" s="151">
        <f>L7+1%</f>
        <v>0.93930000000000002</v>
      </c>
      <c r="M6" s="109">
        <f t="shared" ref="M6:M8" si="2">$F$9/L6</f>
        <v>16031.072587755898</v>
      </c>
      <c r="N6" s="151">
        <f>N7+1%</f>
        <v>0.90300000000000002</v>
      </c>
      <c r="O6" s="109">
        <f t="shared" ref="O6:O7" si="3">G6/N6</f>
        <v>10489.797831884154</v>
      </c>
      <c r="P6" s="151">
        <f>P7+1%</f>
        <v>0.92880000000000007</v>
      </c>
      <c r="Q6" s="109">
        <f t="shared" ref="Q6:Q8" si="4">$H$9/P6</f>
        <v>14569.163655394657</v>
      </c>
      <c r="R6" s="151">
        <f>R7+1%</f>
        <v>0.87436654203297837</v>
      </c>
      <c r="S6" s="109">
        <f t="shared" ref="S6:S8" si="5">$I$9/R6</f>
        <v>17221.595015138606</v>
      </c>
      <c r="T6" s="151">
        <f>T7+1%</f>
        <v>0.95743291411661846</v>
      </c>
      <c r="U6" s="109">
        <f t="shared" ref="U6:U8" si="6">$K$9/T6</f>
        <v>19877.67421738584</v>
      </c>
      <c r="V6" s="151">
        <f>V7+1%</f>
        <v>0.97030000000000005</v>
      </c>
      <c r="W6" s="109">
        <f t="shared" ref="W6:W8" si="7">$M$9/V6</f>
        <v>17066.862140873862</v>
      </c>
      <c r="X6" s="151">
        <f>X7+1%</f>
        <v>0.91600000000000004</v>
      </c>
      <c r="Y6" s="109">
        <f t="shared" ref="Y6:Y8" si="8">$O$9/X6</f>
        <v>16921.821559860542</v>
      </c>
      <c r="Z6" s="151">
        <f>Z7+1%</f>
        <v>0.94300000000000006</v>
      </c>
      <c r="AA6" s="109">
        <f t="shared" ref="AA6:AA8" si="9">$Q$9/Z6</f>
        <v>15965.483379430565</v>
      </c>
      <c r="AB6" s="151">
        <f>AB7+1%</f>
        <v>0.95119999999999993</v>
      </c>
      <c r="AC6" s="109">
        <f t="shared" ref="AC6:AC8" si="10">$S$9/AB6</f>
        <v>18748.392856789422</v>
      </c>
      <c r="AD6" s="109"/>
      <c r="AE6" s="109"/>
      <c r="AF6" s="109"/>
      <c r="AG6" s="109"/>
      <c r="AH6" s="109"/>
      <c r="AJ6" s="109">
        <f>'H_Tỷ lệ HH&amp;PS (-PS)'!AF5</f>
        <v>0</v>
      </c>
      <c r="AK6" s="109"/>
      <c r="AL6" s="109">
        <f>'H_Tỷ lệ HH&amp;PS (-PS)'!AF41</f>
        <v>0</v>
      </c>
      <c r="AM6" s="109"/>
      <c r="AN6" s="109">
        <f>'H_Tỷ lệ HH&amp;PS (-PS)'!AF69</f>
        <v>0</v>
      </c>
      <c r="AO6" s="109"/>
      <c r="AP6" s="109">
        <f>'H_Tỷ lệ HH&amp;PS (-PS)'!AF94</f>
        <v>0</v>
      </c>
      <c r="AQ6" s="109"/>
      <c r="AR6" s="109">
        <f>'H_Tỷ lệ HH&amp;PS (-PS)'!AF123</f>
        <v>0</v>
      </c>
      <c r="AS6" s="109"/>
    </row>
    <row r="7" spans="2:50" x14ac:dyDescent="0.35">
      <c r="B7" s="130"/>
      <c r="C7" s="130"/>
      <c r="D7" s="69">
        <f>D6+1%</f>
        <v>0.08</v>
      </c>
      <c r="E7" s="109">
        <f t="shared" si="0"/>
        <v>13267.307008182161</v>
      </c>
      <c r="F7" s="109">
        <f t="shared" si="0"/>
        <v>12046.389185343292</v>
      </c>
      <c r="G7" s="109">
        <f t="shared" si="0"/>
        <v>10825.471362504448</v>
      </c>
      <c r="H7" s="109">
        <f t="shared" si="0"/>
        <v>10825.471362504448</v>
      </c>
      <c r="I7" s="109">
        <f t="shared" si="0"/>
        <v>12046.389185343294</v>
      </c>
      <c r="J7" s="151">
        <f>J8+1%</f>
        <v>0.89140263745232784</v>
      </c>
      <c r="K7" s="109">
        <f t="shared" si="1"/>
        <v>18604.53745977908</v>
      </c>
      <c r="L7" s="151">
        <f>L8+1%</f>
        <v>0.92930000000000001</v>
      </c>
      <c r="M7" s="109">
        <f t="shared" si="2"/>
        <v>16203.579556310251</v>
      </c>
      <c r="N7" s="151">
        <f>N8+1%</f>
        <v>0.89300000000000002</v>
      </c>
      <c r="O7" s="109">
        <f t="shared" si="3"/>
        <v>12122.588311875081</v>
      </c>
      <c r="P7" s="151">
        <f>P8+1%</f>
        <v>0.91880000000000006</v>
      </c>
      <c r="Q7" s="109">
        <f t="shared" si="4"/>
        <v>14727.730956824726</v>
      </c>
      <c r="R7" s="151">
        <f>R8+1%</f>
        <v>0.86436654203297836</v>
      </c>
      <c r="S7" s="109">
        <f t="shared" si="5"/>
        <v>17420.834506461739</v>
      </c>
      <c r="T7" s="151">
        <f>T8+1%</f>
        <v>0.94743291411661845</v>
      </c>
      <c r="U7" s="109">
        <f t="shared" si="6"/>
        <v>20087.479829173346</v>
      </c>
      <c r="V7" s="151">
        <f>V8+1%</f>
        <v>0.96030000000000004</v>
      </c>
      <c r="W7" s="109">
        <f t="shared" si="7"/>
        <v>17244.586416005321</v>
      </c>
      <c r="X7" s="151">
        <f>X8+1%</f>
        <v>0.90600000000000003</v>
      </c>
      <c r="Y7" s="109">
        <f t="shared" si="8"/>
        <v>17108.596632265184</v>
      </c>
      <c r="Z7" s="151">
        <f>Z8+1%</f>
        <v>0.93300000000000005</v>
      </c>
      <c r="AA7" s="109">
        <f t="shared" si="9"/>
        <v>16136.603244161868</v>
      </c>
      <c r="AB7" s="151">
        <f>AB8+1%</f>
        <v>0.94119999999999993</v>
      </c>
      <c r="AC7" s="109">
        <f t="shared" si="10"/>
        <v>18947.589550975455</v>
      </c>
      <c r="AD7" s="109"/>
      <c r="AE7" s="109"/>
      <c r="AF7" s="109"/>
      <c r="AG7" s="109"/>
      <c r="AH7" s="109"/>
      <c r="AJ7" s="109">
        <f>'H_Tỷ lệ HH&amp;PS (-PS)'!AF5</f>
        <v>0</v>
      </c>
      <c r="AK7" s="109"/>
      <c r="AL7" s="109">
        <f>'H_Tỷ lệ HH&amp;PS (-PS)'!AF41</f>
        <v>0</v>
      </c>
      <c r="AM7" s="109"/>
      <c r="AN7" s="109">
        <f>'H_Tỷ lệ HH&amp;PS (-PS)'!AF69</f>
        <v>0</v>
      </c>
      <c r="AO7" s="109"/>
      <c r="AP7" s="109">
        <f>'H_Tỷ lệ HH&amp;PS (-PS)'!AF94</f>
        <v>0</v>
      </c>
      <c r="AQ7" s="109"/>
      <c r="AR7" s="109">
        <f>'H_Tỷ lệ HH&amp;PS (-PS)'!AF123</f>
        <v>0</v>
      </c>
      <c r="AS7" s="109"/>
    </row>
    <row r="8" spans="2:50" x14ac:dyDescent="0.35">
      <c r="B8" s="130"/>
      <c r="C8" s="130"/>
      <c r="D8" s="69">
        <f t="shared" ref="D8:D12" si="11">D7+1%</f>
        <v>0.09</v>
      </c>
      <c r="E8" s="109">
        <f t="shared" si="0"/>
        <v>14925.720384204929</v>
      </c>
      <c r="F8" s="109">
        <f t="shared" si="0"/>
        <v>13552.187833511203</v>
      </c>
      <c r="G8" s="109">
        <f t="shared" si="0"/>
        <v>12178.655282817503</v>
      </c>
      <c r="H8" s="109">
        <f t="shared" si="0"/>
        <v>12178.655282817503</v>
      </c>
      <c r="I8" s="109">
        <f t="shared" si="0"/>
        <v>13552.187833511205</v>
      </c>
      <c r="J8" s="151">
        <f>J9+1%</f>
        <v>0.88140263745232783</v>
      </c>
      <c r="K8" s="109">
        <f t="shared" si="1"/>
        <v>18815.616218444415</v>
      </c>
      <c r="L8" s="151">
        <f>L9+1%</f>
        <v>0.91930000000000001</v>
      </c>
      <c r="M8" s="109">
        <f t="shared" si="2"/>
        <v>16379.839531903748</v>
      </c>
      <c r="N8" s="151">
        <f>N9+1%</f>
        <v>0.88300000000000001</v>
      </c>
      <c r="O8" s="109">
        <f>G8/N8</f>
        <v>13792.361588694794</v>
      </c>
      <c r="P8" s="151">
        <f>P9+1%</f>
        <v>0.90880000000000005</v>
      </c>
      <c r="Q8" s="109">
        <f t="shared" si="4"/>
        <v>14889.787855557393</v>
      </c>
      <c r="R8" s="151">
        <f>R9+1%</f>
        <v>0.85436654203297835</v>
      </c>
      <c r="S8" s="109">
        <f t="shared" si="5"/>
        <v>17624.738026197057</v>
      </c>
      <c r="T8" s="151">
        <f>T9+1%</f>
        <v>0.93743291411661844</v>
      </c>
      <c r="U8" s="109">
        <f t="shared" si="6"/>
        <v>20301.76161431957</v>
      </c>
      <c r="V8" s="151">
        <f>V9+1%</f>
        <v>0.95030000000000003</v>
      </c>
      <c r="W8" s="109">
        <f t="shared" si="7"/>
        <v>17426.051073650331</v>
      </c>
      <c r="X8" s="151">
        <f>X9+1%</f>
        <v>0.89600000000000002</v>
      </c>
      <c r="Y8" s="109">
        <f t="shared" si="8"/>
        <v>17299.540791107429</v>
      </c>
      <c r="Z8" s="151">
        <f>Z9+1%</f>
        <v>0.92300000000000004</v>
      </c>
      <c r="AA8" s="109">
        <f t="shared" si="9"/>
        <v>16311.431014954522</v>
      </c>
      <c r="AB8" s="151">
        <f>AB9+1%</f>
        <v>0.93119999999999992</v>
      </c>
      <c r="AC8" s="109">
        <f t="shared" si="10"/>
        <v>19151.064524675796</v>
      </c>
      <c r="AD8" s="109"/>
      <c r="AE8" s="109"/>
      <c r="AF8" s="109"/>
      <c r="AG8" s="109"/>
      <c r="AH8" s="109"/>
      <c r="AJ8" s="109">
        <f>'H_Tỷ lệ HH&amp;PS (-PS)'!AF5</f>
        <v>0</v>
      </c>
      <c r="AK8" s="109"/>
      <c r="AL8" s="109">
        <f>'H_Tỷ lệ HH&amp;PS (-PS)'!AF41</f>
        <v>0</v>
      </c>
      <c r="AM8" s="109"/>
      <c r="AN8" s="109">
        <f>'H_Tỷ lệ HH&amp;PS (-PS)'!AF69</f>
        <v>0</v>
      </c>
      <c r="AO8" s="109"/>
      <c r="AP8" s="109">
        <f>'H_Tỷ lệ HH&amp;PS (-PS)'!AF94</f>
        <v>0</v>
      </c>
      <c r="AQ8" s="109"/>
      <c r="AR8" s="109">
        <f>'H_Tỷ lệ HH&amp;PS (-PS)'!AF123</f>
        <v>0</v>
      </c>
      <c r="AS8" s="109"/>
    </row>
    <row r="9" spans="2:50" s="181" customFormat="1" x14ac:dyDescent="0.35">
      <c r="B9" s="183"/>
      <c r="C9" s="183"/>
      <c r="D9" s="883">
        <v>0.1</v>
      </c>
      <c r="E9" s="182">
        <v>16584.133760227702</v>
      </c>
      <c r="F9" s="147">
        <v>15057.986481679116</v>
      </c>
      <c r="G9" s="147">
        <v>13531.839203130559</v>
      </c>
      <c r="H9" s="147">
        <v>13531.839203130559</v>
      </c>
      <c r="I9" s="147">
        <v>15057.98648167912</v>
      </c>
      <c r="J9" s="884">
        <f>'H_Tỷ lệ HH&amp;PS (-PS)'!Z6</f>
        <v>0.87140263745232782</v>
      </c>
      <c r="K9" s="147">
        <f>$E$9/J9</f>
        <v>19031.539551812497</v>
      </c>
      <c r="L9" s="884">
        <f>'H_Tỷ lệ HH&amp;PS (-PS)'!Z42</f>
        <v>0.9093</v>
      </c>
      <c r="M9" s="147">
        <f>$F$9/L9</f>
        <v>16559.97633528991</v>
      </c>
      <c r="N9" s="884">
        <f>'H_Tỷ lệ HH&amp;PS (-PS)'!Z71</f>
        <v>0.873</v>
      </c>
      <c r="O9" s="147">
        <f>G9/N9</f>
        <v>15500.388548832256</v>
      </c>
      <c r="P9" s="884">
        <f>'H_Tỷ lệ HH&amp;PS (-PS)'!Z95</f>
        <v>0.89880000000000004</v>
      </c>
      <c r="Q9" s="147">
        <f>$H$9/P9</f>
        <v>15055.450826803024</v>
      </c>
      <c r="R9" s="884">
        <f>'H_Tỷ lệ HH&amp;PS (-PS)'!Z124</f>
        <v>0.84436654203297834</v>
      </c>
      <c r="S9" s="147">
        <f>$I$9/R9</f>
        <v>17833.471285378098</v>
      </c>
      <c r="T9" s="884">
        <f>'H_Tỷ lệ HH&amp;PS (-PS)'!AH6</f>
        <v>0.92743291411661843</v>
      </c>
      <c r="U9" s="182">
        <f>$K$9/T9</f>
        <v>20520.664365184919</v>
      </c>
      <c r="V9" s="884">
        <f>'H_Tỷ lệ HH&amp;PS (-PS)'!AH42</f>
        <v>0.94030000000000002</v>
      </c>
      <c r="W9" s="147">
        <f>$M$9/V9</f>
        <v>17611.375449633</v>
      </c>
      <c r="X9" s="666">
        <f>'H_Tỷ lệ HH&amp;PS (-PS)'!AH71</f>
        <v>0.88600000000000001</v>
      </c>
      <c r="Y9" s="147">
        <f>$O$9/X9</f>
        <v>17494.795201842277</v>
      </c>
      <c r="Z9" s="666">
        <f>'H_Tỷ lệ HH&amp;PS (-PS)'!AH95</f>
        <v>0.91300000000000003</v>
      </c>
      <c r="AA9" s="147">
        <f>$Q$9/Z9</f>
        <v>16490.088528809447</v>
      </c>
      <c r="AB9" s="666">
        <f>'H_Tỷ lệ HH&amp;PS (-PS)'!AH124</f>
        <v>0.92119999999999991</v>
      </c>
      <c r="AC9" s="182">
        <f>$S$9/AB9</f>
        <v>19358.957105273665</v>
      </c>
      <c r="AD9" s="157">
        <v>1</v>
      </c>
      <c r="AE9" s="147"/>
      <c r="AF9" s="147"/>
      <c r="AG9" s="147"/>
      <c r="AH9" s="147"/>
      <c r="AI9" s="666">
        <f>'H_Tỷ lệ HH&amp;PS (-PS)'!BA6</f>
        <v>0.96300000000000008</v>
      </c>
      <c r="AJ9" s="147">
        <f>'H_Tỷ lệ HH&amp;PS (-PS)'!AZ7</f>
        <v>22664.433212383396</v>
      </c>
      <c r="AK9" s="666">
        <f>'H_Tỷ lệ HH&amp;PS (-PS)'!BA46</f>
        <v>0.95235331388965472</v>
      </c>
      <c r="AL9" s="147">
        <f>'H_Tỷ lệ HH&amp;PS (-PS)'!AZ46</f>
        <v>21698.232519324225</v>
      </c>
      <c r="AM9" s="666">
        <f>'H_Tỷ lệ HH&amp;PS (-PS)'!BA104</f>
        <v>0.95300000000000007</v>
      </c>
      <c r="AN9" s="147">
        <f>'H_Tỷ lệ HH&amp;PS (-PS)'!AZ104</f>
        <v>22285.592982391736</v>
      </c>
      <c r="AO9" s="666">
        <f>'H_Tỷ lệ HH&amp;PS (-PS)'!BA210</f>
        <v>0.95058803508799916</v>
      </c>
      <c r="AP9" s="147">
        <f>'H_Tỷ lệ HH&amp;PS (-PS)'!AZ210</f>
        <v>21171.357103758306</v>
      </c>
      <c r="AQ9" s="666">
        <f>'H_Tỷ lệ HH&amp;PS (-PS)'!BA274</f>
        <v>0.91399999999999992</v>
      </c>
      <c r="AR9" s="147">
        <f>'H_Tỷ lệ HH&amp;PS (-PS)'!AZ274</f>
        <v>22018.860776157508</v>
      </c>
      <c r="AS9" s="666">
        <f>'H_Tỷ lệ HH&amp;PS (-PS)'!BA305</f>
        <v>0.95058803508799916</v>
      </c>
      <c r="AT9" s="147">
        <f>'H_Tỷ lệ HH&amp;PS (-PS)'!AZ305</f>
        <v>21962.69195816743</v>
      </c>
      <c r="AU9" s="666">
        <f>'H_Tỷ lệ HH&amp;PS (-PS)'!BA305</f>
        <v>0.95058803508799916</v>
      </c>
      <c r="AV9" s="147">
        <f>'H_Tỷ lệ HH&amp;PS (-PS)'!AZ305</f>
        <v>21962.69195816743</v>
      </c>
      <c r="AW9" s="666">
        <f>'H_Tỷ lệ HH&amp;PS (-PS)'!BA337</f>
        <v>0.89300000000000002</v>
      </c>
      <c r="AX9" s="147">
        <f>'H_Tỷ lệ HH&amp;PS (-PS)'!AZ337</f>
        <v>8613.6618141097424</v>
      </c>
    </row>
    <row r="10" spans="2:50" x14ac:dyDescent="0.35">
      <c r="B10" s="130"/>
      <c r="C10" s="130"/>
      <c r="D10" s="69">
        <f t="shared" si="11"/>
        <v>0.11</v>
      </c>
      <c r="E10" s="109">
        <f>E$9/$D$9*$D10</f>
        <v>18242.547136250469</v>
      </c>
      <c r="F10" s="109">
        <f>F$9/$D$9*$D10</f>
        <v>16563.785129847027</v>
      </c>
      <c r="G10" s="109">
        <f t="shared" ref="G10:I12" si="12">G$9/$D$9*$D10</f>
        <v>14885.023123443614</v>
      </c>
      <c r="H10" s="109">
        <f t="shared" si="12"/>
        <v>14885.023123443614</v>
      </c>
      <c r="I10" s="109">
        <f t="shared" si="12"/>
        <v>16563.78512984703</v>
      </c>
      <c r="J10" s="151">
        <f>J9-1%</f>
        <v>0.86140263745232781</v>
      </c>
      <c r="K10" s="109">
        <f t="shared" ref="K10:K12" si="13">$E$9/J10</f>
        <v>19252.476181494752</v>
      </c>
      <c r="L10" s="151">
        <f>L9-1%</f>
        <v>0.89929999999999999</v>
      </c>
      <c r="M10" s="109">
        <f t="shared" ref="M10:M12" si="14">$F$9/L10</f>
        <v>16744.119294650412</v>
      </c>
      <c r="N10" s="151">
        <f>N9-1%</f>
        <v>0.86299999999999999</v>
      </c>
      <c r="O10" s="109">
        <f t="shared" ref="O10:O12" si="15">G10/N10</f>
        <v>17247.998984291557</v>
      </c>
      <c r="P10" s="151">
        <f>P9-1%</f>
        <v>0.88880000000000003</v>
      </c>
      <c r="Q10" s="109">
        <f t="shared" ref="Q10:Q12" si="16">$H$9/P10</f>
        <v>15224.841587680647</v>
      </c>
      <c r="R10" s="151">
        <f>R9-1%</f>
        <v>0.83436654203297833</v>
      </c>
      <c r="S10" s="109">
        <f t="shared" ref="S10:S12" si="17">$I$9/R10</f>
        <v>18047.207939318298</v>
      </c>
      <c r="T10" s="151">
        <f>T9-1%</f>
        <v>0.91743291411661843</v>
      </c>
      <c r="U10" s="109">
        <f t="shared" ref="U10:U12" si="18">$K$9/T10</f>
        <v>20744.339187064881</v>
      </c>
      <c r="V10" s="151">
        <f>V9-1%</f>
        <v>0.93030000000000002</v>
      </c>
      <c r="W10" s="109">
        <f t="shared" ref="W10:W12" si="19">$M$9/V10</f>
        <v>17800.684010845867</v>
      </c>
      <c r="X10" s="151">
        <f>X9-1%</f>
        <v>0.876</v>
      </c>
      <c r="Y10" s="109">
        <f t="shared" ref="Y10:Y12" si="20">$O$9/X10</f>
        <v>17694.507475835908</v>
      </c>
      <c r="Z10" s="151">
        <f>Z9-1%</f>
        <v>0.90300000000000002</v>
      </c>
      <c r="AA10" s="109">
        <f t="shared" ref="AA10:AA12" si="21">$Q$9/Z10</f>
        <v>16672.70301971542</v>
      </c>
      <c r="AB10" s="151">
        <f>AB9-1%</f>
        <v>0.9111999999999999</v>
      </c>
      <c r="AC10" s="109">
        <f t="shared" ref="AC10:AC12" si="22">$S$9/AB10</f>
        <v>19571.412736367536</v>
      </c>
      <c r="AD10" s="109"/>
      <c r="AE10" s="109"/>
      <c r="AF10" s="109"/>
      <c r="AG10" s="109"/>
      <c r="AH10" s="109"/>
      <c r="AJ10" s="109">
        <f>'H_Tỷ lệ HH&amp;PS (-PS)'!AF5</f>
        <v>0</v>
      </c>
      <c r="AK10" s="109"/>
      <c r="AL10" s="109">
        <f>'H_Tỷ lệ HH&amp;PS (-PS)'!AF41</f>
        <v>0</v>
      </c>
      <c r="AM10" s="109"/>
      <c r="AN10" s="109">
        <f>'H_Tỷ lệ HH&amp;PS (-PS)'!AF69</f>
        <v>0</v>
      </c>
      <c r="AO10" s="109"/>
      <c r="AP10" s="109">
        <f>'H_Tỷ lệ HH&amp;PS (-PS)'!AF94</f>
        <v>0</v>
      </c>
      <c r="AQ10" s="109"/>
      <c r="AR10" s="109">
        <f>'H_Tỷ lệ HH&amp;PS (-PS)'!AF123</f>
        <v>0</v>
      </c>
      <c r="AS10" s="109"/>
    </row>
    <row r="11" spans="2:50" x14ac:dyDescent="0.35">
      <c r="B11" s="130"/>
      <c r="C11" s="130"/>
      <c r="D11" s="69">
        <f t="shared" si="11"/>
        <v>0.12</v>
      </c>
      <c r="E11" s="109">
        <f t="shared" ref="E11:F12" si="23">E$9/$D$9*$D11</f>
        <v>19900.960512273239</v>
      </c>
      <c r="F11" s="109">
        <f t="shared" si="23"/>
        <v>18069.583778014938</v>
      </c>
      <c r="G11" s="109">
        <f t="shared" si="12"/>
        <v>16238.207043756669</v>
      </c>
      <c r="H11" s="109">
        <f t="shared" si="12"/>
        <v>16238.207043756669</v>
      </c>
      <c r="I11" s="109">
        <f t="shared" si="12"/>
        <v>18069.583778014941</v>
      </c>
      <c r="J11" s="151">
        <f t="shared" ref="J11:J12" si="24">J10-1%</f>
        <v>0.8514026374523278</v>
      </c>
      <c r="K11" s="109">
        <f t="shared" si="13"/>
        <v>19478.602755862721</v>
      </c>
      <c r="L11" s="151">
        <f t="shared" ref="L11:L12" si="25">L10-1%</f>
        <v>0.88929999999999998</v>
      </c>
      <c r="M11" s="109">
        <f t="shared" si="14"/>
        <v>16932.403555244706</v>
      </c>
      <c r="N11" s="151">
        <f t="shared" ref="N11:N12" si="26">N10-1%</f>
        <v>0.85299999999999998</v>
      </c>
      <c r="O11" s="109">
        <f t="shared" si="15"/>
        <v>19036.585045435721</v>
      </c>
      <c r="P11" s="151">
        <f t="shared" ref="P11:P12" si="27">P10-1%</f>
        <v>0.87880000000000003</v>
      </c>
      <c r="Q11" s="109">
        <f t="shared" si="16"/>
        <v>15398.087395460354</v>
      </c>
      <c r="R11" s="151">
        <f t="shared" ref="R11:R12" si="28">R10-1%</f>
        <v>0.82436654203297832</v>
      </c>
      <c r="S11" s="109">
        <f t="shared" si="17"/>
        <v>18266.130069452447</v>
      </c>
      <c r="T11" s="151">
        <f t="shared" ref="T11:T12" si="29">T10-1%</f>
        <v>0.90743291411661842</v>
      </c>
      <c r="U11" s="109">
        <f t="shared" si="18"/>
        <v>20972.943846035836</v>
      </c>
      <c r="V11" s="151">
        <f t="shared" ref="V11:V12" si="30">V10-1%</f>
        <v>0.92030000000000001</v>
      </c>
      <c r="W11" s="109">
        <f t="shared" si="19"/>
        <v>17994.106634021417</v>
      </c>
      <c r="X11" s="151">
        <f t="shared" ref="X11:X12" si="31">X10-1%</f>
        <v>0.86599999999999999</v>
      </c>
      <c r="Y11" s="109">
        <f t="shared" si="20"/>
        <v>17898.832042531474</v>
      </c>
      <c r="Z11" s="151">
        <f t="shared" ref="Z11:Z12" si="32">Z10-1%</f>
        <v>0.89300000000000002</v>
      </c>
      <c r="AA11" s="109">
        <f t="shared" si="21"/>
        <v>16859.407420832053</v>
      </c>
      <c r="AB11" s="151">
        <f t="shared" ref="AB11:AB12" si="33">AB10-1%</f>
        <v>0.90119999999999989</v>
      </c>
      <c r="AC11" s="109">
        <f t="shared" si="22"/>
        <v>19788.583317108412</v>
      </c>
    </row>
    <row r="12" spans="2:50" x14ac:dyDescent="0.35">
      <c r="D12" s="69">
        <f t="shared" si="11"/>
        <v>0.13</v>
      </c>
      <c r="E12" s="109">
        <f t="shared" si="23"/>
        <v>21559.37388829601</v>
      </c>
      <c r="F12" s="109">
        <f t="shared" si="23"/>
        <v>19575.382426182849</v>
      </c>
      <c r="G12" s="109">
        <f t="shared" si="12"/>
        <v>17591.390964069727</v>
      </c>
      <c r="H12" s="109">
        <f t="shared" si="12"/>
        <v>17591.390964069727</v>
      </c>
      <c r="I12" s="109">
        <f t="shared" si="12"/>
        <v>19575.382426182852</v>
      </c>
      <c r="J12" s="151">
        <f t="shared" si="24"/>
        <v>0.8414026374523278</v>
      </c>
      <c r="K12" s="109">
        <f t="shared" si="13"/>
        <v>19710.10432109244</v>
      </c>
      <c r="L12" s="151">
        <f t="shared" si="25"/>
        <v>0.87929999999999997</v>
      </c>
      <c r="M12" s="109">
        <f t="shared" si="14"/>
        <v>17124.970410188918</v>
      </c>
      <c r="N12" s="151">
        <f t="shared" si="26"/>
        <v>0.84299999999999997</v>
      </c>
      <c r="O12" s="109">
        <f t="shared" si="15"/>
        <v>20867.604939584493</v>
      </c>
      <c r="P12" s="151">
        <f t="shared" si="27"/>
        <v>0.86880000000000002</v>
      </c>
      <c r="Q12" s="109">
        <f t="shared" si="16"/>
        <v>15575.321366402577</v>
      </c>
      <c r="R12" s="151">
        <f t="shared" si="28"/>
        <v>0.81436654203297831</v>
      </c>
      <c r="S12" s="109">
        <f t="shared" si="17"/>
        <v>18490.428700678785</v>
      </c>
      <c r="T12" s="151">
        <f t="shared" si="29"/>
        <v>0.89743291411661841</v>
      </c>
      <c r="U12" s="109">
        <f t="shared" si="18"/>
        <v>21206.643140056942</v>
      </c>
      <c r="V12" s="151">
        <f t="shared" si="30"/>
        <v>0.9103</v>
      </c>
      <c r="W12" s="109">
        <f t="shared" si="19"/>
        <v>18191.778902878072</v>
      </c>
      <c r="X12" s="151">
        <f t="shared" si="31"/>
        <v>0.85599999999999998</v>
      </c>
      <c r="Y12" s="109">
        <f t="shared" si="20"/>
        <v>18107.930547701235</v>
      </c>
      <c r="Z12" s="151">
        <f t="shared" si="32"/>
        <v>0.88300000000000001</v>
      </c>
      <c r="AA12" s="109">
        <f t="shared" si="21"/>
        <v>17050.340687206142</v>
      </c>
      <c r="AB12" s="151">
        <f t="shared" si="33"/>
        <v>0.89119999999999988</v>
      </c>
      <c r="AC12" s="109">
        <f t="shared" si="22"/>
        <v>20010.627564382969</v>
      </c>
    </row>
    <row r="13" spans="2:50" x14ac:dyDescent="0.35">
      <c r="D13" s="69">
        <f>D6+1%</f>
        <v>0.08</v>
      </c>
      <c r="E13" s="130">
        <f>E6-E7</f>
        <v>-1658.4133760227705</v>
      </c>
      <c r="F13" s="130">
        <f>F6-F7</f>
        <v>-1505.7986481679109</v>
      </c>
      <c r="G13" s="130">
        <f>G6-G7</f>
        <v>-1353.1839203130567</v>
      </c>
      <c r="H13" s="130">
        <f>H6-H7</f>
        <v>-1353.1839203130567</v>
      </c>
      <c r="I13" s="130">
        <f>I6-I7</f>
        <v>-1505.7986481679109</v>
      </c>
      <c r="K13" s="130">
        <f>K6-K7</f>
        <v>-206.3954185042312</v>
      </c>
      <c r="M13" s="130">
        <f>M6-M7</f>
        <v>-172.50696855435308</v>
      </c>
      <c r="O13" s="130">
        <f>O6-O7</f>
        <v>-1632.7904799909265</v>
      </c>
      <c r="Q13" s="130">
        <f>Q6-Q7</f>
        <v>-158.56730143006826</v>
      </c>
      <c r="S13" s="130">
        <f t="shared" ref="S13:AC13" si="34">S6-S7</f>
        <v>-199.23949132313282</v>
      </c>
      <c r="T13" s="130">
        <f t="shared" si="34"/>
        <v>1.0000000000000009E-2</v>
      </c>
      <c r="U13" s="130">
        <f t="shared" si="34"/>
        <v>-209.80561178750577</v>
      </c>
      <c r="V13" s="130">
        <f t="shared" si="34"/>
        <v>1.0000000000000009E-2</v>
      </c>
      <c r="W13" s="130">
        <f t="shared" si="34"/>
        <v>-177.72427513145885</v>
      </c>
      <c r="X13" s="130">
        <f t="shared" si="34"/>
        <v>1.0000000000000009E-2</v>
      </c>
      <c r="Y13" s="130">
        <f t="shared" si="34"/>
        <v>-186.77507240464183</v>
      </c>
      <c r="Z13" s="130">
        <f t="shared" si="34"/>
        <v>1.0000000000000009E-2</v>
      </c>
      <c r="AA13" s="130">
        <f t="shared" si="34"/>
        <v>-171.1198647313031</v>
      </c>
      <c r="AB13" s="130">
        <f t="shared" si="34"/>
        <v>1.0000000000000009E-2</v>
      </c>
      <c r="AC13" s="130">
        <f t="shared" si="34"/>
        <v>-199.19669418603371</v>
      </c>
    </row>
    <row r="14" spans="2:50" x14ac:dyDescent="0.35">
      <c r="D14" s="69">
        <f t="shared" ref="D14:D18" si="35">D13+1%</f>
        <v>0.09</v>
      </c>
      <c r="E14" s="130">
        <f t="shared" ref="E14:I14" si="36">E7-E8</f>
        <v>-1658.4133760227687</v>
      </c>
      <c r="F14" s="130">
        <f t="shared" si="36"/>
        <v>-1505.7986481679109</v>
      </c>
      <c r="G14" s="130">
        <f t="shared" si="36"/>
        <v>-1353.1839203130548</v>
      </c>
      <c r="H14" s="130">
        <f t="shared" si="36"/>
        <v>-1353.1839203130548</v>
      </c>
      <c r="I14" s="130">
        <f t="shared" si="36"/>
        <v>-1505.7986481679109</v>
      </c>
      <c r="K14" s="130">
        <f t="shared" ref="K14:K18" si="37">K7-K8</f>
        <v>-211.07875866533504</v>
      </c>
      <c r="M14" s="130">
        <f t="shared" ref="M14:M18" si="38">M7-M8</f>
        <v>-176.25997559349707</v>
      </c>
      <c r="O14" s="130">
        <f t="shared" ref="O14:O18" si="39">O7-O8</f>
        <v>-1669.7732768197129</v>
      </c>
      <c r="Q14" s="130">
        <f t="shared" ref="Q14:Q18" si="40">Q7-Q8</f>
        <v>-162.05689873266783</v>
      </c>
      <c r="S14" s="130">
        <f t="shared" ref="S14:AC14" si="41">S7-S8</f>
        <v>-203.9035197353187</v>
      </c>
      <c r="T14" s="130">
        <f t="shared" si="41"/>
        <v>1.0000000000000009E-2</v>
      </c>
      <c r="U14" s="130">
        <f t="shared" si="41"/>
        <v>-214.28178514622414</v>
      </c>
      <c r="V14" s="130">
        <f t="shared" si="41"/>
        <v>1.0000000000000009E-2</v>
      </c>
      <c r="W14" s="130">
        <f t="shared" si="41"/>
        <v>-181.46465764501045</v>
      </c>
      <c r="X14" s="130">
        <f t="shared" si="41"/>
        <v>1.0000000000000009E-2</v>
      </c>
      <c r="Y14" s="130">
        <f t="shared" si="41"/>
        <v>-190.94415884224509</v>
      </c>
      <c r="Z14" s="130">
        <f t="shared" si="41"/>
        <v>1.0000000000000009E-2</v>
      </c>
      <c r="AA14" s="130">
        <f t="shared" si="41"/>
        <v>-174.82777079265361</v>
      </c>
      <c r="AB14" s="130">
        <f t="shared" si="41"/>
        <v>1.0000000000000009E-2</v>
      </c>
      <c r="AC14" s="130">
        <f t="shared" si="41"/>
        <v>-203.47497370034034</v>
      </c>
    </row>
    <row r="15" spans="2:50" s="181" customFormat="1" x14ac:dyDescent="0.35">
      <c r="D15" s="883">
        <v>0.1</v>
      </c>
      <c r="E15" s="273">
        <f t="shared" ref="E15:I15" si="42">E8-E9</f>
        <v>-1658.4133760227724</v>
      </c>
      <c r="F15" s="183">
        <f t="shared" si="42"/>
        <v>-1505.7986481679127</v>
      </c>
      <c r="G15" s="183">
        <f t="shared" si="42"/>
        <v>-1353.1839203130567</v>
      </c>
      <c r="H15" s="183">
        <f t="shared" si="42"/>
        <v>-1353.1839203130567</v>
      </c>
      <c r="I15" s="183">
        <f t="shared" si="42"/>
        <v>-1505.7986481679145</v>
      </c>
      <c r="K15" s="183">
        <f t="shared" si="37"/>
        <v>-215.92333336808224</v>
      </c>
      <c r="M15" s="183">
        <f t="shared" si="38"/>
        <v>-180.13680338616177</v>
      </c>
      <c r="O15" s="183">
        <f t="shared" si="39"/>
        <v>-1708.0269601374621</v>
      </c>
      <c r="Q15" s="183">
        <f t="shared" si="40"/>
        <v>-165.66297124563062</v>
      </c>
      <c r="S15" s="183">
        <f t="shared" ref="S15:AC15" si="43">S8-S9</f>
        <v>-208.73325918104092</v>
      </c>
      <c r="T15" s="183">
        <f t="shared" si="43"/>
        <v>1.0000000000000009E-2</v>
      </c>
      <c r="U15" s="273">
        <f t="shared" si="43"/>
        <v>-218.90275086534893</v>
      </c>
      <c r="V15" s="183">
        <f t="shared" si="43"/>
        <v>1.0000000000000009E-2</v>
      </c>
      <c r="W15" s="183">
        <f t="shared" si="43"/>
        <v>-185.32437598266915</v>
      </c>
      <c r="X15" s="183">
        <f t="shared" si="43"/>
        <v>1.0000000000000009E-2</v>
      </c>
      <c r="Y15" s="183">
        <f t="shared" si="43"/>
        <v>-195.25441073484762</v>
      </c>
      <c r="Z15" s="183">
        <f t="shared" si="43"/>
        <v>1.0000000000000009E-2</v>
      </c>
      <c r="AA15" s="183">
        <f t="shared" si="43"/>
        <v>-178.65751385492513</v>
      </c>
      <c r="AB15" s="183">
        <f t="shared" si="43"/>
        <v>1.0000000000000009E-2</v>
      </c>
      <c r="AC15" s="273">
        <f t="shared" si="43"/>
        <v>-207.8925805978688</v>
      </c>
    </row>
    <row r="16" spans="2:50" x14ac:dyDescent="0.35">
      <c r="D16" s="69">
        <f t="shared" si="35"/>
        <v>0.11</v>
      </c>
      <c r="E16" s="130">
        <f t="shared" ref="E16:I16" si="44">E9-E10</f>
        <v>-1658.4133760227669</v>
      </c>
      <c r="F16" s="130">
        <f t="shared" si="44"/>
        <v>-1505.7986481679109</v>
      </c>
      <c r="G16" s="130">
        <f t="shared" si="44"/>
        <v>-1353.1839203130548</v>
      </c>
      <c r="H16" s="130">
        <f>H9-H10</f>
        <v>-1353.1839203130548</v>
      </c>
      <c r="I16" s="130">
        <f t="shared" si="44"/>
        <v>-1505.7986481679109</v>
      </c>
      <c r="K16" s="130">
        <f t="shared" si="37"/>
        <v>-220.93662968225544</v>
      </c>
      <c r="M16" s="130">
        <f t="shared" si="38"/>
        <v>-184.14295936050257</v>
      </c>
      <c r="O16" s="130">
        <f t="shared" si="39"/>
        <v>-1747.6104354593008</v>
      </c>
      <c r="Q16" s="130">
        <f t="shared" si="40"/>
        <v>-169.3907608776226</v>
      </c>
      <c r="S16" s="130">
        <f t="shared" ref="S16:AC16" si="45">S9-S10</f>
        <v>-213.73665394019918</v>
      </c>
      <c r="T16" s="130">
        <f t="shared" si="45"/>
        <v>1.0000000000000009E-2</v>
      </c>
      <c r="U16" s="130">
        <f t="shared" si="45"/>
        <v>-223.67482187996211</v>
      </c>
      <c r="V16" s="130">
        <f t="shared" si="45"/>
        <v>1.0000000000000009E-2</v>
      </c>
      <c r="W16" s="130">
        <f t="shared" si="45"/>
        <v>-189.30856121286706</v>
      </c>
      <c r="X16" s="130">
        <f t="shared" si="45"/>
        <v>1.0000000000000009E-2</v>
      </c>
      <c r="Y16" s="130">
        <f t="shared" si="45"/>
        <v>-199.71227399363124</v>
      </c>
      <c r="Z16" s="130">
        <f t="shared" si="45"/>
        <v>1.0000000000000009E-2</v>
      </c>
      <c r="AA16" s="130">
        <f t="shared" si="45"/>
        <v>-182.61449090597307</v>
      </c>
      <c r="AB16" s="130">
        <f t="shared" si="45"/>
        <v>1.0000000000000009E-2</v>
      </c>
      <c r="AC16" s="130">
        <f t="shared" si="45"/>
        <v>-212.45563109387149</v>
      </c>
    </row>
    <row r="17" spans="4:31" x14ac:dyDescent="0.35">
      <c r="D17" s="69">
        <f t="shared" si="35"/>
        <v>0.12</v>
      </c>
      <c r="E17" s="130">
        <f t="shared" ref="E17:I17" si="46">E10-E11</f>
        <v>-1658.4133760227705</v>
      </c>
      <c r="F17" s="130">
        <f t="shared" si="46"/>
        <v>-1505.7986481679109</v>
      </c>
      <c r="G17" s="130">
        <f t="shared" si="46"/>
        <v>-1353.1839203130548</v>
      </c>
      <c r="H17" s="130">
        <f t="shared" si="46"/>
        <v>-1353.1839203130548</v>
      </c>
      <c r="I17" s="130">
        <f t="shared" si="46"/>
        <v>-1505.7986481679109</v>
      </c>
      <c r="K17" s="130">
        <f t="shared" si="37"/>
        <v>-226.12657436796871</v>
      </c>
      <c r="M17" s="130">
        <f t="shared" si="38"/>
        <v>-188.2842605942933</v>
      </c>
      <c r="O17" s="130">
        <f t="shared" si="39"/>
        <v>-1788.586061144164</v>
      </c>
      <c r="Q17" s="130">
        <f t="shared" si="40"/>
        <v>-173.24580777970732</v>
      </c>
      <c r="S17" s="130">
        <f t="shared" ref="S17:AC17" si="47">S10-S11</f>
        <v>-218.92213013414948</v>
      </c>
      <c r="T17" s="130">
        <f t="shared" si="47"/>
        <v>1.0000000000000009E-2</v>
      </c>
      <c r="U17" s="130">
        <f t="shared" si="47"/>
        <v>-228.60465897095492</v>
      </c>
      <c r="V17" s="130">
        <f t="shared" si="47"/>
        <v>1.0000000000000009E-2</v>
      </c>
      <c r="W17" s="130">
        <f t="shared" si="47"/>
        <v>-193.42262317554923</v>
      </c>
      <c r="X17" s="130">
        <f t="shared" si="47"/>
        <v>1.0000000000000009E-2</v>
      </c>
      <c r="Y17" s="130">
        <f t="shared" si="47"/>
        <v>-204.32456669556632</v>
      </c>
      <c r="Z17" s="130">
        <f t="shared" si="47"/>
        <v>1.0000000000000009E-2</v>
      </c>
      <c r="AA17" s="130">
        <f t="shared" si="47"/>
        <v>-186.70440111663265</v>
      </c>
      <c r="AB17" s="130">
        <f t="shared" si="47"/>
        <v>1.0000000000000009E-2</v>
      </c>
      <c r="AC17" s="130">
        <f t="shared" si="47"/>
        <v>-217.17058074087618</v>
      </c>
    </row>
    <row r="18" spans="4:31" x14ac:dyDescent="0.35">
      <c r="D18" s="69">
        <f t="shared" si="35"/>
        <v>0.13</v>
      </c>
      <c r="E18" s="130">
        <f t="shared" ref="E18:I18" si="48">E11-E12</f>
        <v>-1658.4133760227705</v>
      </c>
      <c r="F18" s="130">
        <f t="shared" si="48"/>
        <v>-1505.7986481679109</v>
      </c>
      <c r="G18" s="130">
        <f t="shared" si="48"/>
        <v>-1353.1839203130585</v>
      </c>
      <c r="H18" s="130">
        <f t="shared" si="48"/>
        <v>-1353.1839203130585</v>
      </c>
      <c r="I18" s="130">
        <f t="shared" si="48"/>
        <v>-1505.7986481679109</v>
      </c>
      <c r="K18" s="130">
        <f t="shared" si="37"/>
        <v>-231.50156522971884</v>
      </c>
      <c r="M18" s="130">
        <f t="shared" si="38"/>
        <v>-192.56685494421254</v>
      </c>
      <c r="O18" s="130">
        <f t="shared" si="39"/>
        <v>-1831.0198941487724</v>
      </c>
      <c r="Q18" s="130">
        <f t="shared" si="40"/>
        <v>-177.2339709422231</v>
      </c>
      <c r="S18" s="130">
        <f t="shared" ref="S18:AC18" si="49">S11-S12</f>
        <v>-224.29863122633833</v>
      </c>
      <c r="T18" s="130">
        <f t="shared" si="49"/>
        <v>1.0000000000000009E-2</v>
      </c>
      <c r="U18" s="130">
        <f t="shared" si="49"/>
        <v>-233.69929402110574</v>
      </c>
      <c r="V18" s="130">
        <f t="shared" si="49"/>
        <v>1.0000000000000009E-2</v>
      </c>
      <c r="W18" s="130">
        <f t="shared" si="49"/>
        <v>-197.67226885665514</v>
      </c>
      <c r="X18" s="130">
        <f t="shared" si="49"/>
        <v>1.0000000000000009E-2</v>
      </c>
      <c r="Y18" s="130">
        <f t="shared" si="49"/>
        <v>-209.09850516976076</v>
      </c>
      <c r="Z18" s="130">
        <f t="shared" si="49"/>
        <v>1.0000000000000009E-2</v>
      </c>
      <c r="AA18" s="130">
        <f t="shared" si="49"/>
        <v>-190.93326637408973</v>
      </c>
      <c r="AB18" s="130">
        <f t="shared" si="49"/>
        <v>1.0000000000000009E-2</v>
      </c>
      <c r="AC18" s="130">
        <f t="shared" si="49"/>
        <v>-222.04424727455626</v>
      </c>
    </row>
    <row r="19" spans="4:31" x14ac:dyDescent="0.35">
      <c r="D19" s="69"/>
      <c r="E19" s="130"/>
      <c r="F19" s="130"/>
      <c r="G19" s="130"/>
      <c r="H19" s="130"/>
      <c r="I19" s="130"/>
      <c r="K19" s="130"/>
      <c r="M19" s="130"/>
      <c r="O19" s="130"/>
      <c r="Q19" s="130"/>
      <c r="S19" s="130"/>
      <c r="T19" s="130"/>
      <c r="U19" s="130"/>
      <c r="V19" s="130"/>
      <c r="W19" s="130"/>
      <c r="X19" s="130"/>
      <c r="Y19" s="130"/>
      <c r="Z19" s="130"/>
      <c r="AA19" s="130"/>
      <c r="AB19" s="130"/>
      <c r="AC19" s="130"/>
    </row>
    <row r="20" spans="4:31" x14ac:dyDescent="0.35">
      <c r="E20" s="130"/>
      <c r="K20" s="130"/>
      <c r="M20" s="130"/>
      <c r="O20" s="130"/>
      <c r="Q20" s="130"/>
      <c r="S20" s="130"/>
      <c r="T20" s="130"/>
      <c r="U20" s="130"/>
      <c r="V20" s="130"/>
      <c r="W20" s="130"/>
      <c r="X20" s="130"/>
      <c r="Y20" s="130"/>
      <c r="Z20" s="130"/>
      <c r="AA20" s="130"/>
      <c r="AB20" s="130"/>
      <c r="AC20" s="130"/>
    </row>
    <row r="22" spans="4:31" x14ac:dyDescent="0.35">
      <c r="AC22" s="130">
        <f>U9-AC9</f>
        <v>1161.7072599112544</v>
      </c>
    </row>
    <row r="23" spans="4:31" x14ac:dyDescent="0.35">
      <c r="AC23" s="153">
        <f>AC22/U9</f>
        <v>5.6611581342473058E-2</v>
      </c>
      <c r="AD23" s="69">
        <v>0.9</v>
      </c>
      <c r="AE23" s="110">
        <f>AC23*AD23</f>
        <v>5.0950423208225751E-2</v>
      </c>
    </row>
  </sheetData>
  <mergeCells count="23">
    <mergeCell ref="D3:I3"/>
    <mergeCell ref="J3:S3"/>
    <mergeCell ref="T3:AC3"/>
    <mergeCell ref="AD3:AR3"/>
    <mergeCell ref="AD4:AH4"/>
    <mergeCell ref="V4:W4"/>
    <mergeCell ref="R4:S4"/>
    <mergeCell ref="AB4:AC4"/>
    <mergeCell ref="Z4:AA4"/>
    <mergeCell ref="X4:Y4"/>
    <mergeCell ref="P4:Q4"/>
    <mergeCell ref="N4:O4"/>
    <mergeCell ref="L4:M4"/>
    <mergeCell ref="J4:K4"/>
    <mergeCell ref="T4:U4"/>
    <mergeCell ref="AI4:AJ4"/>
    <mergeCell ref="AU4:AV4"/>
    <mergeCell ref="AW4:AX4"/>
    <mergeCell ref="AK4:AL4"/>
    <mergeCell ref="AM4:AN4"/>
    <mergeCell ref="AO4:AP4"/>
    <mergeCell ref="AQ4:AR4"/>
    <mergeCell ref="AS4:AT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3A65-E031-4E23-9121-E8D9FFE97FEA}">
  <sheetPr>
    <tabColor rgb="FFFF0000"/>
  </sheetPr>
  <dimension ref="A1:CK254"/>
  <sheetViews>
    <sheetView topLeftCell="BR32" zoomScale="115" zoomScaleNormal="115" workbookViewId="0">
      <selection activeCell="CA44" sqref="CA44"/>
    </sheetView>
  </sheetViews>
  <sheetFormatPr defaultColWidth="9.1796875" defaultRowHeight="15" x14ac:dyDescent="0.3"/>
  <cols>
    <col min="1" max="1" width="9.1796875" style="340" hidden="1" customWidth="1"/>
    <col min="2" max="2" width="3.36328125" style="340" customWidth="1"/>
    <col min="3" max="3" width="6.1796875" style="340" customWidth="1"/>
    <col min="4" max="4" width="4.54296875" style="340" customWidth="1"/>
    <col min="5" max="5" width="9.1796875" style="340"/>
    <col min="6" max="6" width="4.90625" style="340" customWidth="1"/>
    <col min="7" max="7" width="9.453125" style="340" bestFit="1" customWidth="1"/>
    <col min="8" max="8" width="8.453125" style="340" customWidth="1"/>
    <col min="9" max="9" width="6.7265625" style="340" customWidth="1"/>
    <col min="10" max="10" width="7.6328125" style="340" customWidth="1"/>
    <col min="11" max="11" width="11.90625" style="340" customWidth="1"/>
    <col min="12" max="12" width="6.54296875" style="340" bestFit="1" customWidth="1"/>
    <col min="13" max="13" width="11.7265625" style="340" customWidth="1"/>
    <col min="14" max="14" width="11" style="340" bestFit="1" customWidth="1"/>
    <col min="15" max="15" width="9.08984375" style="340" bestFit="1" customWidth="1"/>
    <col min="16" max="16" width="7.90625" style="340" bestFit="1" customWidth="1"/>
    <col min="17" max="17" width="3.90625" style="340" customWidth="1"/>
    <col min="18" max="18" width="8.54296875" style="340" customWidth="1"/>
    <col min="19" max="20" width="9.1796875" style="340"/>
    <col min="21" max="21" width="3.6328125" style="340" customWidth="1"/>
    <col min="22" max="22" width="5.90625" style="340" bestFit="1" customWidth="1"/>
    <col min="23" max="23" width="8.54296875" style="340" customWidth="1"/>
    <col min="24" max="24" width="8.81640625" style="340" customWidth="1"/>
    <col min="25" max="25" width="6.54296875" style="340" customWidth="1"/>
    <col min="26" max="26" width="9.453125" style="340" customWidth="1"/>
    <col min="27" max="27" width="7.36328125" style="340" customWidth="1"/>
    <col min="28" max="28" width="9.1796875" style="340"/>
    <col min="29" max="29" width="16.1796875" style="340" customWidth="1"/>
    <col min="30" max="30" width="8.36328125" style="340" customWidth="1"/>
    <col min="31" max="31" width="7.7265625" style="340" customWidth="1"/>
    <col min="32" max="32" width="7.90625" style="340" customWidth="1"/>
    <col min="33" max="33" width="7.36328125" style="340" customWidth="1"/>
    <col min="34" max="34" width="9.08984375" style="340" bestFit="1" customWidth="1"/>
    <col min="35" max="35" width="7.54296875" style="340" customWidth="1"/>
    <col min="36" max="36" width="9.1796875" style="340" customWidth="1"/>
    <col min="37" max="37" width="18" style="340" customWidth="1"/>
    <col min="38" max="38" width="10.1796875" style="340" bestFit="1" customWidth="1"/>
    <col min="39" max="39" width="9" style="340" customWidth="1"/>
    <col min="40" max="40" width="7.7265625" style="340" customWidth="1"/>
    <col min="41" max="41" width="7.6328125" style="340" customWidth="1"/>
    <col min="42" max="42" width="7.7265625" style="340" customWidth="1"/>
    <col min="43" max="43" width="8.54296875" style="340" customWidth="1"/>
    <col min="44" max="45" width="9.1796875" style="340"/>
    <col min="46" max="46" width="10.1796875" style="340" bestFit="1" customWidth="1"/>
    <col min="47" max="47" width="12.26953125" style="340" customWidth="1"/>
    <col min="48" max="48" width="6.08984375" style="340" customWidth="1"/>
    <col min="49" max="49" width="5.6328125" style="340" customWidth="1"/>
    <col min="50" max="50" width="18.81640625" style="340" customWidth="1"/>
    <col min="51" max="51" width="24.90625" style="340" customWidth="1"/>
    <col min="52" max="52" width="11" style="340" bestFit="1" customWidth="1"/>
    <col min="53" max="53" width="10.1796875" style="340" customWidth="1"/>
    <col min="54" max="54" width="10.08984375" style="340" bestFit="1" customWidth="1"/>
    <col min="55" max="55" width="20.90625" style="419" customWidth="1"/>
    <col min="56" max="56" width="16" style="419" customWidth="1"/>
    <col min="57" max="57" width="12.6328125" style="340" bestFit="1" customWidth="1"/>
    <col min="58" max="59" width="10.81640625" style="340" customWidth="1"/>
    <col min="60" max="61" width="9.1796875" style="340"/>
    <col min="62" max="62" width="14.36328125" style="340" customWidth="1"/>
    <col min="63" max="63" width="14.6328125" style="340" customWidth="1"/>
    <col min="64" max="64" width="13.7265625" style="340" customWidth="1"/>
    <col min="65" max="65" width="14.453125" style="340" bestFit="1" customWidth="1"/>
    <col min="66" max="66" width="9.90625" style="340" bestFit="1" customWidth="1"/>
    <col min="67" max="67" width="9.1796875" style="340" customWidth="1"/>
    <col min="68" max="68" width="10.1796875" style="340" customWidth="1"/>
    <col min="69" max="69" width="9.08984375" style="340" bestFit="1" customWidth="1"/>
    <col min="70" max="70" width="7.453125" style="411" customWidth="1"/>
    <col min="71" max="71" width="11.54296875" style="340" customWidth="1"/>
    <col min="72" max="72" width="44.1796875" style="384" customWidth="1"/>
    <col min="73" max="73" width="27" style="340" customWidth="1"/>
    <col min="74" max="74" width="10.81640625" style="340" customWidth="1"/>
    <col min="75" max="75" width="8.54296875" style="340" bestFit="1" customWidth="1"/>
    <col min="76" max="76" width="8.81640625" style="340" customWidth="1"/>
    <col min="77" max="77" width="9.08984375" style="340" customWidth="1"/>
    <col min="78" max="79" width="9.26953125" style="340" customWidth="1"/>
    <col min="80" max="80" width="6.1796875" style="340" bestFit="1" customWidth="1"/>
    <col min="81" max="81" width="8.54296875" style="340" customWidth="1"/>
    <col min="82" max="82" width="5.1796875" style="340" customWidth="1"/>
    <col min="83" max="83" width="7.453125" style="340" bestFit="1" customWidth="1"/>
    <col min="84" max="84" width="6.90625" style="340" bestFit="1" customWidth="1"/>
    <col min="85" max="85" width="7.1796875" style="340" bestFit="1" customWidth="1"/>
    <col min="86" max="86" width="8.26953125" style="453" customWidth="1"/>
    <col min="87" max="87" width="8.08984375" style="453" customWidth="1"/>
    <col min="88" max="88" width="7.90625" style="411" customWidth="1"/>
    <col min="89" max="16384" width="9.1796875" style="340"/>
  </cols>
  <sheetData>
    <row r="1" spans="2:88" x14ac:dyDescent="0.3">
      <c r="B1" s="340" t="s">
        <v>547</v>
      </c>
      <c r="BA1" s="340" t="s">
        <v>689</v>
      </c>
      <c r="BD1" s="419" t="s">
        <v>688</v>
      </c>
      <c r="BN1" s="463">
        <f>BN6</f>
        <v>1864.9499828812825</v>
      </c>
      <c r="BO1" s="463">
        <f>BO6</f>
        <v>1273.8558498087386</v>
      </c>
      <c r="BP1" s="463">
        <f>SUM(BN1:BO1)</f>
        <v>3138.8058326900209</v>
      </c>
      <c r="BQ1" s="519">
        <f>BP1/BQ2</f>
        <v>118.44550312037815</v>
      </c>
      <c r="BV1" s="453">
        <f>BV6/CC1</f>
        <v>889.97605878191621</v>
      </c>
      <c r="BW1" s="456">
        <f>BW6/CC1</f>
        <v>70.375471052123871</v>
      </c>
      <c r="BX1" s="456">
        <f>BX6/CC1</f>
        <v>48.070032068254285</v>
      </c>
      <c r="BY1" s="456">
        <f>BY6/CC1</f>
        <v>75.507147348300833</v>
      </c>
      <c r="BZ1" s="456">
        <f>BZ6/CC1</f>
        <v>51.926880835744555</v>
      </c>
      <c r="CA1" s="486">
        <f>SUM(BV1:BZ1)</f>
        <v>1135.8555900863398</v>
      </c>
      <c r="CB1" s="520">
        <f>SUM(BW1:BZ1)</f>
        <v>245.87953130442355</v>
      </c>
      <c r="CC1" s="343">
        <v>26.5</v>
      </c>
      <c r="CE1" s="456">
        <f>CE6/($CC$1)</f>
        <v>6.1272061033862739</v>
      </c>
      <c r="CF1" s="456">
        <f t="shared" ref="CF1:CG1" si="0">CF6/($CC$1)</f>
        <v>32.792446281392955</v>
      </c>
      <c r="CG1" s="456">
        <f t="shared" si="0"/>
        <v>26.087474961057026</v>
      </c>
      <c r="CH1" s="456">
        <f>SUM(CE1:CG1)</f>
        <v>65.007127345836253</v>
      </c>
      <c r="CJ1" s="522">
        <v>140</v>
      </c>
    </row>
    <row r="2" spans="2:88" s="531" customFormat="1" ht="30" x14ac:dyDescent="0.35">
      <c r="M2" s="531" t="s">
        <v>47</v>
      </c>
      <c r="N2" s="533">
        <f>$E$5*$L$7</f>
        <v>6945.620775524726</v>
      </c>
      <c r="W2" s="534"/>
      <c r="X2" s="534"/>
      <c r="Y2" s="534"/>
      <c r="Z2" s="534"/>
      <c r="AA2" s="534"/>
      <c r="AB2" s="534"/>
      <c r="AC2" s="534"/>
      <c r="AD2" s="534"/>
      <c r="AE2" s="534"/>
      <c r="AF2" s="534"/>
      <c r="AG2" s="534"/>
      <c r="AH2" s="534"/>
      <c r="AI2" s="534"/>
      <c r="AJ2" s="534"/>
      <c r="AK2" s="532" t="s">
        <v>639</v>
      </c>
      <c r="BC2" s="383"/>
      <c r="BD2" s="535" t="s">
        <v>639</v>
      </c>
      <c r="BH2" s="531" t="s">
        <v>548</v>
      </c>
      <c r="BI2" s="531" t="s">
        <v>846</v>
      </c>
      <c r="BJ2" s="531" t="s">
        <v>397</v>
      </c>
      <c r="BK2" s="531" t="s">
        <v>847</v>
      </c>
      <c r="BL2" s="531" t="s">
        <v>658</v>
      </c>
      <c r="BM2" s="531" t="s">
        <v>662</v>
      </c>
      <c r="BN2" s="536" t="s">
        <v>659</v>
      </c>
      <c r="BO2" s="536" t="s">
        <v>660</v>
      </c>
      <c r="BP2" s="537" t="s">
        <v>661</v>
      </c>
      <c r="BQ2" s="531">
        <v>26.5</v>
      </c>
      <c r="BR2" s="532">
        <f>140/2</f>
        <v>70</v>
      </c>
      <c r="BS2" s="531" t="s">
        <v>664</v>
      </c>
      <c r="BV2" s="538" t="s">
        <v>663</v>
      </c>
      <c r="BW2" s="537" t="s">
        <v>659</v>
      </c>
      <c r="BX2" s="537" t="s">
        <v>660</v>
      </c>
      <c r="BY2" s="536" t="s">
        <v>665</v>
      </c>
      <c r="BZ2" s="536" t="s">
        <v>666</v>
      </c>
      <c r="CA2" s="537" t="s">
        <v>667</v>
      </c>
      <c r="CC2" s="537" t="s">
        <v>392</v>
      </c>
      <c r="CE2" s="536" t="s">
        <v>669</v>
      </c>
      <c r="CF2" s="536" t="s">
        <v>670</v>
      </c>
      <c r="CG2" s="536" t="s">
        <v>671</v>
      </c>
      <c r="CH2" s="539" t="s">
        <v>672</v>
      </c>
      <c r="CI2" s="532" t="s">
        <v>673</v>
      </c>
      <c r="CJ2" s="532" t="s">
        <v>673</v>
      </c>
    </row>
    <row r="3" spans="2:88" x14ac:dyDescent="0.3">
      <c r="M3" s="340" t="s">
        <v>653</v>
      </c>
      <c r="N3" s="453">
        <f>(($E$5+$H$5)*$G$5/(1-$G$5)+$H$5)*$L$7</f>
        <v>2930.3240479816454</v>
      </c>
      <c r="W3" s="341"/>
      <c r="X3" s="341"/>
      <c r="Y3" s="341"/>
      <c r="Z3" s="410">
        <f>$V$7*Z6+$V$43*Z42+$V$71*Z71+$V$125*Z124</f>
        <v>0.77807836045962731</v>
      </c>
      <c r="AA3" s="341"/>
      <c r="AB3" s="341"/>
      <c r="AC3" s="341"/>
      <c r="AD3" s="341"/>
      <c r="AE3" s="341"/>
      <c r="AF3" s="341"/>
      <c r="AG3" s="341"/>
      <c r="AH3" s="341"/>
      <c r="AI3" s="341"/>
      <c r="AJ3" s="341"/>
      <c r="AK3" s="410">
        <f>$V$7*AK6+$V$43*AK42+$V$71*AK70+$V$125*AK124</f>
        <v>0.71989820538953331</v>
      </c>
      <c r="BA3" s="518">
        <f>($BC$5*$BA$6+$BC$24*$BA$25+$BC$67*$BA$68+$BC$192*$BA$193)/0.53</f>
        <v>0.91425997557720051</v>
      </c>
      <c r="BD3" s="420">
        <f>AVERAGE(BD6,BD25,BD46,BD68,BD128,)</f>
        <v>0.62668676422292868</v>
      </c>
      <c r="BN3" s="343"/>
      <c r="BO3" s="343"/>
      <c r="BP3" s="343"/>
      <c r="BQ3" s="493" t="s">
        <v>392</v>
      </c>
      <c r="BR3" s="495" t="s">
        <v>392</v>
      </c>
      <c r="BZ3" s="453" t="s">
        <v>668</v>
      </c>
    </row>
    <row r="4" spans="2:88" ht="17.5" x14ac:dyDescent="0.35">
      <c r="E4" s="340" t="s">
        <v>649</v>
      </c>
      <c r="G4" s="340" t="s">
        <v>651</v>
      </c>
      <c r="H4" s="340" t="s">
        <v>650</v>
      </c>
      <c r="J4" s="340" t="s">
        <v>361</v>
      </c>
      <c r="K4" s="340" t="s">
        <v>652</v>
      </c>
      <c r="L4" s="394" t="s">
        <v>712</v>
      </c>
      <c r="M4" s="340" t="s">
        <v>655</v>
      </c>
      <c r="N4" s="455">
        <f>N2+N3</f>
        <v>9875.9448235063719</v>
      </c>
      <c r="Z4" s="342"/>
      <c r="AB4" s="342"/>
      <c r="AD4" s="342"/>
      <c r="AF4" s="342"/>
      <c r="AH4" s="342"/>
      <c r="AK4" s="340" t="s">
        <v>629</v>
      </c>
      <c r="BA4" s="343"/>
      <c r="BB4" s="343"/>
      <c r="BN4" s="343"/>
      <c r="BO4" s="343">
        <f>'H_Tỷ lệ HH&amp;PS (-PS)'!CD6+'H_Tỷ lệ HH&amp;PS (-PS)'!CQ6</f>
        <v>-1013.0466612852859</v>
      </c>
      <c r="BP4" s="484">
        <f>BP6-BP5</f>
        <v>149.61770674331638</v>
      </c>
      <c r="BQ4" s="463">
        <f>BP4+BO4</f>
        <v>-863.42895454196957</v>
      </c>
      <c r="BV4" s="453">
        <f>BL6/BV5</f>
        <v>21962.839413201909</v>
      </c>
      <c r="BW4" s="453"/>
      <c r="BX4" s="453"/>
      <c r="BY4" s="453"/>
      <c r="BZ4" s="453"/>
      <c r="CA4" s="453"/>
      <c r="CC4" s="453"/>
    </row>
    <row r="5" spans="2:88" ht="17.5" x14ac:dyDescent="0.35">
      <c r="E5" s="455">
        <v>11300</v>
      </c>
      <c r="G5" s="458">
        <v>0.11</v>
      </c>
      <c r="H5" s="456">
        <v>3000</v>
      </c>
      <c r="M5" s="340" t="s">
        <v>654</v>
      </c>
      <c r="N5" s="455">
        <f>N4/($J$7/(1-$G$5))*1000</f>
        <v>16584.13376022768</v>
      </c>
      <c r="O5" s="453">
        <f>$E$5/(1-$G$5)</f>
        <v>12696.629213483146</v>
      </c>
      <c r="P5" s="463">
        <f>N5-O5</f>
        <v>3887.5045467445343</v>
      </c>
      <c r="Z5" s="465">
        <f>N5/Z6</f>
        <v>19031.539551812471</v>
      </c>
      <c r="AA5" s="465"/>
      <c r="AH5" s="465">
        <f>Z5/AH6</f>
        <v>20520.66436518489</v>
      </c>
      <c r="AI5" s="394" t="s">
        <v>712</v>
      </c>
      <c r="AJ5" s="342">
        <f>V7</f>
        <v>0.53</v>
      </c>
      <c r="AK5" s="454">
        <f>N5/AK6</f>
        <v>20520.66436518489</v>
      </c>
      <c r="AZ5" s="463">
        <f>AZ7-AZ6</f>
        <v>1621.5261445188698</v>
      </c>
      <c r="BA5" s="343"/>
      <c r="BB5" s="579" t="s">
        <v>712</v>
      </c>
      <c r="BC5" s="517">
        <f>'Hảo_R&amp;D (Vảy sạch)'!BR2</f>
        <v>6.6666666666666666E-2</v>
      </c>
      <c r="BD5" s="419" t="s">
        <v>630</v>
      </c>
      <c r="BE5" s="340" t="s">
        <v>656</v>
      </c>
      <c r="BI5" s="342"/>
      <c r="BM5" s="387">
        <f>$AK6</f>
        <v>0.8081674874213195</v>
      </c>
      <c r="BN5" s="343"/>
      <c r="BO5" s="343"/>
      <c r="BP5" s="343">
        <f>'H_Tỷ lệ HH&amp;PS (-PS)'!CT6</f>
        <v>23509.852491131598</v>
      </c>
      <c r="BS5" s="411" t="str">
        <f>AT11</f>
        <v>Tạo hạt iSS01084G</v>
      </c>
      <c r="BT5" s="481"/>
      <c r="BV5" s="342">
        <f>BD6</f>
        <v>0.75509971403146181</v>
      </c>
      <c r="BW5" s="342"/>
      <c r="BX5" s="342"/>
      <c r="BY5" s="342"/>
      <c r="BZ5" s="342"/>
      <c r="CA5" s="342"/>
      <c r="CC5" s="342"/>
    </row>
    <row r="6" spans="2:88" ht="15.5" x14ac:dyDescent="0.35">
      <c r="N6" s="460"/>
      <c r="V6" s="343"/>
      <c r="Z6" s="389">
        <f>SUM(Z7:Z9)</f>
        <v>0.87140263745232782</v>
      </c>
      <c r="AH6" s="389">
        <f>SUM(AH7:AH16)</f>
        <v>0.92743291411661843</v>
      </c>
      <c r="AK6" s="393">
        <f>Z6*AH6</f>
        <v>0.8081674874213195</v>
      </c>
      <c r="AZ6" s="466">
        <f>AH5/BA6</f>
        <v>21962.839413201909</v>
      </c>
      <c r="BA6" s="388">
        <f>SUM(BA7:BA13)</f>
        <v>0.93433567395889061</v>
      </c>
      <c r="BB6" s="582">
        <f>SUM(BA7*BB7,BA9*BB9,BA11*BB11,BA13*BB13)</f>
        <v>1.0679423359805886</v>
      </c>
      <c r="BC6" s="466"/>
      <c r="BD6" s="421">
        <f>AK6*BA6</f>
        <v>0.75509971403146181</v>
      </c>
      <c r="BE6" s="468">
        <f>N5/BD6</f>
        <v>21962.839413201909</v>
      </c>
      <c r="BF6" s="463">
        <f>BE6-AZ6</f>
        <v>0</v>
      </c>
      <c r="BG6" s="463"/>
      <c r="BH6" s="470">
        <f>$E$5</f>
        <v>11300</v>
      </c>
      <c r="BI6" s="342">
        <f>G5</f>
        <v>0.11</v>
      </c>
      <c r="BJ6" s="463">
        <f>H5</f>
        <v>3000</v>
      </c>
      <c r="BK6" s="481" t="str">
        <f>N7</f>
        <v>Chai B1</v>
      </c>
      <c r="BL6" s="482">
        <f>N5</f>
        <v>16584.13376022768</v>
      </c>
      <c r="BM6" s="482">
        <f>AK5</f>
        <v>20520.66436518489</v>
      </c>
      <c r="BN6" s="456">
        <f>[1]TH!$O$6</f>
        <v>1864.9499828812825</v>
      </c>
      <c r="BO6" s="456">
        <f>[1]TH!$O$7</f>
        <v>1273.8558498087386</v>
      </c>
      <c r="BP6" s="486">
        <f>SUM(BM6:BO6)</f>
        <v>23659.470197874914</v>
      </c>
      <c r="BQ6" s="453">
        <f>BP6/$BQ$2</f>
        <v>892.81019614622323</v>
      </c>
      <c r="BR6" s="494">
        <f>$BR$2+BQ6</f>
        <v>962.81019614622323</v>
      </c>
      <c r="BT6" s="481" t="str">
        <f>AX11</f>
        <v>100%B1.A1,A2</v>
      </c>
      <c r="BU6" s="411" t="str">
        <f>BC7</f>
        <v>Hạt rPET iSS01084G</v>
      </c>
      <c r="BV6" s="476">
        <f>AZ7</f>
        <v>23584.365557720779</v>
      </c>
      <c r="BW6" s="476">
        <f>BN6</f>
        <v>1864.9499828812825</v>
      </c>
      <c r="BX6" s="476">
        <f>BO6</f>
        <v>1273.8558498087386</v>
      </c>
      <c r="BY6" s="476">
        <f>[1]TH!$O$10</f>
        <v>2000.939404729972</v>
      </c>
      <c r="BZ6" s="476">
        <f>[1]TH!$O$11</f>
        <v>1376.0623421472308</v>
      </c>
      <c r="CA6" s="476">
        <f>SUM(BV6:BZ6)</f>
        <v>30100.173137288006</v>
      </c>
      <c r="CC6" s="476">
        <f>CA6/$CC$1</f>
        <v>1135.8555900863398</v>
      </c>
      <c r="CE6" s="476">
        <f>'[9]Chụp hình'!$L$38*1000</f>
        <v>162.37096173973626</v>
      </c>
      <c r="CF6" s="482">
        <f>'[9]Chụp hình'!$L$39*10^3</f>
        <v>868.9998264569133</v>
      </c>
      <c r="CG6" s="482">
        <f>'[9]Chụp hình'!$L$37*10^3</f>
        <v>691.31808646801119</v>
      </c>
      <c r="CH6" s="476">
        <f>SUM(CE6:CG6)</f>
        <v>1722.6888746646607</v>
      </c>
      <c r="CI6" s="476">
        <f>CC6+$CH$1</f>
        <v>1200.8627174321762</v>
      </c>
      <c r="CJ6" s="482">
        <f>CC6+$CJ$1</f>
        <v>1275.8555900863398</v>
      </c>
    </row>
    <row r="7" spans="2:88" ht="15.75" customHeight="1" x14ac:dyDescent="0.35">
      <c r="D7" s="1101"/>
      <c r="E7" s="1011" t="s">
        <v>548</v>
      </c>
      <c r="F7" s="1012"/>
      <c r="G7" s="346"/>
      <c r="H7" s="1029" t="s">
        <v>549</v>
      </c>
      <c r="I7" s="1030"/>
      <c r="J7" s="346">
        <v>530</v>
      </c>
      <c r="K7" s="459">
        <v>0.53</v>
      </c>
      <c r="L7" s="574">
        <f>'Giá mua Chai-Vảy (Giá giảm)'!H14</f>
        <v>0.61465670579864828</v>
      </c>
      <c r="M7" s="1070"/>
      <c r="N7" s="1072" t="s">
        <v>14</v>
      </c>
      <c r="O7" s="1073"/>
      <c r="P7" s="346"/>
      <c r="Q7" s="346"/>
      <c r="R7" s="1052"/>
      <c r="S7" s="1077" t="s">
        <v>550</v>
      </c>
      <c r="T7" s="1077"/>
      <c r="U7" s="347"/>
      <c r="V7" s="408">
        <v>0.53</v>
      </c>
      <c r="W7" s="1029" t="s">
        <v>551</v>
      </c>
      <c r="X7" s="1030"/>
      <c r="Y7" s="346"/>
      <c r="Z7" s="348">
        <v>0.43017945530235618</v>
      </c>
      <c r="AA7" s="1003"/>
      <c r="AB7" s="1011" t="s">
        <v>552</v>
      </c>
      <c r="AC7" s="1012"/>
      <c r="AH7" s="348">
        <v>0.46161476898244669</v>
      </c>
      <c r="AI7" s="1003" t="s">
        <v>700</v>
      </c>
      <c r="AJ7" s="1011" t="s">
        <v>553</v>
      </c>
      <c r="AK7" s="1012"/>
      <c r="AL7" s="521">
        <f>AI7/$AI$7</f>
        <v>1</v>
      </c>
      <c r="AM7" s="1029" t="s">
        <v>554</v>
      </c>
      <c r="AN7" s="1030"/>
      <c r="AO7" s="346"/>
      <c r="AP7" s="346"/>
      <c r="AQ7" s="346"/>
      <c r="AR7" s="1096" t="s">
        <v>555</v>
      </c>
      <c r="AS7" s="1097"/>
      <c r="AT7" s="349"/>
      <c r="AU7" s="349"/>
      <c r="AV7" s="349"/>
      <c r="AW7" s="349"/>
      <c r="AX7" s="349"/>
      <c r="AY7" s="349"/>
      <c r="AZ7" s="467">
        <f>$AZ$6/$BB$6*BB7</f>
        <v>23584.365557720779</v>
      </c>
      <c r="BA7" s="350">
        <v>0.89417193958728181</v>
      </c>
      <c r="BB7" s="449">
        <f>'Hảo_R&amp;D (Vảy sạch)'!$BH$2</f>
        <v>1.1467889908256881</v>
      </c>
      <c r="BC7" s="422" t="s">
        <v>556</v>
      </c>
      <c r="BD7" s="423"/>
      <c r="BE7" s="349"/>
      <c r="BF7" s="349"/>
      <c r="BG7" s="349"/>
      <c r="BH7" s="344"/>
      <c r="BI7" s="344"/>
      <c r="BJ7" s="349"/>
      <c r="BK7" s="349"/>
      <c r="BL7" s="349"/>
      <c r="BM7" s="387">
        <f>$AK42</f>
        <v>0.85501479000000002</v>
      </c>
      <c r="BN7" s="356"/>
      <c r="BO7" s="356"/>
      <c r="BP7" s="356"/>
      <c r="BV7" s="463">
        <f>BV6-BV8</f>
        <v>1132.0495467706023</v>
      </c>
    </row>
    <row r="8" spans="2:88" ht="15.5" x14ac:dyDescent="0.35">
      <c r="D8" s="1102"/>
      <c r="E8" s="1013"/>
      <c r="F8" s="1014"/>
      <c r="H8" s="1031"/>
      <c r="I8" s="1032"/>
      <c r="K8" s="353"/>
      <c r="M8" s="1071"/>
      <c r="N8" s="1074"/>
      <c r="O8" s="1075"/>
      <c r="R8" s="1052"/>
      <c r="S8" s="1077"/>
      <c r="T8" s="1077"/>
      <c r="U8" s="354"/>
      <c r="V8" s="343"/>
      <c r="W8" s="1031"/>
      <c r="X8" s="1032"/>
      <c r="Z8" s="355"/>
      <c r="AA8" s="1004"/>
      <c r="AB8" s="1013"/>
      <c r="AC8" s="1014"/>
      <c r="AD8" s="346"/>
      <c r="AE8" s="1029" t="s">
        <v>557</v>
      </c>
      <c r="AF8" s="1030"/>
      <c r="AG8" s="346"/>
      <c r="AH8" s="353"/>
      <c r="AI8" s="1004"/>
      <c r="AJ8" s="1013"/>
      <c r="AK8" s="1014"/>
      <c r="AL8" s="545"/>
      <c r="AM8" s="1031"/>
      <c r="AN8" s="1032"/>
      <c r="AR8" s="1098"/>
      <c r="AS8" s="1099"/>
      <c r="AT8" s="349"/>
      <c r="AU8" s="349"/>
      <c r="AV8" s="349"/>
      <c r="AW8" s="349"/>
      <c r="AX8" s="349"/>
      <c r="AY8" s="349"/>
      <c r="AZ8" s="469">
        <f>AZ7-AZ9</f>
        <v>1132.0495467706023</v>
      </c>
      <c r="BA8" s="356"/>
      <c r="BB8" s="356"/>
      <c r="BC8" s="424"/>
      <c r="BD8" s="425"/>
      <c r="BE8" s="349"/>
      <c r="BF8" s="349"/>
      <c r="BG8" s="349"/>
      <c r="BH8" s="344"/>
      <c r="BI8" s="344"/>
      <c r="BJ8" s="349"/>
      <c r="BK8" s="437" t="str">
        <f>N43</f>
        <v xml:space="preserve">Chai B2.2 </v>
      </c>
      <c r="BL8" s="463">
        <f>N41</f>
        <v>15057.98648167912</v>
      </c>
      <c r="BM8" s="463">
        <f>AK41</f>
        <v>17611.375449633004</v>
      </c>
      <c r="BN8" s="485">
        <f>BN6</f>
        <v>1864.9499828812825</v>
      </c>
      <c r="BO8" s="485">
        <f>BO6</f>
        <v>1273.8558498087386</v>
      </c>
      <c r="BP8" s="486">
        <f>SUM(BM8:BO8)</f>
        <v>20750.181282323028</v>
      </c>
      <c r="BQ8" s="453">
        <f>BP8/$BQ$2</f>
        <v>783.02570876690675</v>
      </c>
      <c r="BR8" s="494">
        <f>$BR$2+BQ8</f>
        <v>853.02570876690675</v>
      </c>
      <c r="BT8" s="489"/>
      <c r="BU8" s="472" t="str">
        <f t="shared" ref="BU8:BU12" si="1">BC9</f>
        <v>Hạt rPET iSS01G</v>
      </c>
      <c r="BV8" s="477">
        <f>AZ9</f>
        <v>22452.316010950177</v>
      </c>
      <c r="BW8" s="477">
        <f>BW6</f>
        <v>1864.9499828812825</v>
      </c>
      <c r="BX8" s="477">
        <f>BX6</f>
        <v>1273.8558498087386</v>
      </c>
      <c r="BY8" s="477">
        <f>BY6</f>
        <v>2000.939404729972</v>
      </c>
      <c r="BZ8" s="477">
        <f>BZ6</f>
        <v>1376.0623421472308</v>
      </c>
      <c r="CA8" s="477">
        <f>SUM(BV8:BZ8)</f>
        <v>28968.1235905174</v>
      </c>
      <c r="CC8" s="477">
        <f>CA8/$CC$1</f>
        <v>1093.1367392648076</v>
      </c>
      <c r="CE8" s="478">
        <f>CE6</f>
        <v>162.37096173973626</v>
      </c>
      <c r="CF8" s="478">
        <f t="shared" ref="CF8:CG8" si="2">CF6</f>
        <v>868.9998264569133</v>
      </c>
      <c r="CG8" s="478">
        <f t="shared" si="2"/>
        <v>691.31808646801119</v>
      </c>
      <c r="CH8" s="477">
        <f>SUM(CE8:CG8)</f>
        <v>1722.6888746646607</v>
      </c>
      <c r="CI8" s="477">
        <f>CC8+$CH$1</f>
        <v>1158.143866610644</v>
      </c>
      <c r="CJ8" s="478">
        <f>CC8+$CJ$1</f>
        <v>1233.1367392648076</v>
      </c>
    </row>
    <row r="9" spans="2:88" ht="15.5" x14ac:dyDescent="0.35">
      <c r="K9" s="353"/>
      <c r="V9" s="343"/>
      <c r="Z9" s="357">
        <v>0.44122318214997169</v>
      </c>
      <c r="AA9" s="1003"/>
      <c r="AB9" s="1011" t="s">
        <v>558</v>
      </c>
      <c r="AC9" s="1012"/>
      <c r="AE9" s="1031"/>
      <c r="AF9" s="1032"/>
      <c r="AH9" s="357">
        <v>9.5080368552020983E-2</v>
      </c>
      <c r="AI9" s="1003" t="s">
        <v>701</v>
      </c>
      <c r="AJ9" s="1011" t="s">
        <v>559</v>
      </c>
      <c r="AK9" s="1012"/>
      <c r="AL9" s="521">
        <f>AI9/$AI$7</f>
        <v>0.8</v>
      </c>
      <c r="AS9" s="353"/>
      <c r="AZ9" s="467">
        <f>$AZ$6/$BB$6*BB9</f>
        <v>22452.316010950177</v>
      </c>
      <c r="BA9" s="350">
        <v>1.5953364913694541E-2</v>
      </c>
      <c r="BB9" s="449">
        <f>'Hảo_R&amp;D (Vảy sạch)'!BH3</f>
        <v>1.0917431192660549</v>
      </c>
      <c r="BC9" s="422" t="s">
        <v>560</v>
      </c>
      <c r="BD9" s="423"/>
      <c r="BH9" s="344"/>
      <c r="BI9" s="344"/>
      <c r="BM9" s="387">
        <f>$AK70</f>
        <v>0.773478</v>
      </c>
      <c r="BN9" s="343"/>
      <c r="BO9" s="343"/>
      <c r="BP9" s="343"/>
      <c r="BV9" s="463">
        <f>BV6-BV10</f>
        <v>1698.0743201558944</v>
      </c>
    </row>
    <row r="10" spans="2:88" ht="15.5" x14ac:dyDescent="0.35">
      <c r="K10" s="353"/>
      <c r="V10" s="343"/>
      <c r="Z10" s="353"/>
      <c r="AA10" s="1004"/>
      <c r="AB10" s="1013"/>
      <c r="AC10" s="1014"/>
      <c r="AH10" s="353"/>
      <c r="AI10" s="1004"/>
      <c r="AJ10" s="1013"/>
      <c r="AK10" s="1014"/>
      <c r="AS10" s="353"/>
      <c r="AZ10" s="469">
        <f>AZ7-AZ11</f>
        <v>1698.0743201558944</v>
      </c>
      <c r="BA10" s="343"/>
      <c r="BB10" s="343"/>
      <c r="BC10" s="424"/>
      <c r="BD10" s="425"/>
      <c r="BH10" s="344"/>
      <c r="BI10" s="344"/>
      <c r="BK10" s="340" t="str">
        <f>N71</f>
        <v>Chai B4</v>
      </c>
      <c r="BL10" s="463">
        <f>N69</f>
        <v>13531.839203130559</v>
      </c>
      <c r="BM10" s="463">
        <f>AK69</f>
        <v>17494.795201842277</v>
      </c>
      <c r="BN10" s="484">
        <f>BN6</f>
        <v>1864.9499828812825</v>
      </c>
      <c r="BO10" s="484">
        <f>BO6</f>
        <v>1273.8558498087386</v>
      </c>
      <c r="BP10" s="486">
        <f>SUM(BM10:BO10)</f>
        <v>20633.601034532301</v>
      </c>
      <c r="BQ10" s="453">
        <f>BP10/$BQ$2</f>
        <v>778.62645413329437</v>
      </c>
      <c r="BR10" s="494">
        <f>$BR$2+BQ10</f>
        <v>848.62645413329437</v>
      </c>
      <c r="BT10" s="489"/>
      <c r="BU10" s="473" t="str">
        <f t="shared" si="1"/>
        <v>Hạt rPET WSS01G</v>
      </c>
      <c r="BV10" s="480">
        <f>AZ11</f>
        <v>21886.291237564885</v>
      </c>
      <c r="BW10" s="480">
        <f>BW6</f>
        <v>1864.9499828812825</v>
      </c>
      <c r="BX10" s="480">
        <f t="shared" ref="BX10:BZ10" si="3">BX6</f>
        <v>1273.8558498087386</v>
      </c>
      <c r="BY10" s="480">
        <f t="shared" si="3"/>
        <v>2000.939404729972</v>
      </c>
      <c r="BZ10" s="480">
        <f t="shared" si="3"/>
        <v>1376.0623421472308</v>
      </c>
      <c r="CA10" s="480">
        <f>SUM(BV10:BZ10)</f>
        <v>28402.098817132111</v>
      </c>
      <c r="CC10" s="480">
        <f>CA10/$CC$1</f>
        <v>1071.7773138540419</v>
      </c>
      <c r="CE10" s="479">
        <f>CE6</f>
        <v>162.37096173973626</v>
      </c>
      <c r="CF10" s="479">
        <f t="shared" ref="CF10:CG10" si="4">CF6</f>
        <v>868.9998264569133</v>
      </c>
      <c r="CG10" s="479">
        <f t="shared" si="4"/>
        <v>691.31808646801119</v>
      </c>
      <c r="CH10" s="480">
        <f>SUM(CE10:CG10)</f>
        <v>1722.6888746646607</v>
      </c>
      <c r="CI10" s="480">
        <f>CC10+$CH$1</f>
        <v>1136.7844411998783</v>
      </c>
      <c r="CJ10" s="479">
        <f>CC10+$CJ$1</f>
        <v>1211.7773138540419</v>
      </c>
    </row>
    <row r="11" spans="2:88" ht="15.75" customHeight="1" x14ac:dyDescent="0.35">
      <c r="K11" s="353"/>
      <c r="V11" s="343"/>
      <c r="X11" s="342"/>
      <c r="Z11" s="353"/>
      <c r="AH11" s="357">
        <v>0.29600174860447914</v>
      </c>
      <c r="AI11" s="1052" t="s">
        <v>702</v>
      </c>
      <c r="AJ11" s="1011" t="s">
        <v>561</v>
      </c>
      <c r="AK11" s="1012"/>
      <c r="AL11" s="521">
        <f>AI11/$AI$7</f>
        <v>0.6</v>
      </c>
      <c r="AS11" s="358"/>
      <c r="AT11" s="1029" t="s">
        <v>562</v>
      </c>
      <c r="AU11" s="1030"/>
      <c r="AV11" s="359"/>
      <c r="AW11" s="359"/>
      <c r="AX11" s="1019" t="s">
        <v>563</v>
      </c>
      <c r="AY11" s="1020"/>
      <c r="AZ11" s="467">
        <f>$AZ$6/$BB$6*BB11</f>
        <v>21886.291237564885</v>
      </c>
      <c r="BA11" s="348">
        <v>0</v>
      </c>
      <c r="BB11" s="449">
        <f>'Hảo_R&amp;D (Vảy sạch)'!BH4</f>
        <v>1.0642201834862386</v>
      </c>
      <c r="BC11" s="422" t="s">
        <v>564</v>
      </c>
      <c r="BD11" s="423"/>
      <c r="BH11" s="344"/>
      <c r="BI11" s="344"/>
      <c r="BM11" s="387">
        <f>$AK124</f>
        <v>0.77783045852077959</v>
      </c>
      <c r="BN11" s="343"/>
      <c r="BO11" s="343"/>
      <c r="BP11" s="343"/>
      <c r="BV11" s="463">
        <f>BV6-BV12</f>
        <v>2264.0990935411974</v>
      </c>
    </row>
    <row r="12" spans="2:88" ht="15.5" x14ac:dyDescent="0.35">
      <c r="K12" s="353"/>
      <c r="V12" s="343"/>
      <c r="Z12" s="390">
        <f>SUM(Z13:Z29)</f>
        <v>0.12863516154342916</v>
      </c>
      <c r="AA12" s="553"/>
      <c r="AH12" s="360"/>
      <c r="AI12" s="1052"/>
      <c r="AJ12" s="1013"/>
      <c r="AK12" s="1014"/>
      <c r="AS12" s="353"/>
      <c r="AT12" s="1031"/>
      <c r="AU12" s="1032"/>
      <c r="AV12" s="349"/>
      <c r="AW12" s="349"/>
      <c r="AX12" s="1021"/>
      <c r="AY12" s="1022"/>
      <c r="AZ12" s="463">
        <f>AZ7-AZ13</f>
        <v>2264.0990935411974</v>
      </c>
      <c r="BA12" s="361"/>
      <c r="BB12" s="361"/>
      <c r="BC12" s="424"/>
      <c r="BD12" s="425"/>
      <c r="BH12" s="344"/>
      <c r="BI12" s="344"/>
      <c r="BK12" s="483" t="str">
        <f>N125</f>
        <v>Chai B6.2</v>
      </c>
      <c r="BL12" s="474">
        <f>N123</f>
        <v>15057.98648167912</v>
      </c>
      <c r="BM12" s="474">
        <f>AK123</f>
        <v>19358.957105273665</v>
      </c>
      <c r="BN12" s="484">
        <f>BN6</f>
        <v>1864.9499828812825</v>
      </c>
      <c r="BO12" s="484">
        <f>BO6</f>
        <v>1273.8558498087386</v>
      </c>
      <c r="BP12" s="486">
        <f>SUM(BM12:BO12)</f>
        <v>22497.762937963686</v>
      </c>
      <c r="BQ12" s="453">
        <f>BP12/$BQ$2</f>
        <v>848.9721863382523</v>
      </c>
      <c r="BR12" s="494">
        <f>$BR$2+BQ12</f>
        <v>918.9721863382523</v>
      </c>
      <c r="BT12" s="489"/>
      <c r="BU12" s="471" t="str">
        <f t="shared" si="1"/>
        <v>Hạt rPET WSS03G</v>
      </c>
      <c r="BV12" s="475">
        <f>AZ13</f>
        <v>21320.266464179582</v>
      </c>
      <c r="BW12" s="475">
        <f>BW6</f>
        <v>1864.9499828812825</v>
      </c>
      <c r="BX12" s="475">
        <f t="shared" ref="BX12:BZ12" si="5">BX6</f>
        <v>1273.8558498087386</v>
      </c>
      <c r="BY12" s="475">
        <f t="shared" si="5"/>
        <v>2000.939404729972</v>
      </c>
      <c r="BZ12" s="475">
        <f t="shared" si="5"/>
        <v>1376.0623421472308</v>
      </c>
      <c r="CA12" s="475">
        <f>SUM(BV12:BZ12)</f>
        <v>27836.074043746808</v>
      </c>
      <c r="CC12" s="475">
        <f>CA12/$CC$1</f>
        <v>1050.4178884432758</v>
      </c>
      <c r="CE12" s="474">
        <f>CE6</f>
        <v>162.37096173973626</v>
      </c>
      <c r="CF12" s="474">
        <f t="shared" ref="CF12:CG12" si="6">CF6</f>
        <v>868.9998264569133</v>
      </c>
      <c r="CG12" s="474">
        <f t="shared" si="6"/>
        <v>691.31808646801119</v>
      </c>
      <c r="CH12" s="475">
        <f>SUM(CE12:CG12)</f>
        <v>1722.6888746646607</v>
      </c>
      <c r="CI12" s="475">
        <f>CC12+$CH$1</f>
        <v>1115.4250157891122</v>
      </c>
      <c r="CJ12" s="474">
        <f>CC12+$CJ$1</f>
        <v>1190.4178884432758</v>
      </c>
    </row>
    <row r="13" spans="2:88" ht="19" customHeight="1" x14ac:dyDescent="0.3">
      <c r="K13" s="353"/>
      <c r="V13" s="343"/>
      <c r="X13" s="342"/>
      <c r="Z13" s="362">
        <v>4.6699187812774122E-2</v>
      </c>
      <c r="AA13" s="1052"/>
      <c r="AB13" s="1027" t="s">
        <v>565</v>
      </c>
      <c r="AC13" s="1012"/>
      <c r="AH13" s="357">
        <v>6.3639114937117491E-2</v>
      </c>
      <c r="AI13" s="1052" t="s">
        <v>703</v>
      </c>
      <c r="AJ13" s="1011" t="s">
        <v>566</v>
      </c>
      <c r="AK13" s="1012"/>
      <c r="AL13" s="521">
        <f>AI13/$AI$7</f>
        <v>0.5</v>
      </c>
      <c r="AS13" s="353"/>
      <c r="AZ13" s="467">
        <f>$AZ$6/$BB$6*BB13</f>
        <v>21320.266464179582</v>
      </c>
      <c r="BA13" s="357">
        <v>2.4210369457914212E-2</v>
      </c>
      <c r="BB13" s="449">
        <f>'Hảo_R&amp;D (Vảy sạch)'!BH5</f>
        <v>1.036697247706422</v>
      </c>
      <c r="BC13" s="422" t="s">
        <v>567</v>
      </c>
      <c r="BD13" s="423"/>
      <c r="BN13" s="343"/>
      <c r="BO13" s="343"/>
      <c r="BP13" s="343"/>
      <c r="BV13" s="453">
        <f>BL6/BV14</f>
        <v>22020.878098204714</v>
      </c>
      <c r="BW13" s="453"/>
      <c r="BX13" s="453"/>
      <c r="BY13" s="453"/>
      <c r="BZ13" s="453"/>
      <c r="CA13" s="453"/>
      <c r="CC13" s="453"/>
    </row>
    <row r="14" spans="2:88" x14ac:dyDescent="0.3">
      <c r="K14" s="353"/>
      <c r="V14" s="343"/>
      <c r="X14" s="342"/>
      <c r="Z14" s="341"/>
      <c r="AA14" s="1052"/>
      <c r="AB14" s="1028"/>
      <c r="AC14" s="1014"/>
      <c r="AH14" s="363"/>
      <c r="AI14" s="1052"/>
      <c r="AJ14" s="1013"/>
      <c r="AK14" s="1014"/>
      <c r="AS14" s="353"/>
      <c r="BA14" s="361"/>
      <c r="BB14" s="361"/>
      <c r="BC14" s="424"/>
      <c r="BD14" s="425"/>
      <c r="BH14" s="341"/>
      <c r="BI14" s="341"/>
      <c r="BS14" s="472" t="str">
        <f>AT28</f>
        <v xml:space="preserve">Tạo hạt iSS01G </v>
      </c>
      <c r="BT14" s="490"/>
      <c r="BV14" s="342">
        <f>BD25</f>
        <v>0.75310955749669795</v>
      </c>
      <c r="BW14" s="342"/>
      <c r="BX14" s="342"/>
      <c r="BY14" s="342"/>
      <c r="BZ14" s="342"/>
      <c r="CA14" s="342"/>
      <c r="CC14" s="342"/>
    </row>
    <row r="15" spans="2:88" ht="30" x14ac:dyDescent="0.3">
      <c r="K15" s="353"/>
      <c r="V15" s="343"/>
      <c r="X15" s="342"/>
      <c r="Z15" s="350">
        <v>6.7787447174173249E-3</v>
      </c>
      <c r="AA15" s="1052"/>
      <c r="AB15" s="1027" t="s">
        <v>568</v>
      </c>
      <c r="AC15" s="1012"/>
      <c r="AF15" s="343"/>
      <c r="AH15" s="364">
        <v>1.1096913040554173E-2</v>
      </c>
      <c r="AI15" s="1142"/>
      <c r="AJ15" s="1011" t="s">
        <v>569</v>
      </c>
      <c r="AK15" s="1012"/>
      <c r="AL15" s="340" t="s">
        <v>704</v>
      </c>
      <c r="AS15" s="353"/>
      <c r="AZ15" s="467">
        <f>$BC$6*BA15*BB15</f>
        <v>0</v>
      </c>
      <c r="BA15" s="357">
        <v>1.0793244686151528E-2</v>
      </c>
      <c r="BB15" s="449"/>
      <c r="BC15" s="426" t="s">
        <v>570</v>
      </c>
      <c r="BD15" s="427"/>
      <c r="BH15" s="341"/>
      <c r="BI15" s="341"/>
      <c r="BT15" s="490" t="str">
        <f>AX28</f>
        <v>70% B1-A3 DT/MN + 25% B6.2-A3.1/Nạp Star + 5% Hạt WSS03G PL</v>
      </c>
      <c r="BU15" s="472" t="str">
        <f>BC26</f>
        <v>Hạt nhựa rPET iSS01G 2</v>
      </c>
      <c r="BV15" s="478">
        <f>AZ26</f>
        <v>22871.05753606886</v>
      </c>
      <c r="BW15" s="478">
        <f>BW6</f>
        <v>1864.9499828812825</v>
      </c>
      <c r="BX15" s="478">
        <f t="shared" ref="BX15:BZ15" si="7">BX6</f>
        <v>1273.8558498087386</v>
      </c>
      <c r="BY15" s="478">
        <f t="shared" si="7"/>
        <v>2000.939404729972</v>
      </c>
      <c r="BZ15" s="478">
        <f t="shared" si="7"/>
        <v>1376.0623421472308</v>
      </c>
      <c r="CA15" s="478">
        <f>SUM(BV15:BZ15)</f>
        <v>29386.865115636083</v>
      </c>
      <c r="CC15" s="478">
        <f>CA15/$CC$1</f>
        <v>1108.9383062504182</v>
      </c>
      <c r="CE15" s="478">
        <f>CE6</f>
        <v>162.37096173973626</v>
      </c>
      <c r="CF15" s="478">
        <f t="shared" ref="CF15:CG15" si="8">CF6</f>
        <v>868.9998264569133</v>
      </c>
      <c r="CG15" s="478">
        <f t="shared" si="8"/>
        <v>691.31808646801119</v>
      </c>
      <c r="CH15" s="477">
        <f>SUM(CE15:CG15)</f>
        <v>1722.6888746646607</v>
      </c>
      <c r="CI15" s="477">
        <f>CC15+$CH$1</f>
        <v>1173.9454335962546</v>
      </c>
      <c r="CJ15" s="478">
        <f>CC15+$CJ$1</f>
        <v>1248.9383062504182</v>
      </c>
    </row>
    <row r="16" spans="2:88" x14ac:dyDescent="0.3">
      <c r="K16" s="353"/>
      <c r="V16" s="343"/>
      <c r="X16" s="342"/>
      <c r="Z16" s="341"/>
      <c r="AA16" s="1052"/>
      <c r="AB16" s="1028"/>
      <c r="AC16" s="1014"/>
      <c r="AH16" s="353"/>
      <c r="AI16" s="1052"/>
      <c r="AJ16" s="1013"/>
      <c r="AK16" s="1014"/>
      <c r="AS16" s="353"/>
      <c r="BA16" s="361"/>
      <c r="BB16" s="361"/>
      <c r="BC16" s="428"/>
      <c r="BD16" s="429"/>
      <c r="BH16" s="341"/>
      <c r="BI16" s="341"/>
      <c r="BV16" s="463">
        <f>BV15-BV17</f>
        <v>576.58128242189923</v>
      </c>
    </row>
    <row r="17" spans="11:89" ht="30" x14ac:dyDescent="0.3">
      <c r="K17" s="353"/>
      <c r="V17" s="343"/>
      <c r="X17" s="342"/>
      <c r="Z17" s="350">
        <v>5.1852927008328017E-4</v>
      </c>
      <c r="AA17" s="1052"/>
      <c r="AB17" s="1027" t="s">
        <v>571</v>
      </c>
      <c r="AC17" s="1012"/>
      <c r="AH17" s="353"/>
      <c r="AS17" s="353"/>
      <c r="BA17" s="361"/>
      <c r="BB17" s="343"/>
      <c r="BH17" s="341"/>
      <c r="BI17" s="341"/>
      <c r="BT17" s="491" t="str">
        <f>AX49</f>
        <v>85.5% B1-A1/A2 MN + 9.5% B2.2-A1/A2 + 5% Hạt WSS03G PL</v>
      </c>
      <c r="BU17" s="473" t="str">
        <f>BC30</f>
        <v>Hạt nhựa rPET WSS01G 2</v>
      </c>
      <c r="BV17" s="479">
        <f>AZ30</f>
        <v>22294.476253646961</v>
      </c>
      <c r="BW17" s="479">
        <f>BW6</f>
        <v>1864.9499828812825</v>
      </c>
      <c r="BX17" s="479">
        <f t="shared" ref="BX17:BZ17" si="9">BX6</f>
        <v>1273.8558498087386</v>
      </c>
      <c r="BY17" s="479">
        <f t="shared" si="9"/>
        <v>2000.939404729972</v>
      </c>
      <c r="BZ17" s="479">
        <f t="shared" si="9"/>
        <v>1376.0623421472308</v>
      </c>
      <c r="CA17" s="479">
        <f>SUM(BV17:BZ17)</f>
        <v>28810.283833214187</v>
      </c>
      <c r="CC17" s="479">
        <f>CA17/$CC$1</f>
        <v>1087.1805220080826</v>
      </c>
      <c r="CE17" s="479">
        <f>CE6</f>
        <v>162.37096173973626</v>
      </c>
      <c r="CF17" s="479">
        <f t="shared" ref="CF17:CG17" si="10">CF6</f>
        <v>868.9998264569133</v>
      </c>
      <c r="CG17" s="479">
        <f t="shared" si="10"/>
        <v>691.31808646801119</v>
      </c>
      <c r="CH17" s="480">
        <f>SUM(CE17:CG17)</f>
        <v>1722.6888746646607</v>
      </c>
      <c r="CI17" s="480">
        <f>CC17+$CH$1</f>
        <v>1152.1876493539189</v>
      </c>
      <c r="CJ17" s="479">
        <f>CC17+$CJ$1</f>
        <v>1227.1805220080826</v>
      </c>
      <c r="CK17" s="473"/>
    </row>
    <row r="18" spans="11:89" ht="15" customHeight="1" x14ac:dyDescent="0.3">
      <c r="K18" s="353"/>
      <c r="V18" s="343"/>
      <c r="X18" s="342"/>
      <c r="Z18" s="341"/>
      <c r="AA18" s="1052"/>
      <c r="AB18" s="1028"/>
      <c r="AC18" s="1014"/>
      <c r="AH18" s="360"/>
      <c r="AS18" s="353"/>
      <c r="BA18" s="361"/>
      <c r="BB18" s="343"/>
      <c r="BH18" s="341"/>
      <c r="BI18" s="341"/>
      <c r="BV18" s="463">
        <f>BV15-BV19</f>
        <v>1153.1625648438057</v>
      </c>
    </row>
    <row r="19" spans="11:89" ht="15.75" customHeight="1" x14ac:dyDescent="0.3">
      <c r="K19" s="353"/>
      <c r="V19" s="343"/>
      <c r="X19" s="342"/>
      <c r="Z19" s="350">
        <v>2.6484960547600567E-2</v>
      </c>
      <c r="AA19" s="1052"/>
      <c r="AB19" s="1027" t="s">
        <v>572</v>
      </c>
      <c r="AC19" s="1012"/>
      <c r="AH19" s="353"/>
      <c r="AS19" s="353"/>
      <c r="BA19" s="362">
        <v>8.1900547305315697E-3</v>
      </c>
      <c r="BB19" s="362"/>
      <c r="BC19" s="431" t="s">
        <v>573</v>
      </c>
      <c r="BD19" s="430"/>
      <c r="BH19" s="341"/>
      <c r="BI19" s="341"/>
      <c r="BT19" s="489"/>
      <c r="BU19" s="471" t="str">
        <f>BC32</f>
        <v>Hạt nhựa rPET WSS03G</v>
      </c>
      <c r="BV19" s="474">
        <f>AZ32</f>
        <v>21717.894971225054</v>
      </c>
      <c r="BW19" s="474">
        <f>BW6</f>
        <v>1864.9499828812825</v>
      </c>
      <c r="BX19" s="474">
        <f>BX6</f>
        <v>1273.8558498087386</v>
      </c>
      <c r="BY19" s="474">
        <f>BY6</f>
        <v>2000.939404729972</v>
      </c>
      <c r="BZ19" s="474">
        <f>BZ6</f>
        <v>1376.0623421472308</v>
      </c>
      <c r="CA19" s="474">
        <f>SUM(BV19:BZ19)</f>
        <v>28233.702550792277</v>
      </c>
      <c r="CC19" s="474">
        <f>CA19/$CC$1</f>
        <v>1065.4227377657462</v>
      </c>
      <c r="CE19" s="474">
        <f>CE6</f>
        <v>162.37096173973626</v>
      </c>
      <c r="CF19" s="474">
        <f t="shared" ref="CF19:CG19" si="11">CF6</f>
        <v>868.9998264569133</v>
      </c>
      <c r="CG19" s="474">
        <f t="shared" si="11"/>
        <v>691.31808646801119</v>
      </c>
      <c r="CH19" s="475">
        <f>SUM(CE19:CG19)</f>
        <v>1722.6888746646607</v>
      </c>
      <c r="CI19" s="475">
        <f>CC19+$CH$1</f>
        <v>1130.4298651115826</v>
      </c>
      <c r="CJ19" s="474">
        <f>CC19+$CJ$1</f>
        <v>1205.4227377657462</v>
      </c>
    </row>
    <row r="20" spans="11:89" x14ac:dyDescent="0.3">
      <c r="K20" s="353"/>
      <c r="V20" s="343"/>
      <c r="X20" s="342"/>
      <c r="Z20" s="341"/>
      <c r="AA20" s="1052"/>
      <c r="AB20" s="1028"/>
      <c r="AC20" s="1014"/>
      <c r="AH20" s="390">
        <f>SUM(AH21:AH36)</f>
        <v>7.2553487120855478E-2</v>
      </c>
      <c r="AS20" s="353"/>
      <c r="BA20" s="343"/>
      <c r="BB20" s="343"/>
      <c r="BC20" s="430"/>
      <c r="BD20" s="430"/>
      <c r="BH20" s="341"/>
      <c r="BI20" s="341"/>
    </row>
    <row r="21" spans="11:89" ht="15" customHeight="1" x14ac:dyDescent="0.3">
      <c r="K21" s="353"/>
      <c r="V21" s="343"/>
      <c r="Z21" s="350">
        <v>1.0507317257874176E-3</v>
      </c>
      <c r="AA21" s="1141"/>
      <c r="AB21" s="1011" t="s">
        <v>574</v>
      </c>
      <c r="AC21" s="1012"/>
      <c r="AH21" s="362">
        <v>2.2100000000000002E-2</v>
      </c>
      <c r="AI21" s="1003"/>
      <c r="AJ21" s="1011" t="s">
        <v>575</v>
      </c>
      <c r="AK21" s="1012"/>
      <c r="AS21" s="353"/>
      <c r="BA21" s="350">
        <v>2.3911112101929609E-2</v>
      </c>
      <c r="BB21" s="350"/>
      <c r="BC21" s="431" t="s">
        <v>576</v>
      </c>
      <c r="BD21" s="432"/>
      <c r="BH21" s="341"/>
      <c r="BI21" s="341"/>
      <c r="BS21" s="473" t="str">
        <f>AT71</f>
        <v xml:space="preserve">Tạo hạt WSS01G </v>
      </c>
      <c r="BT21" s="491"/>
      <c r="BV21" s="453">
        <f>BL6/BV22</f>
        <v>23438.521069791597</v>
      </c>
      <c r="BW21" s="453"/>
      <c r="BX21" s="453"/>
      <c r="BY21" s="453"/>
      <c r="BZ21" s="453"/>
      <c r="CA21" s="453"/>
      <c r="CC21" s="453"/>
    </row>
    <row r="22" spans="11:89" x14ac:dyDescent="0.3">
      <c r="K22" s="353"/>
      <c r="V22" s="343"/>
      <c r="W22" s="343"/>
      <c r="Z22" s="341"/>
      <c r="AA22" s="1004"/>
      <c r="AB22" s="1013"/>
      <c r="AC22" s="1014"/>
      <c r="AI22" s="1004"/>
      <c r="AJ22" s="1013"/>
      <c r="AK22" s="1014"/>
      <c r="AS22" s="353"/>
      <c r="BA22" s="343"/>
      <c r="BB22" s="343"/>
      <c r="BC22" s="424"/>
      <c r="BD22" s="425"/>
      <c r="BU22" s="343" t="str">
        <f>AX71</f>
        <v>100% B1.2_A2 DT (STAR 1)</v>
      </c>
      <c r="BV22" s="387">
        <f>BD68</f>
        <v>0.70755888184437987</v>
      </c>
      <c r="BW22" s="387"/>
      <c r="BX22" s="387"/>
      <c r="BY22" s="387"/>
      <c r="BZ22" s="387"/>
      <c r="CA22" s="387"/>
      <c r="CC22" s="387"/>
    </row>
    <row r="23" spans="11:89" ht="15" customHeight="1" x14ac:dyDescent="0.3">
      <c r="K23" s="353"/>
      <c r="V23" s="343"/>
      <c r="Z23" s="350">
        <v>1.7996015844066785E-3</v>
      </c>
      <c r="AA23" s="1003"/>
      <c r="AB23" s="1011" t="s">
        <v>577</v>
      </c>
      <c r="AC23" s="1012"/>
      <c r="AH23" s="365">
        <v>3.4888022059318042E-3</v>
      </c>
      <c r="AI23" s="1003"/>
      <c r="AJ23" s="1011" t="s">
        <v>578</v>
      </c>
      <c r="AK23" s="1012"/>
      <c r="AS23" s="353"/>
      <c r="BA23" s="350">
        <v>1.6976414213182352E-2</v>
      </c>
      <c r="BB23" s="350"/>
      <c r="BC23" s="422" t="s">
        <v>579</v>
      </c>
      <c r="BD23" s="423"/>
      <c r="BT23" s="492" t="str">
        <f>AX71</f>
        <v>100% B1.2_A2 DT (STAR 1)</v>
      </c>
      <c r="BU23" s="473" t="str">
        <f>BC69</f>
        <v>Hạt nhựa rPET WSS01G 1</v>
      </c>
      <c r="BV23" s="479">
        <f>AZ69</f>
        <v>26789.035764552369</v>
      </c>
      <c r="BW23" s="479">
        <f>BW6</f>
        <v>1864.9499828812825</v>
      </c>
      <c r="BX23" s="479">
        <f t="shared" ref="BX23:BZ23" si="12">BX6</f>
        <v>1273.8558498087386</v>
      </c>
      <c r="BY23" s="479">
        <f t="shared" si="12"/>
        <v>2000.939404729972</v>
      </c>
      <c r="BZ23" s="479">
        <f t="shared" si="12"/>
        <v>1376.0623421472308</v>
      </c>
      <c r="CA23" s="487">
        <f>SUM(BV23:BZ23)</f>
        <v>33304.843344119596</v>
      </c>
      <c r="CC23" s="487">
        <f>CA23/$CC$1</f>
        <v>1256.7865412875319</v>
      </c>
      <c r="CE23" s="479">
        <f>CE6</f>
        <v>162.37096173973626</v>
      </c>
      <c r="CF23" s="479">
        <f t="shared" ref="CF23:CG23" si="13">CF6</f>
        <v>868.9998264569133</v>
      </c>
      <c r="CG23" s="479">
        <f t="shared" si="13"/>
        <v>691.31808646801119</v>
      </c>
      <c r="CH23" s="480">
        <f>SUM(CE23:CG23)</f>
        <v>1722.6888746646607</v>
      </c>
      <c r="CI23" s="480">
        <f>CC23+$CH$1</f>
        <v>1321.7936686333683</v>
      </c>
      <c r="CJ23" s="479">
        <f>CC23+$CJ$1</f>
        <v>1396.7865412875319</v>
      </c>
    </row>
    <row r="24" spans="11:89" ht="15.75" customHeight="1" x14ac:dyDescent="0.3">
      <c r="K24" s="353"/>
      <c r="V24" s="343"/>
      <c r="Z24" s="341"/>
      <c r="AA24" s="1141"/>
      <c r="AB24" s="1068"/>
      <c r="AC24" s="1069"/>
      <c r="AH24" s="341"/>
      <c r="AI24" s="1004"/>
      <c r="AJ24" s="1013"/>
      <c r="AK24" s="1014"/>
      <c r="AN24" s="1057"/>
      <c r="AO24" s="1057"/>
      <c r="AP24" s="349"/>
      <c r="AQ24" s="349"/>
      <c r="AS24" s="353"/>
      <c r="AZ24" s="463">
        <f>AZ26-AZ25</f>
        <v>1365.5690392614852</v>
      </c>
      <c r="BA24" s="343"/>
      <c r="BB24" s="579" t="s">
        <v>712</v>
      </c>
      <c r="BC24" s="517">
        <f>'Hảo_R&amp;D (Vảy sạch)'!BR3</f>
        <v>0.13333333333333333</v>
      </c>
      <c r="BD24" s="425"/>
      <c r="BM24" s="387">
        <f>$AK25</f>
        <v>0</v>
      </c>
    </row>
    <row r="25" spans="11:89" ht="15" customHeight="1" x14ac:dyDescent="0.3">
      <c r="K25" s="353"/>
      <c r="V25" s="343"/>
      <c r="Z25" s="350">
        <v>4.2999999999999997E-2</v>
      </c>
      <c r="AA25" s="366"/>
      <c r="AB25" s="1005" t="s">
        <v>580</v>
      </c>
      <c r="AC25" s="1006"/>
      <c r="AH25" s="350">
        <v>4.0949290470105593E-3</v>
      </c>
      <c r="AI25" s="1003"/>
      <c r="AJ25" s="1011" t="s">
        <v>581</v>
      </c>
      <c r="AK25" s="1012"/>
      <c r="AN25" s="1057"/>
      <c r="AO25" s="1057"/>
      <c r="AP25" s="349"/>
      <c r="AQ25" s="349"/>
      <c r="AS25" s="353"/>
      <c r="AZ25" s="466">
        <f>($AH$5*0.7+$AH$123*0.25+$AH$5*0.05)/BA25</f>
        <v>21505.488496807375</v>
      </c>
      <c r="BA25" s="388">
        <f>SUM(BA26,BA30:BA32)</f>
        <v>0.94070114023266149</v>
      </c>
      <c r="BB25" s="580">
        <f>SUM(BA26*BB26,BA30*BB30,BA32*BB32)</f>
        <v>1.026558087916047</v>
      </c>
      <c r="BC25" s="368"/>
      <c r="BD25" s="421">
        <f>(AK6*0.7+AK124*0.25+AK6*0.05)*BA25</f>
        <v>0.75310955749669795</v>
      </c>
      <c r="BE25" s="468">
        <f>($N$5/BD25)*0.75+($N$123/BD25)*0.25</f>
        <v>21514.262804534359</v>
      </c>
      <c r="BF25" s="463">
        <f>BE25-AZ25</f>
        <v>8.7743077269842615</v>
      </c>
      <c r="BG25" s="463"/>
      <c r="BL25" s="463">
        <f>N24</f>
        <v>0</v>
      </c>
      <c r="BM25" s="463">
        <f>AK24</f>
        <v>0</v>
      </c>
      <c r="BT25" s="489"/>
      <c r="BU25" s="471" t="str">
        <f>BC71</f>
        <v>Hạt nhựa rPET WSS03G</v>
      </c>
      <c r="BV25" s="474">
        <f>AZ71</f>
        <v>26096.215874089808</v>
      </c>
      <c r="BW25" s="474">
        <f>BW6</f>
        <v>1864.9499828812825</v>
      </c>
      <c r="BX25" s="474">
        <f t="shared" ref="BX25:BZ25" si="14">BX6</f>
        <v>1273.8558498087386</v>
      </c>
      <c r="BY25" s="474">
        <f t="shared" si="14"/>
        <v>2000.939404729972</v>
      </c>
      <c r="BZ25" s="474">
        <f t="shared" si="14"/>
        <v>1376.0623421472308</v>
      </c>
      <c r="CA25" s="488">
        <f>SUM(BV25:BZ25)</f>
        <v>32612.023453657031</v>
      </c>
      <c r="CC25" s="488">
        <f>CA25/$CC$1</f>
        <v>1230.6423944776238</v>
      </c>
      <c r="CE25" s="474">
        <f>CE6</f>
        <v>162.37096173973626</v>
      </c>
      <c r="CF25" s="474">
        <f t="shared" ref="CF25:CG25" si="15">CF6</f>
        <v>868.9998264569133</v>
      </c>
      <c r="CG25" s="474">
        <f t="shared" si="15"/>
        <v>691.31808646801119</v>
      </c>
      <c r="CH25" s="475">
        <f>SUM(CE25:CG25)</f>
        <v>1722.6888746646607</v>
      </c>
      <c r="CI25" s="475">
        <f>CC25+$CH$1</f>
        <v>1295.6495218234602</v>
      </c>
      <c r="CJ25" s="474">
        <f>CC25+$CJ$1</f>
        <v>1370.6423944776238</v>
      </c>
    </row>
    <row r="26" spans="11:89" ht="15.75" customHeight="1" x14ac:dyDescent="0.3">
      <c r="K26" s="353"/>
      <c r="V26" s="343"/>
      <c r="AA26" s="367"/>
      <c r="AB26" s="1007"/>
      <c r="AC26" s="1008"/>
      <c r="AH26" s="341"/>
      <c r="AI26" s="1004"/>
      <c r="AJ26" s="1013"/>
      <c r="AK26" s="1014"/>
      <c r="AN26" s="1057"/>
      <c r="AO26" s="1057"/>
      <c r="AP26" s="349"/>
      <c r="AQ26" s="349"/>
      <c r="AS26" s="353"/>
      <c r="AZ26" s="467">
        <f>$AZ$25/$BB$25*BB26</f>
        <v>22871.05753606886</v>
      </c>
      <c r="BA26" s="576">
        <v>0.92720000000000002</v>
      </c>
      <c r="BB26" s="580">
        <f>BB9</f>
        <v>1.0917431192660549</v>
      </c>
      <c r="BC26" s="426" t="s">
        <v>582</v>
      </c>
      <c r="BD26" s="423"/>
      <c r="BE26" s="368"/>
      <c r="BF26" s="368"/>
      <c r="BG26" s="368"/>
      <c r="BH26" s="368"/>
      <c r="BI26" s="368"/>
      <c r="BJ26" s="368"/>
      <c r="BK26" s="368"/>
      <c r="BL26" s="368"/>
      <c r="BV26" s="453">
        <f>BL6/BV27</f>
        <v>21525.172411033105</v>
      </c>
      <c r="BW26" s="453"/>
      <c r="BX26" s="453"/>
      <c r="BY26" s="453"/>
      <c r="BZ26" s="453"/>
      <c r="CA26" s="453"/>
      <c r="CC26" s="453"/>
    </row>
    <row r="27" spans="11:89" ht="15.75" customHeight="1" x14ac:dyDescent="0.3">
      <c r="K27" s="353"/>
      <c r="V27" s="343"/>
      <c r="Z27" s="559">
        <v>2.9975830014956364E-4</v>
      </c>
      <c r="AB27" s="1095" t="s">
        <v>719</v>
      </c>
      <c r="AC27" s="1095"/>
      <c r="AH27" s="350">
        <v>2.8650211850158049E-3</v>
      </c>
      <c r="AI27" s="1003"/>
      <c r="AJ27" s="1011" t="s">
        <v>583</v>
      </c>
      <c r="AK27" s="1012"/>
      <c r="AN27" s="1057"/>
      <c r="AO27" s="1057"/>
      <c r="AP27" s="349"/>
      <c r="AQ27" s="349"/>
      <c r="AS27" s="353"/>
      <c r="AZ27" s="349"/>
      <c r="BA27" s="356"/>
      <c r="BB27" s="356"/>
      <c r="BC27" s="424"/>
      <c r="BD27" s="425"/>
      <c r="BE27" s="368"/>
      <c r="BF27" s="368"/>
      <c r="BG27" s="368"/>
      <c r="BH27" s="368"/>
      <c r="BI27" s="368"/>
      <c r="BJ27" s="368"/>
      <c r="BK27" s="368"/>
      <c r="BL27" s="368"/>
      <c r="BU27" s="343" t="str">
        <f>AX131</f>
        <v>100% B1.2_A2 DT (STAR 2)</v>
      </c>
      <c r="BV27" s="387">
        <f>BD128</f>
        <v>0.77045300467499123</v>
      </c>
      <c r="BW27" s="387"/>
      <c r="BX27" s="387"/>
      <c r="BY27" s="387"/>
      <c r="BZ27" s="387"/>
      <c r="CA27" s="387"/>
      <c r="CC27" s="387"/>
    </row>
    <row r="28" spans="11:89" x14ac:dyDescent="0.3">
      <c r="K28" s="353"/>
      <c r="V28" s="343"/>
      <c r="Z28" s="559">
        <v>1.9121424199014269E-3</v>
      </c>
      <c r="AB28" s="1095" t="s">
        <v>720</v>
      </c>
      <c r="AC28" s="1095"/>
      <c r="AH28" s="341"/>
      <c r="AI28" s="1004"/>
      <c r="AJ28" s="1013"/>
      <c r="AK28" s="1014"/>
      <c r="AN28" s="1057"/>
      <c r="AO28" s="1057"/>
      <c r="AP28" s="349"/>
      <c r="AQ28" s="349"/>
      <c r="AS28" s="358"/>
      <c r="AT28" s="1029" t="s">
        <v>584</v>
      </c>
      <c r="AU28" s="1030"/>
      <c r="AV28" s="359"/>
      <c r="AW28" s="359"/>
      <c r="AX28" s="1015" t="s">
        <v>585</v>
      </c>
      <c r="AY28" s="1016"/>
      <c r="AZ28" s="346"/>
      <c r="BA28" s="348">
        <v>1.89E-2</v>
      </c>
      <c r="BB28" s="350"/>
      <c r="BC28" s="426" t="s">
        <v>586</v>
      </c>
      <c r="BD28" s="423"/>
      <c r="BT28" s="490" t="str">
        <f>AX131</f>
        <v>100% B1.2_A2 DT (STAR 2)</v>
      </c>
      <c r="BU28" s="472" t="str">
        <f>BC133</f>
        <v>Hạt nhựa rPET iSS01G 2</v>
      </c>
      <c r="BV28" s="478">
        <f>AZ133</f>
        <v>23172.007643319674</v>
      </c>
      <c r="BW28" s="478">
        <f>BW6</f>
        <v>1864.9499828812825</v>
      </c>
      <c r="BX28" s="478">
        <f t="shared" ref="BX28:BZ28" si="16">BX6</f>
        <v>1273.8558498087386</v>
      </c>
      <c r="BY28" s="478">
        <f t="shared" si="16"/>
        <v>2000.939404729972</v>
      </c>
      <c r="BZ28" s="478">
        <f t="shared" si="16"/>
        <v>1376.0623421472308</v>
      </c>
      <c r="CA28" s="478">
        <f>SUM(BV28:BZ28)</f>
        <v>29687.815222886897</v>
      </c>
      <c r="CC28" s="478">
        <f>CA28/$CC$1</f>
        <v>1120.2949140712037</v>
      </c>
      <c r="CE28" s="478">
        <f>CE6</f>
        <v>162.37096173973626</v>
      </c>
      <c r="CF28" s="478">
        <f t="shared" ref="CF28:CG28" si="17">CF6</f>
        <v>868.9998264569133</v>
      </c>
      <c r="CG28" s="478">
        <f t="shared" si="17"/>
        <v>691.31808646801119</v>
      </c>
      <c r="CH28" s="477">
        <f>SUM(CE28:CG28)</f>
        <v>1722.6888746646607</v>
      </c>
      <c r="CI28" s="477">
        <f>CC28+$CH$1</f>
        <v>1185.3020414170401</v>
      </c>
      <c r="CJ28" s="478">
        <f>CC28+$CJ$1</f>
        <v>1260.2949140712037</v>
      </c>
      <c r="CK28" s="472"/>
    </row>
    <row r="29" spans="11:89" x14ac:dyDescent="0.3">
      <c r="K29" s="353"/>
      <c r="V29" s="343"/>
      <c r="Z29" s="559">
        <v>9.1505165308814162E-5</v>
      </c>
      <c r="AB29" s="1095" t="s">
        <v>721</v>
      </c>
      <c r="AC29" s="1095"/>
      <c r="AH29" s="350">
        <v>2.1016880758625328E-3</v>
      </c>
      <c r="AI29" s="1052"/>
      <c r="AJ29" s="1011" t="s">
        <v>587</v>
      </c>
      <c r="AK29" s="1012"/>
      <c r="AN29" s="1057"/>
      <c r="AO29" s="1057"/>
      <c r="AP29" s="349"/>
      <c r="AQ29" s="349"/>
      <c r="AS29" s="353"/>
      <c r="AT29" s="1031"/>
      <c r="AU29" s="1032"/>
      <c r="AV29" s="349"/>
      <c r="AW29" s="369"/>
      <c r="AX29" s="1017"/>
      <c r="AY29" s="1018"/>
      <c r="BA29" s="361"/>
      <c r="BB29" s="361"/>
      <c r="BC29" s="431"/>
      <c r="BD29" s="432"/>
    </row>
    <row r="30" spans="11:89" x14ac:dyDescent="0.3">
      <c r="K30" s="353"/>
      <c r="V30" s="343"/>
      <c r="AH30" s="341"/>
      <c r="AI30" s="1052"/>
      <c r="AJ30" s="1013"/>
      <c r="AK30" s="1014"/>
      <c r="AN30" s="1057"/>
      <c r="AO30" s="1057"/>
      <c r="AP30" s="349"/>
      <c r="AQ30" s="349"/>
      <c r="AS30" s="353"/>
      <c r="AW30" s="353"/>
      <c r="AZ30" s="467">
        <f>$AZ$25/$BB$25*BB30</f>
        <v>22294.476253646961</v>
      </c>
      <c r="BA30" s="357">
        <v>1.0800912186129174E-2</v>
      </c>
      <c r="BB30" s="450">
        <f>BB11</f>
        <v>1.0642201834862386</v>
      </c>
      <c r="BC30" s="434" t="s">
        <v>588</v>
      </c>
      <c r="BD30" s="434"/>
      <c r="BT30" s="491" t="str">
        <f>AX149</f>
        <v>95% B1-A1/A2.1 MN + 5% Hạt WSS03G PL</v>
      </c>
      <c r="BU30" s="473" t="str">
        <f>BC129</f>
        <v>Hạt nhựa rPET WSS01G 2</v>
      </c>
      <c r="BV30" s="479">
        <f>AZ129</f>
        <v>22587.839383404054</v>
      </c>
      <c r="BW30" s="479">
        <f>BW6</f>
        <v>1864.9499828812825</v>
      </c>
      <c r="BX30" s="479">
        <f t="shared" ref="BX30:BZ30" si="18">BX6</f>
        <v>1273.8558498087386</v>
      </c>
      <c r="BY30" s="479">
        <f t="shared" si="18"/>
        <v>2000.939404729972</v>
      </c>
      <c r="BZ30" s="479">
        <f t="shared" si="18"/>
        <v>1376.0623421472308</v>
      </c>
      <c r="CA30" s="479">
        <f>SUM(BV30:BZ30)</f>
        <v>29103.646962971277</v>
      </c>
      <c r="CC30" s="479">
        <f>CA30/$CC$1</f>
        <v>1098.250828791369</v>
      </c>
      <c r="CE30" s="479">
        <f>CE6</f>
        <v>162.37096173973626</v>
      </c>
      <c r="CF30" s="479">
        <f t="shared" ref="CF30:CG30" si="19">CF6</f>
        <v>868.9998264569133</v>
      </c>
      <c r="CG30" s="479">
        <f t="shared" si="19"/>
        <v>691.31808646801119</v>
      </c>
      <c r="CH30" s="480">
        <f>SUM(CE30:CG30)</f>
        <v>1722.6888746646607</v>
      </c>
      <c r="CI30" s="480">
        <f>CC30+$CH$1</f>
        <v>1163.2579561372054</v>
      </c>
      <c r="CJ30" s="479">
        <f>CC30+$CJ$1</f>
        <v>1238.250828791369</v>
      </c>
    </row>
    <row r="31" spans="11:89" x14ac:dyDescent="0.3">
      <c r="K31" s="353"/>
      <c r="V31" s="343"/>
      <c r="AH31" s="350">
        <v>1.3030466070347703E-3</v>
      </c>
      <c r="AI31" s="1052"/>
      <c r="AJ31" s="1011" t="s">
        <v>589</v>
      </c>
      <c r="AK31" s="1012"/>
      <c r="AN31" s="1057"/>
      <c r="AO31" s="1057"/>
      <c r="AP31" s="349"/>
      <c r="AQ31" s="349"/>
      <c r="AS31" s="353"/>
      <c r="AW31" s="353"/>
      <c r="BA31" s="361"/>
      <c r="BB31" s="361"/>
      <c r="BC31" s="435"/>
      <c r="BD31" s="435"/>
    </row>
    <row r="32" spans="11:89" ht="30" x14ac:dyDescent="0.3">
      <c r="K32" s="353"/>
      <c r="V32" s="343"/>
      <c r="AI32" s="1052"/>
      <c r="AJ32" s="1013"/>
      <c r="AK32" s="1014"/>
      <c r="AS32" s="353"/>
      <c r="AW32" s="353"/>
      <c r="AZ32" s="467">
        <f>$AZ$25/$BB$25*BB32</f>
        <v>21717.894971225054</v>
      </c>
      <c r="BA32" s="357">
        <v>2.7002280465322935E-3</v>
      </c>
      <c r="BB32" s="450">
        <f>BB13</f>
        <v>1.036697247706422</v>
      </c>
      <c r="BC32" s="434" t="s">
        <v>590</v>
      </c>
      <c r="BD32" s="434"/>
      <c r="BT32" s="489" t="str">
        <f>AX172</f>
        <v>85.5% B1-A2.2 DT/MN + 9.5% B6.2-A1/A2 + 5% Hạt WSS03G PL</v>
      </c>
      <c r="BU32" s="471" t="str">
        <f>BC131</f>
        <v>Hạt nhựa rPET WSS03G</v>
      </c>
      <c r="BV32" s="474">
        <f>AZ131</f>
        <v>22003.671123488431</v>
      </c>
      <c r="BW32" s="474">
        <f>BW6</f>
        <v>1864.9499828812825</v>
      </c>
      <c r="BX32" s="474">
        <f t="shared" ref="BX32:BZ32" si="20">BX6</f>
        <v>1273.8558498087386</v>
      </c>
      <c r="BY32" s="474">
        <f t="shared" si="20"/>
        <v>2000.939404729972</v>
      </c>
      <c r="BZ32" s="474">
        <f t="shared" si="20"/>
        <v>1376.0623421472308</v>
      </c>
      <c r="CA32" s="474">
        <f>SUM(BV32:BZ32)</f>
        <v>28519.478703055658</v>
      </c>
      <c r="CC32" s="474">
        <f>CA32/$CC$1</f>
        <v>1076.2067435115343</v>
      </c>
      <c r="CE32" s="474">
        <f>CE6</f>
        <v>162.37096173973626</v>
      </c>
      <c r="CF32" s="474">
        <f t="shared" ref="CF32:CG32" si="21">CF6</f>
        <v>868.9998264569133</v>
      </c>
      <c r="CG32" s="474">
        <f t="shared" si="21"/>
        <v>691.31808646801119</v>
      </c>
      <c r="CH32" s="475">
        <f>SUM(CE32:CG32)</f>
        <v>1722.6888746646607</v>
      </c>
      <c r="CI32" s="475">
        <f>CC32+$CH$1</f>
        <v>1141.2138708573707</v>
      </c>
      <c r="CJ32" s="474">
        <f>CC32+$CJ$1</f>
        <v>1216.2067435115343</v>
      </c>
    </row>
    <row r="33" spans="10:88" ht="17.25" customHeight="1" x14ac:dyDescent="0.3">
      <c r="K33" s="353"/>
      <c r="V33" s="343"/>
      <c r="AH33" s="350">
        <v>9.2999999999999992E-3</v>
      </c>
      <c r="AI33" s="1052"/>
      <c r="AJ33" s="1023" t="s">
        <v>591</v>
      </c>
      <c r="AK33" s="1024"/>
      <c r="AS33" s="353"/>
      <c r="AW33" s="353"/>
      <c r="BA33" s="361"/>
      <c r="BB33" s="361"/>
      <c r="BC33" s="434"/>
      <c r="BD33" s="434"/>
    </row>
    <row r="34" spans="10:88" ht="17.25" customHeight="1" x14ac:dyDescent="0.3">
      <c r="K34" s="353"/>
      <c r="V34" s="343"/>
      <c r="AI34" s="1052"/>
      <c r="AJ34" s="1025"/>
      <c r="AK34" s="1026"/>
      <c r="AS34" s="353"/>
      <c r="AW34" s="353"/>
      <c r="BA34" s="357"/>
      <c r="BB34" s="350"/>
      <c r="BC34" s="436"/>
      <c r="BD34" s="436"/>
      <c r="BS34" s="471" t="str">
        <f>AT196</f>
        <v xml:space="preserve">Tạo hạt WSS03G </v>
      </c>
      <c r="BT34" s="489"/>
      <c r="BV34" s="387">
        <f>BD193</f>
        <v>0.75905330750481881</v>
      </c>
      <c r="BW34" s="387"/>
      <c r="BX34" s="387"/>
      <c r="BY34" s="387"/>
      <c r="BZ34" s="387"/>
      <c r="CA34" s="387"/>
      <c r="CC34" s="387"/>
    </row>
    <row r="35" spans="10:88" ht="45" x14ac:dyDescent="0.3">
      <c r="K35" s="353"/>
      <c r="V35" s="343"/>
      <c r="AH35" s="388">
        <v>2.7300000000000001E-2</v>
      </c>
      <c r="AI35" s="1052"/>
      <c r="AJ35" s="1091" t="s">
        <v>482</v>
      </c>
      <c r="AK35" s="1092"/>
      <c r="AS35" s="353"/>
      <c r="AW35" s="353"/>
      <c r="BA35" s="361"/>
      <c r="BB35" s="343"/>
      <c r="BC35" s="436"/>
      <c r="BD35" s="436"/>
      <c r="BT35" s="489" t="str">
        <f>AX196</f>
        <v>30%  B1-A3/A2.2 MN + 15% B2.2-A3/A2 + 55% B6.2 Nạp Star/A2 + 5% Hạt WSS03G PL</v>
      </c>
      <c r="BU35" s="471" t="str">
        <f>BC194</f>
        <v>Hạt nhựa rPET WSS03G</v>
      </c>
      <c r="BV35" s="475">
        <f>AZ193</f>
        <v>20456.108552955662</v>
      </c>
      <c r="BW35" s="475">
        <f>BW6</f>
        <v>1864.9499828812825</v>
      </c>
      <c r="BX35" s="475">
        <f t="shared" ref="BX35:BZ35" si="22">BX6</f>
        <v>1273.8558498087386</v>
      </c>
      <c r="BY35" s="475">
        <f t="shared" si="22"/>
        <v>2000.939404729972</v>
      </c>
      <c r="BZ35" s="475">
        <f t="shared" si="22"/>
        <v>1376.0623421472308</v>
      </c>
      <c r="CA35" s="475">
        <f>SUM(BV35:BZ35)</f>
        <v>26971.916132522889</v>
      </c>
      <c r="CC35" s="475">
        <f>CA35/$CC$1</f>
        <v>1017.80815594426</v>
      </c>
      <c r="CE35" s="474">
        <f>CE6</f>
        <v>162.37096173973626</v>
      </c>
      <c r="CF35" s="474">
        <f t="shared" ref="CF35:CG35" si="23">CF6</f>
        <v>868.9998264569133</v>
      </c>
      <c r="CG35" s="474">
        <f t="shared" si="23"/>
        <v>691.31808646801119</v>
      </c>
      <c r="CH35" s="475">
        <f>SUM(CE35:CG35)</f>
        <v>1722.6888746646607</v>
      </c>
      <c r="CI35" s="475">
        <f>CC35+$CH$1</f>
        <v>1082.8152832900962</v>
      </c>
      <c r="CJ35" s="474">
        <f>CC35+$CJ$1</f>
        <v>1157.8081559442599</v>
      </c>
    </row>
    <row r="36" spans="10:88" x14ac:dyDescent="0.3">
      <c r="K36" s="353"/>
      <c r="V36" s="343"/>
      <c r="AI36" s="1052"/>
      <c r="AJ36" s="1093"/>
      <c r="AK36" s="1094"/>
      <c r="AS36" s="353"/>
      <c r="AW36" s="353"/>
      <c r="BA36" s="361"/>
      <c r="BB36" s="343"/>
      <c r="BV36" s="387">
        <f>BD215</f>
        <v>0.68603513010398487</v>
      </c>
      <c r="BW36" s="387"/>
      <c r="BX36" s="387"/>
      <c r="BY36" s="387"/>
      <c r="BZ36" s="387"/>
      <c r="CA36" s="387"/>
      <c r="CC36" s="387"/>
      <c r="CE36" s="471"/>
      <c r="CF36" s="471"/>
      <c r="CG36" s="471"/>
      <c r="CH36" s="475"/>
      <c r="CI36" s="475"/>
      <c r="CJ36" s="471"/>
    </row>
    <row r="37" spans="10:88" ht="20.5" customHeight="1" x14ac:dyDescent="0.3">
      <c r="K37" s="353"/>
      <c r="V37" s="343"/>
      <c r="AS37" s="353"/>
      <c r="AW37" s="353"/>
      <c r="BA37" s="361"/>
      <c r="BB37" s="343"/>
      <c r="BT37" s="489" t="str">
        <f>AX218</f>
        <v>30% Vảy PET Mix  B2-B3-B7 + 70% Vảy PET B6.2_A3.1</v>
      </c>
      <c r="BU37" s="471" t="str">
        <f>BC216</f>
        <v>Hạt nhựa rPET WSS03G</v>
      </c>
      <c r="BV37" s="475">
        <f>AZ215</f>
        <v>21990.583081320605</v>
      </c>
      <c r="BW37" s="475">
        <f>BW6</f>
        <v>1864.9499828812825</v>
      </c>
      <c r="BX37" s="475">
        <f t="shared" ref="BX37:BZ37" si="24">BX6</f>
        <v>1273.8558498087386</v>
      </c>
      <c r="BY37" s="475">
        <f t="shared" si="24"/>
        <v>2000.939404729972</v>
      </c>
      <c r="BZ37" s="475">
        <f t="shared" si="24"/>
        <v>1376.0623421472308</v>
      </c>
      <c r="CA37" s="475">
        <f>SUM(BV37:BZ37)</f>
        <v>28506.390660887828</v>
      </c>
      <c r="CC37" s="475">
        <f>CA37/$CC$1</f>
        <v>1075.7128551278427</v>
      </c>
      <c r="CE37" s="474">
        <f>CE6</f>
        <v>162.37096173973626</v>
      </c>
      <c r="CF37" s="474">
        <f t="shared" ref="CF37:CG37" si="25">CF6</f>
        <v>868.9998264569133</v>
      </c>
      <c r="CG37" s="474">
        <f t="shared" si="25"/>
        <v>691.31808646801119</v>
      </c>
      <c r="CH37" s="475">
        <f>SUM(CE37:CG37)</f>
        <v>1722.6888746646607</v>
      </c>
      <c r="CI37" s="475">
        <f>CC37+$CH$1</f>
        <v>1140.719982473679</v>
      </c>
      <c r="CJ37" s="474">
        <f>CC37+$CJ$1</f>
        <v>1215.7128551278427</v>
      </c>
    </row>
    <row r="38" spans="10:88" ht="19.5" customHeight="1" x14ac:dyDescent="0.3">
      <c r="K38" s="353"/>
      <c r="M38" s="340" t="s">
        <v>47</v>
      </c>
      <c r="N38" s="453">
        <f>$E$5*$L$43</f>
        <v>356.96905016008543</v>
      </c>
      <c r="V38" s="343"/>
      <c r="AH38" s="341"/>
      <c r="AS38" s="353"/>
      <c r="AW38" s="353"/>
      <c r="BA38" s="362">
        <v>3.007072142729145E-2</v>
      </c>
      <c r="BB38" s="362"/>
      <c r="BC38" s="434" t="s">
        <v>573</v>
      </c>
      <c r="BD38" s="430"/>
    </row>
    <row r="39" spans="10:88" x14ac:dyDescent="0.3">
      <c r="K39" s="353"/>
      <c r="M39" s="340" t="s">
        <v>653</v>
      </c>
      <c r="N39" s="453">
        <f>(($E$5+$H$5)*$G$5/(1-$G$5)+$H$5)*$L$43</f>
        <v>150.60352787404221</v>
      </c>
      <c r="V39" s="343"/>
      <c r="AS39" s="353"/>
      <c r="AW39" s="353"/>
      <c r="BA39" s="343"/>
      <c r="BB39" s="343"/>
      <c r="BC39" s="430"/>
      <c r="BD39" s="430"/>
      <c r="BT39" s="500" t="s">
        <v>715</v>
      </c>
      <c r="BU39" s="499" t="s">
        <v>545</v>
      </c>
      <c r="BV39" s="501">
        <f>BM12*0.89+BM10*0.11</f>
        <v>19153.899295896212</v>
      </c>
      <c r="BW39" s="502">
        <f>BW6</f>
        <v>1864.9499828812825</v>
      </c>
      <c r="BX39" s="502">
        <f t="shared" ref="BX39:BZ39" si="26">BX6</f>
        <v>1273.8558498087386</v>
      </c>
      <c r="BY39" s="502">
        <f t="shared" si="26"/>
        <v>2000.939404729972</v>
      </c>
      <c r="BZ39" s="502">
        <f t="shared" si="26"/>
        <v>1376.0623421472308</v>
      </c>
      <c r="CA39" s="502">
        <f t="shared" ref="CA39:CA41" si="27">SUM(BV39:BZ39)</f>
        <v>25669.706875463435</v>
      </c>
      <c r="CC39" s="501">
        <f t="shared" ref="CC39:CC41" si="28">CA39/$CC$1</f>
        <v>968.66818397975226</v>
      </c>
      <c r="CE39" s="502">
        <f>CE6</f>
        <v>162.37096173973626</v>
      </c>
      <c r="CF39" s="499">
        <f t="shared" ref="CF39:CG39" si="29">CF6</f>
        <v>868.9998264569133</v>
      </c>
      <c r="CG39" s="499">
        <f t="shared" si="29"/>
        <v>691.31808646801119</v>
      </c>
      <c r="CH39" s="501">
        <f t="shared" ref="CH39:CH41" si="30">SUM(CE39:CG39)</f>
        <v>1722.6888746646607</v>
      </c>
      <c r="CI39" s="501">
        <f t="shared" ref="CI39:CI41" si="31">CC39+$CH$1</f>
        <v>1033.6753113255886</v>
      </c>
      <c r="CJ39" s="502">
        <f t="shared" ref="CJ39:CJ41" si="32">CC39+$CJ$1</f>
        <v>1108.6681839797523</v>
      </c>
    </row>
    <row r="40" spans="10:88" x14ac:dyDescent="0.3">
      <c r="K40" s="353"/>
      <c r="M40" s="340" t="s">
        <v>655</v>
      </c>
      <c r="N40" s="455">
        <f>N38+N39</f>
        <v>507.57257803412767</v>
      </c>
      <c r="V40" s="343"/>
      <c r="AS40" s="353"/>
      <c r="AW40" s="353"/>
      <c r="BA40" s="350">
        <v>4.4406477601608351E-3</v>
      </c>
      <c r="BB40" s="350"/>
      <c r="BC40" s="431" t="s">
        <v>576</v>
      </c>
      <c r="BD40" s="432"/>
      <c r="BT40" s="500" t="s">
        <v>680</v>
      </c>
      <c r="BU40" s="499" t="s">
        <v>546</v>
      </c>
      <c r="BV40" s="501">
        <f>BM12*0.95+BM10*0.05</f>
        <v>19265.749010102096</v>
      </c>
      <c r="BW40" s="502">
        <f>BW6</f>
        <v>1864.9499828812825</v>
      </c>
      <c r="BX40" s="502">
        <f t="shared" ref="BX40:BZ40" si="33">BX6</f>
        <v>1273.8558498087386</v>
      </c>
      <c r="BY40" s="502">
        <f t="shared" si="33"/>
        <v>2000.939404729972</v>
      </c>
      <c r="BZ40" s="502">
        <f t="shared" si="33"/>
        <v>1376.0623421472308</v>
      </c>
      <c r="CA40" s="502">
        <f t="shared" si="27"/>
        <v>25781.556589669319</v>
      </c>
      <c r="CC40" s="501">
        <f t="shared" si="28"/>
        <v>972.88892791204978</v>
      </c>
      <c r="CE40" s="502">
        <f>CE6</f>
        <v>162.37096173973626</v>
      </c>
      <c r="CF40" s="499">
        <f t="shared" ref="CF40:CG40" si="34">CF6</f>
        <v>868.9998264569133</v>
      </c>
      <c r="CG40" s="499">
        <f t="shared" si="34"/>
        <v>691.31808646801119</v>
      </c>
      <c r="CH40" s="501">
        <f t="shared" si="30"/>
        <v>1722.6888746646607</v>
      </c>
      <c r="CI40" s="501">
        <f t="shared" si="31"/>
        <v>1037.896055257886</v>
      </c>
      <c r="CJ40" s="502">
        <f t="shared" si="32"/>
        <v>1112.8889279120499</v>
      </c>
    </row>
    <row r="41" spans="10:88" ht="17.5" x14ac:dyDescent="0.35">
      <c r="K41" s="353"/>
      <c r="M41" s="340" t="s">
        <v>725</v>
      </c>
      <c r="N41" s="455">
        <f>N40/($J$43/(1-$G$5))*1000</f>
        <v>15057.98648167912</v>
      </c>
      <c r="V41" s="343"/>
      <c r="Z41" s="465">
        <f>N41/Z42</f>
        <v>16559.976335289914</v>
      </c>
      <c r="AA41" s="465"/>
      <c r="AH41" s="465">
        <f>Z41/AH42</f>
        <v>17611.375449633004</v>
      </c>
      <c r="AI41" s="394" t="s">
        <v>712</v>
      </c>
      <c r="AJ41" s="342">
        <f>V43</f>
        <v>0.05</v>
      </c>
      <c r="AK41" s="454">
        <f>N41/AK42</f>
        <v>17611.375449633004</v>
      </c>
      <c r="AS41" s="353"/>
      <c r="AW41" s="353"/>
      <c r="BA41" s="343"/>
      <c r="BB41" s="343"/>
      <c r="BC41" s="424"/>
      <c r="BD41" s="425"/>
      <c r="BM41" s="409">
        <f>$AK42</f>
        <v>0.85501479000000002</v>
      </c>
      <c r="BS41" s="340" t="s">
        <v>716</v>
      </c>
      <c r="BT41" s="498" t="s">
        <v>563</v>
      </c>
      <c r="BU41" s="551" t="s">
        <v>683</v>
      </c>
      <c r="BV41" s="529">
        <f>BM6</f>
        <v>20520.66436518489</v>
      </c>
      <c r="BW41" s="530">
        <f>BW6</f>
        <v>1864.9499828812825</v>
      </c>
      <c r="BX41" s="530">
        <f t="shared" ref="BX41:BZ41" si="35">BX6</f>
        <v>1273.8558498087386</v>
      </c>
      <c r="BY41" s="530">
        <f t="shared" si="35"/>
        <v>2000.939404729972</v>
      </c>
      <c r="BZ41" s="530">
        <f t="shared" si="35"/>
        <v>1376.0623421472308</v>
      </c>
      <c r="CA41" s="530">
        <f t="shared" si="27"/>
        <v>27036.471944752117</v>
      </c>
      <c r="CB41" s="551"/>
      <c r="CC41" s="529">
        <f t="shared" si="28"/>
        <v>1020.2442243302686</v>
      </c>
      <c r="CD41" s="551"/>
      <c r="CE41" s="530">
        <f>CE6</f>
        <v>162.37096173973626</v>
      </c>
      <c r="CF41" s="551">
        <f t="shared" ref="CF41:CG41" si="36">CF6</f>
        <v>868.9998264569133</v>
      </c>
      <c r="CG41" s="551">
        <f t="shared" si="36"/>
        <v>691.31808646801119</v>
      </c>
      <c r="CH41" s="529">
        <f t="shared" si="30"/>
        <v>1722.6888746646607</v>
      </c>
      <c r="CI41" s="529">
        <f t="shared" si="31"/>
        <v>1085.2513516761048</v>
      </c>
      <c r="CJ41" s="530">
        <f t="shared" si="32"/>
        <v>1160.2442243302685</v>
      </c>
    </row>
    <row r="42" spans="10:88" x14ac:dyDescent="0.3">
      <c r="K42" s="353"/>
      <c r="V42" s="343"/>
      <c r="Z42" s="417">
        <f>SUM(Z43:Z44)</f>
        <v>0.9093</v>
      </c>
      <c r="AH42" s="416">
        <f>SUM(AH43:AH48)</f>
        <v>0.94030000000000002</v>
      </c>
      <c r="AK42" s="393">
        <f>Z42*AH42</f>
        <v>0.85501479000000002</v>
      </c>
      <c r="AS42" s="353"/>
      <c r="AW42" s="353"/>
      <c r="BA42" s="350">
        <v>5.4004560930645869E-3</v>
      </c>
      <c r="BB42" s="350"/>
      <c r="BC42" s="422" t="s">
        <v>579</v>
      </c>
      <c r="BD42" s="423"/>
      <c r="BL42" s="463">
        <f>N41</f>
        <v>15057.98648167912</v>
      </c>
      <c r="BM42" s="463">
        <f>AK41</f>
        <v>17611.375449633004</v>
      </c>
      <c r="BT42" s="500" t="s">
        <v>680</v>
      </c>
      <c r="BU42" s="499" t="s">
        <v>371</v>
      </c>
      <c r="BV42" s="501">
        <f>BM12*0.95+BM8*0.05</f>
        <v>19271.578022491631</v>
      </c>
      <c r="BW42" s="502">
        <f>BW6</f>
        <v>1864.9499828812825</v>
      </c>
      <c r="BX42" s="502">
        <f>BX6</f>
        <v>1273.8558498087386</v>
      </c>
      <c r="BY42" s="502">
        <f>BY6</f>
        <v>2000.939404729972</v>
      </c>
      <c r="BZ42" s="502">
        <f>BZ6</f>
        <v>1376.0623421472308</v>
      </c>
      <c r="CA42" s="501">
        <f>SUM(BV42:BZ42)</f>
        <v>25787.385602058854</v>
      </c>
      <c r="CC42" s="501">
        <f>CA42/$CC$1</f>
        <v>973.10889064373032</v>
      </c>
      <c r="CD42" s="499"/>
      <c r="CE42" s="502">
        <f>CE6</f>
        <v>162.37096173973626</v>
      </c>
      <c r="CF42" s="502">
        <f t="shared" ref="CF42:CG42" si="37">CF6</f>
        <v>868.9998264569133</v>
      </c>
      <c r="CG42" s="502">
        <f t="shared" si="37"/>
        <v>691.31808646801119</v>
      </c>
      <c r="CH42" s="501">
        <f>SUM(CE42:CG42)</f>
        <v>1722.6888746646607</v>
      </c>
      <c r="CI42" s="501">
        <f>CC42+$CH$1</f>
        <v>1038.1160179895667</v>
      </c>
      <c r="CJ42" s="502">
        <f>CC42+$CJ$1</f>
        <v>1113.1088906437303</v>
      </c>
    </row>
    <row r="43" spans="10:88" x14ac:dyDescent="0.3">
      <c r="J43" s="340">
        <v>30</v>
      </c>
      <c r="K43" s="371">
        <v>0.03</v>
      </c>
      <c r="L43" s="575">
        <f>'Giá mua Chai-Vảy (Giá giảm)'!H15</f>
        <v>3.1590181430096058E-2</v>
      </c>
      <c r="M43" s="1070"/>
      <c r="N43" s="1072" t="s">
        <v>726</v>
      </c>
      <c r="O43" s="1073"/>
      <c r="P43" s="346"/>
      <c r="Q43" s="346"/>
      <c r="R43" s="1052"/>
      <c r="S43" s="1076" t="s">
        <v>726</v>
      </c>
      <c r="T43" s="1077"/>
      <c r="U43" s="347"/>
      <c r="V43" s="408">
        <v>0.05</v>
      </c>
      <c r="W43" s="1029" t="s">
        <v>551</v>
      </c>
      <c r="X43" s="1030"/>
      <c r="Y43" s="346"/>
      <c r="Z43" s="348">
        <v>0.9093</v>
      </c>
      <c r="AA43" s="1052"/>
      <c r="AB43" s="1062" t="s">
        <v>730</v>
      </c>
      <c r="AC43" s="1062"/>
      <c r="AD43" s="346"/>
      <c r="AE43" s="1029" t="s">
        <v>557</v>
      </c>
      <c r="AF43" s="1030"/>
      <c r="AG43" s="346"/>
      <c r="AH43" s="372">
        <v>0.34100000000000003</v>
      </c>
      <c r="AI43" s="1003" t="s">
        <v>700</v>
      </c>
      <c r="AJ43" s="1011" t="s">
        <v>592</v>
      </c>
      <c r="AK43" s="1012"/>
      <c r="AL43" s="346"/>
      <c r="AM43" s="1029" t="s">
        <v>554</v>
      </c>
      <c r="AN43" s="1030"/>
      <c r="AO43" s="346"/>
      <c r="AP43" s="1029" t="s">
        <v>555</v>
      </c>
      <c r="AQ43" s="1030"/>
      <c r="AR43" s="359"/>
      <c r="AS43" s="373"/>
      <c r="AT43" s="349"/>
      <c r="AU43" s="349"/>
      <c r="AV43" s="349"/>
      <c r="AW43" s="369"/>
      <c r="AX43" s="349"/>
      <c r="AY43" s="349"/>
      <c r="BA43" s="343"/>
      <c r="BB43" s="343"/>
      <c r="BC43" s="424"/>
      <c r="BD43" s="425"/>
      <c r="BE43" s="349"/>
      <c r="BF43" s="349"/>
      <c r="BG43" s="349"/>
      <c r="BH43" s="349"/>
      <c r="BI43" s="349"/>
      <c r="BJ43" s="349"/>
      <c r="BK43" s="349"/>
      <c r="BL43" s="349"/>
      <c r="BM43" s="349"/>
      <c r="BN43" s="349"/>
      <c r="BO43" s="349"/>
      <c r="BP43" s="349"/>
    </row>
    <row r="44" spans="10:88" ht="30" x14ac:dyDescent="0.3">
      <c r="K44" s="353"/>
      <c r="M44" s="1071"/>
      <c r="N44" s="1074"/>
      <c r="O44" s="1075"/>
      <c r="R44" s="1052"/>
      <c r="S44" s="1076"/>
      <c r="T44" s="1077"/>
      <c r="U44" s="354"/>
      <c r="V44" s="343"/>
      <c r="W44" s="1031"/>
      <c r="X44" s="1032"/>
      <c r="Z44" s="353"/>
      <c r="AA44" s="1052"/>
      <c r="AB44" s="1062"/>
      <c r="AC44" s="1062"/>
      <c r="AE44" s="1031"/>
      <c r="AF44" s="1032"/>
      <c r="AH44" s="374"/>
      <c r="AI44" s="1004"/>
      <c r="AJ44" s="1013"/>
      <c r="AK44" s="1014"/>
      <c r="AM44" s="1031"/>
      <c r="AN44" s="1032"/>
      <c r="AP44" s="1031"/>
      <c r="AQ44" s="1032"/>
      <c r="AR44" s="349"/>
      <c r="AS44" s="373"/>
      <c r="AT44" s="349"/>
      <c r="AU44" s="349"/>
      <c r="AV44" s="349"/>
      <c r="AW44" s="369"/>
      <c r="AX44" s="349"/>
      <c r="AY44" s="349"/>
      <c r="AZ44" s="349"/>
      <c r="BA44" s="356"/>
      <c r="BB44" s="356"/>
      <c r="BC44" s="437"/>
      <c r="BD44" s="437"/>
      <c r="BE44" s="349"/>
      <c r="BF44" s="349"/>
      <c r="BG44" s="349"/>
      <c r="BH44" s="349"/>
      <c r="BI44" s="349"/>
      <c r="BJ44" s="349"/>
      <c r="BK44" s="349"/>
      <c r="BL44" s="349"/>
      <c r="BM44" s="349"/>
      <c r="BN44" s="349"/>
      <c r="BO44" s="349"/>
      <c r="BP44" s="349"/>
      <c r="BS44" s="804" t="s">
        <v>678</v>
      </c>
      <c r="BT44" s="805" t="s">
        <v>679</v>
      </c>
      <c r="BU44" s="804" t="s">
        <v>678</v>
      </c>
      <c r="BV44" s="807">
        <f>BM6*0.15+BM12*0.65+BM8*0.2</f>
        <v>19183.696863132216</v>
      </c>
      <c r="BW44" s="807">
        <f>BW6</f>
        <v>1864.9499828812825</v>
      </c>
      <c r="BX44" s="807">
        <f>BX6</f>
        <v>1273.8558498087386</v>
      </c>
      <c r="BY44" s="804"/>
      <c r="BZ44" s="807"/>
      <c r="CA44" s="808">
        <f>BV44+BW44+BX44</f>
        <v>22322.502695822237</v>
      </c>
      <c r="CB44" s="804"/>
      <c r="CC44" s="809">
        <f>CA44/$CC$1</f>
        <v>842.35859229517871</v>
      </c>
      <c r="CD44" s="804"/>
      <c r="CE44" s="807">
        <f>CE6</f>
        <v>162.37096173973626</v>
      </c>
      <c r="CF44" s="807">
        <f t="shared" ref="CF44:CG44" si="38">CF6</f>
        <v>868.9998264569133</v>
      </c>
      <c r="CG44" s="807">
        <f t="shared" si="38"/>
        <v>691.31808646801119</v>
      </c>
      <c r="CH44" s="809">
        <f>SUM(CE44:CG44)</f>
        <v>1722.6888746646607</v>
      </c>
      <c r="CI44" s="809">
        <f>CC44+$CH$1</f>
        <v>907.36571964101495</v>
      </c>
      <c r="CJ44" s="807">
        <f>CC44+$CJ$1/2</f>
        <v>912.35859229517871</v>
      </c>
    </row>
    <row r="45" spans="10:88" x14ac:dyDescent="0.3">
      <c r="K45" s="353"/>
      <c r="V45" s="343"/>
      <c r="Z45" s="353"/>
      <c r="AA45" s="1090"/>
      <c r="AB45" s="1088"/>
      <c r="AC45" s="1088"/>
      <c r="AH45" s="374">
        <v>0.46600000000000003</v>
      </c>
      <c r="AI45" s="1003" t="s">
        <v>701</v>
      </c>
      <c r="AJ45" s="1011" t="s">
        <v>593</v>
      </c>
      <c r="AK45" s="1012"/>
      <c r="AS45" s="353"/>
      <c r="AW45" s="353"/>
      <c r="AZ45" s="463">
        <f>AZ47-AZ46</f>
        <v>1066.6474427766298</v>
      </c>
      <c r="BA45" s="343"/>
      <c r="BB45" s="579" t="s">
        <v>712</v>
      </c>
      <c r="BC45" s="517">
        <f>'Hảo_R&amp;D (Vảy sạch)'!BR3</f>
        <v>0.13333333333333333</v>
      </c>
    </row>
    <row r="46" spans="10:88" ht="16" x14ac:dyDescent="0.3">
      <c r="K46" s="353"/>
      <c r="U46" s="375"/>
      <c r="V46" s="343"/>
      <c r="Z46" s="353"/>
      <c r="AA46" s="1090"/>
      <c r="AB46" s="1088"/>
      <c r="AC46" s="1088"/>
      <c r="AH46" s="374"/>
      <c r="AI46" s="1004"/>
      <c r="AJ46" s="1013"/>
      <c r="AK46" s="1014"/>
      <c r="AS46" s="353"/>
      <c r="AW46" s="353"/>
      <c r="AZ46" s="466">
        <f>($AH$5*0.855+$AH$41*0.095+$AH$5*0.05)/BA46</f>
        <v>21257.112904374349</v>
      </c>
      <c r="BA46" s="577">
        <f>SUM(BA47:BA49,BA53)</f>
        <v>0.95235331388965472</v>
      </c>
      <c r="BB46" s="343">
        <f>SUM(BA47*BB47,BA49*BB49,BA53*BB53)</f>
        <v>1.0395787442582065</v>
      </c>
      <c r="BD46" s="438">
        <f>(0.855*AK6+AK42*0.095+0.05*AK6)*BA46</f>
        <v>0.77389942729004124</v>
      </c>
      <c r="BE46" s="468">
        <f>($N$5/BD46)*0.905+($N$41/BD46)*0.095</f>
        <v>21241.971746032214</v>
      </c>
      <c r="BF46" s="463">
        <f>BE46-AZ46</f>
        <v>-15.141158342135896</v>
      </c>
      <c r="BG46" s="463"/>
    </row>
    <row r="47" spans="10:88" ht="16" x14ac:dyDescent="0.3">
      <c r="K47" s="353"/>
      <c r="U47" s="375"/>
      <c r="V47" s="343"/>
      <c r="Z47" s="353"/>
      <c r="AH47" s="374">
        <v>0.1333</v>
      </c>
      <c r="AI47" s="1052" t="s">
        <v>702</v>
      </c>
      <c r="AJ47" s="1011" t="s">
        <v>594</v>
      </c>
      <c r="AK47" s="1012"/>
      <c r="AS47" s="353"/>
      <c r="AT47" s="1057"/>
      <c r="AU47" s="1057"/>
      <c r="AV47" s="349"/>
      <c r="AW47" s="369"/>
      <c r="AX47" s="370"/>
      <c r="AY47" s="370"/>
      <c r="AZ47" s="467">
        <f>$AZ$46/$BB$46*BB47</f>
        <v>22323.760347150979</v>
      </c>
      <c r="BA47" s="576">
        <v>0.94703290431485221</v>
      </c>
      <c r="BB47" s="580">
        <f>BB9</f>
        <v>1.0917431192660549</v>
      </c>
      <c r="BC47" s="426" t="s">
        <v>595</v>
      </c>
      <c r="BD47" s="423"/>
      <c r="BE47" s="376"/>
      <c r="BF47" s="376"/>
      <c r="BG47" s="376"/>
      <c r="BH47" s="376"/>
      <c r="BI47" s="376"/>
      <c r="BS47" s="340" t="s">
        <v>714</v>
      </c>
      <c r="BT47" s="481" t="s">
        <v>713</v>
      </c>
      <c r="BU47" s="411" t="s">
        <v>368</v>
      </c>
      <c r="BV47" s="482">
        <f>BM6*0.9+BM12*0.2</f>
        <v>22340.389349721132</v>
      </c>
      <c r="BW47" s="482">
        <f>BW6</f>
        <v>1864.9499828812825</v>
      </c>
      <c r="BX47" s="482">
        <f>BX6</f>
        <v>1273.8558498087386</v>
      </c>
      <c r="BY47" s="482">
        <f t="shared" ref="BY47:BZ47" si="39">BY6</f>
        <v>2000.939404729972</v>
      </c>
      <c r="BZ47" s="482">
        <f t="shared" si="39"/>
        <v>1376.0623421472308</v>
      </c>
      <c r="CA47" s="476">
        <f>SUM(BV47:BZ47)</f>
        <v>28856.196929288355</v>
      </c>
      <c r="CC47" s="476">
        <f>CA47/$CC$1</f>
        <v>1088.9130916712586</v>
      </c>
      <c r="CD47" s="411"/>
      <c r="CE47" s="482">
        <f>CE6</f>
        <v>162.37096173973626</v>
      </c>
      <c r="CF47" s="482">
        <f t="shared" ref="CF47:CG47" si="40">CF6</f>
        <v>868.9998264569133</v>
      </c>
      <c r="CG47" s="482">
        <f t="shared" si="40"/>
        <v>691.31808646801119</v>
      </c>
      <c r="CH47" s="476">
        <f>SUM(CE47:CG47)</f>
        <v>1722.6888746646607</v>
      </c>
      <c r="CI47" s="476">
        <f>CC47+$CH$1</f>
        <v>1153.920219017095</v>
      </c>
      <c r="CJ47" s="482">
        <f>CC47+$CJ$1</f>
        <v>1228.9130916712586</v>
      </c>
    </row>
    <row r="48" spans="10:88" x14ac:dyDescent="0.3">
      <c r="K48" s="353"/>
      <c r="U48" s="389">
        <f>Z48+AH50</f>
        <v>0.15030831983765647</v>
      </c>
      <c r="V48" s="343"/>
      <c r="Z48" s="390">
        <f>SUM(Z49:Z66)</f>
        <v>9.0660916463949331E-2</v>
      </c>
      <c r="AA48" s="465"/>
      <c r="AH48" s="374"/>
      <c r="AI48" s="1052"/>
      <c r="AJ48" s="1013"/>
      <c r="AK48" s="1014"/>
      <c r="AS48" s="353"/>
      <c r="AT48" s="1057"/>
      <c r="AU48" s="1057"/>
      <c r="AV48" s="349"/>
      <c r="AW48" s="369"/>
      <c r="AX48" s="377"/>
      <c r="AY48" s="377"/>
      <c r="AZ48" s="469">
        <f>AZ47-AZ49</f>
        <v>562.78387429791837</v>
      </c>
      <c r="BA48" s="356"/>
      <c r="BB48" s="356"/>
      <c r="BC48" s="424"/>
      <c r="BD48" s="425"/>
      <c r="BE48" s="376"/>
      <c r="BF48" s="376"/>
      <c r="BG48" s="376"/>
      <c r="BH48" s="376"/>
      <c r="BI48" s="376"/>
    </row>
    <row r="49" spans="11:73" x14ac:dyDescent="0.3">
      <c r="K49" s="353"/>
      <c r="U49" s="375"/>
      <c r="V49" s="343"/>
      <c r="Z49" s="362">
        <v>4.1730000000000003E-2</v>
      </c>
      <c r="AA49" s="1003"/>
      <c r="AB49" s="1027" t="s">
        <v>731</v>
      </c>
      <c r="AC49" s="1012"/>
      <c r="AH49" s="374"/>
      <c r="AI49" s="1090"/>
      <c r="AJ49" s="1027"/>
      <c r="AK49" s="1027"/>
      <c r="AS49" s="353"/>
      <c r="AT49" s="1057"/>
      <c r="AU49" s="1057"/>
      <c r="AV49" s="349"/>
      <c r="AW49" s="352"/>
      <c r="AX49" s="1015" t="s">
        <v>596</v>
      </c>
      <c r="AY49" s="1016"/>
      <c r="AZ49" s="467">
        <f>$AZ$46/$BB$46*BB49</f>
        <v>21760.976472853061</v>
      </c>
      <c r="BA49" s="348">
        <v>5.3204095748025405E-3</v>
      </c>
      <c r="BB49" s="451">
        <f>BB11</f>
        <v>1.0642201834862386</v>
      </c>
      <c r="BC49" s="426" t="s">
        <v>597</v>
      </c>
      <c r="BD49" s="423"/>
      <c r="BE49" s="376"/>
      <c r="BF49" s="376"/>
      <c r="BG49" s="376"/>
      <c r="BH49" s="376"/>
      <c r="BI49" s="376"/>
      <c r="BU49" s="499" t="s">
        <v>682</v>
      </c>
    </row>
    <row r="50" spans="11:73" x14ac:dyDescent="0.3">
      <c r="K50" s="353"/>
      <c r="U50" s="341"/>
      <c r="V50" s="343"/>
      <c r="Z50" s="341"/>
      <c r="AA50" s="1004"/>
      <c r="AB50" s="1028"/>
      <c r="AC50" s="1014"/>
      <c r="AH50" s="391">
        <f>SUM(AH51:AH62)</f>
        <v>5.9647403373707136E-2</v>
      </c>
      <c r="AI50" s="1090"/>
      <c r="AJ50" s="1028"/>
      <c r="AK50" s="1028"/>
      <c r="AS50" s="353"/>
      <c r="AT50" s="1057"/>
      <c r="AU50" s="1057"/>
      <c r="AV50" s="349"/>
      <c r="AW50" s="349"/>
      <c r="AX50" s="1017"/>
      <c r="AY50" s="1018"/>
      <c r="BA50" s="361"/>
      <c r="BB50" s="361"/>
      <c r="BC50" s="431"/>
      <c r="BD50" s="432"/>
      <c r="BE50" s="376"/>
      <c r="BF50" s="376"/>
      <c r="BG50" s="376"/>
      <c r="BH50" s="376"/>
      <c r="BI50" s="376"/>
      <c r="BU50" s="499" t="s">
        <v>683</v>
      </c>
    </row>
    <row r="51" spans="11:73" x14ac:dyDescent="0.3">
      <c r="K51" s="353"/>
      <c r="U51" s="341"/>
      <c r="V51" s="343"/>
      <c r="Z51" s="559">
        <v>8.8730000000000007E-3</v>
      </c>
      <c r="AA51" s="1003"/>
      <c r="AB51" s="1080" t="s">
        <v>598</v>
      </c>
      <c r="AC51" s="1081"/>
      <c r="AH51" s="362">
        <v>1.9230707593885918E-3</v>
      </c>
      <c r="AI51" s="345"/>
      <c r="AJ51" s="1015" t="s">
        <v>599</v>
      </c>
      <c r="AK51" s="1016"/>
      <c r="AM51" s="341"/>
      <c r="AS51" s="353"/>
      <c r="AT51" s="1057"/>
      <c r="AU51" s="1057"/>
      <c r="AV51" s="349"/>
      <c r="AW51" s="349"/>
      <c r="AX51" s="368"/>
      <c r="AY51" s="368"/>
      <c r="BA51" s="357">
        <v>5.3204095748025405E-3</v>
      </c>
      <c r="BB51" s="357"/>
      <c r="BC51" s="434" t="s">
        <v>600</v>
      </c>
      <c r="BD51" s="434"/>
      <c r="BE51" s="368"/>
      <c r="BF51" s="368"/>
      <c r="BG51" s="368"/>
      <c r="BH51" s="368"/>
      <c r="BI51" s="368"/>
    </row>
    <row r="52" spans="11:73" x14ac:dyDescent="0.3">
      <c r="K52" s="353"/>
      <c r="U52" s="341"/>
      <c r="V52" s="343"/>
      <c r="Z52" s="350"/>
      <c r="AA52" s="1004"/>
      <c r="AB52" s="1082"/>
      <c r="AC52" s="1083"/>
      <c r="AH52" s="343"/>
      <c r="AI52" s="351"/>
      <c r="AJ52" s="1017"/>
      <c r="AK52" s="1018"/>
      <c r="AM52" s="341"/>
      <c r="AS52" s="353"/>
      <c r="AT52" s="1057"/>
      <c r="AU52" s="1057"/>
      <c r="AV52" s="349"/>
      <c r="AW52" s="349"/>
      <c r="AX52" s="368"/>
      <c r="AY52" s="368"/>
      <c r="AZ52" s="463">
        <f>AZ49-AZ53</f>
        <v>562.78387429792565</v>
      </c>
      <c r="BA52" s="361"/>
      <c r="BB52" s="361"/>
      <c r="BC52" s="434"/>
      <c r="BD52" s="434"/>
      <c r="BE52" s="368"/>
      <c r="BF52" s="368"/>
      <c r="BG52" s="368"/>
      <c r="BH52" s="368"/>
      <c r="BI52" s="368"/>
    </row>
    <row r="53" spans="11:73" ht="15" customHeight="1" x14ac:dyDescent="0.3">
      <c r="K53" s="353"/>
      <c r="U53" s="341"/>
      <c r="V53" s="343"/>
      <c r="Z53" s="350">
        <v>1.4863671985386871E-2</v>
      </c>
      <c r="AA53" s="1003"/>
      <c r="AB53" s="1023" t="s">
        <v>568</v>
      </c>
      <c r="AC53" s="1024"/>
      <c r="AH53" s="350">
        <v>1.9230707593885918E-3</v>
      </c>
      <c r="AI53" s="345"/>
      <c r="AJ53" s="1023" t="s">
        <v>601</v>
      </c>
      <c r="AK53" s="1024"/>
      <c r="AM53" s="341"/>
      <c r="AS53" s="353"/>
      <c r="AT53" s="1057"/>
      <c r="AU53" s="1057"/>
      <c r="AV53" s="349"/>
      <c r="AW53" s="349"/>
      <c r="AX53" s="378"/>
      <c r="AY53" s="378"/>
      <c r="AZ53" s="467">
        <f>$AZ$46/$BB$46*BB53</f>
        <v>21198.192598555135</v>
      </c>
      <c r="BA53" s="357">
        <v>0</v>
      </c>
      <c r="BB53" s="450">
        <f>BB13</f>
        <v>1.036697247706422</v>
      </c>
      <c r="BC53" s="434" t="s">
        <v>590</v>
      </c>
      <c r="BD53" s="434"/>
      <c r="BE53" s="378"/>
      <c r="BF53" s="378"/>
      <c r="BG53" s="378"/>
      <c r="BH53" s="378"/>
      <c r="BI53" s="378"/>
    </row>
    <row r="54" spans="11:73" x14ac:dyDescent="0.3">
      <c r="K54" s="353"/>
      <c r="U54" s="341"/>
      <c r="V54" s="343"/>
      <c r="Z54" s="350"/>
      <c r="AA54" s="1004"/>
      <c r="AB54" s="1025"/>
      <c r="AC54" s="1026"/>
      <c r="AH54" s="343"/>
      <c r="AI54" s="379"/>
      <c r="AJ54" s="1025"/>
      <c r="AK54" s="1026"/>
      <c r="AM54" s="341"/>
      <c r="AS54" s="353"/>
      <c r="AT54" s="1057"/>
      <c r="AU54" s="1057"/>
      <c r="AV54" s="349"/>
      <c r="AW54" s="349"/>
      <c r="AX54" s="378"/>
      <c r="AY54" s="378"/>
      <c r="BA54" s="361"/>
      <c r="BB54" s="361"/>
      <c r="BC54" s="434"/>
      <c r="BD54" s="434"/>
      <c r="BE54" s="378"/>
      <c r="BF54" s="378"/>
      <c r="BG54" s="378"/>
      <c r="BH54" s="378"/>
      <c r="BI54" s="378"/>
    </row>
    <row r="55" spans="11:73" ht="15" customHeight="1" x14ac:dyDescent="0.3">
      <c r="K55" s="353"/>
      <c r="U55" s="341"/>
      <c r="V55" s="343"/>
      <c r="Z55" s="350">
        <v>1.6055212918750891E-2</v>
      </c>
      <c r="AA55" s="1003"/>
      <c r="AB55" s="1027" t="s">
        <v>572</v>
      </c>
      <c r="AC55" s="1012"/>
      <c r="AH55" s="350">
        <v>1.9230707593885918E-3</v>
      </c>
      <c r="AI55" s="1052"/>
      <c r="AJ55" s="1011" t="s">
        <v>575</v>
      </c>
      <c r="AK55" s="1012"/>
      <c r="AM55" s="341"/>
      <c r="AS55" s="353"/>
      <c r="AT55" s="1057"/>
      <c r="AU55" s="1057"/>
      <c r="AV55" s="349"/>
      <c r="AW55" s="349"/>
      <c r="BA55" s="357"/>
      <c r="BB55" s="350"/>
      <c r="BC55" s="368"/>
      <c r="BD55" s="368"/>
    </row>
    <row r="56" spans="11:73" x14ac:dyDescent="0.3">
      <c r="K56" s="353"/>
      <c r="U56" s="341"/>
      <c r="V56" s="343"/>
      <c r="W56" s="341"/>
      <c r="Z56" s="350"/>
      <c r="AA56" s="1004"/>
      <c r="AB56" s="1028"/>
      <c r="AC56" s="1014"/>
      <c r="AH56" s="343"/>
      <c r="AI56" s="1052"/>
      <c r="AJ56" s="1013"/>
      <c r="AK56" s="1014"/>
      <c r="AS56" s="353"/>
      <c r="AT56" s="1057"/>
      <c r="AU56" s="1057"/>
      <c r="AV56" s="349"/>
      <c r="AW56" s="349"/>
      <c r="BA56" s="361"/>
      <c r="BB56" s="343"/>
      <c r="BC56" s="436"/>
      <c r="BD56" s="436"/>
    </row>
    <row r="57" spans="11:73" ht="17.25" customHeight="1" x14ac:dyDescent="0.3">
      <c r="K57" s="353"/>
      <c r="V57" s="343"/>
      <c r="Z57" s="350">
        <v>2.5637066536927573E-3</v>
      </c>
      <c r="AA57" s="1003"/>
      <c r="AB57" s="1011" t="s">
        <v>565</v>
      </c>
      <c r="AC57" s="1012"/>
      <c r="AH57" s="350">
        <v>1.4423030695414438E-3</v>
      </c>
      <c r="AI57" s="1052"/>
      <c r="AJ57" s="1011" t="s">
        <v>583</v>
      </c>
      <c r="AK57" s="1012"/>
      <c r="AS57" s="353"/>
      <c r="BA57" s="361"/>
      <c r="BB57" s="343"/>
    </row>
    <row r="58" spans="11:73" ht="15.75" customHeight="1" x14ac:dyDescent="0.3">
      <c r="K58" s="353"/>
      <c r="V58" s="343"/>
      <c r="Z58" s="350"/>
      <c r="AA58" s="1004"/>
      <c r="AB58" s="1013"/>
      <c r="AC58" s="1014"/>
      <c r="AH58" s="350"/>
      <c r="AI58" s="1052"/>
      <c r="AJ58" s="1013"/>
      <c r="AK58" s="1014"/>
      <c r="AS58" s="353"/>
      <c r="BA58" s="361"/>
      <c r="BB58" s="343"/>
    </row>
    <row r="59" spans="11:73" x14ac:dyDescent="0.3">
      <c r="K59" s="353"/>
      <c r="V59" s="343"/>
      <c r="Z59" s="350">
        <v>3.4959636186719417E-3</v>
      </c>
      <c r="AA59" s="1003"/>
      <c r="AB59" s="1011" t="s">
        <v>571</v>
      </c>
      <c r="AC59" s="1012"/>
      <c r="AH59" s="350">
        <v>2.9358880259999168E-3</v>
      </c>
      <c r="AI59" s="1052"/>
      <c r="AJ59" s="1005" t="s">
        <v>602</v>
      </c>
      <c r="AK59" s="1006"/>
      <c r="AS59" s="353"/>
      <c r="BA59" s="362">
        <v>3.2406131046524562E-3</v>
      </c>
      <c r="BB59" s="362"/>
      <c r="BC59" s="431" t="s">
        <v>603</v>
      </c>
      <c r="BD59" s="430"/>
    </row>
    <row r="60" spans="11:73" x14ac:dyDescent="0.3">
      <c r="K60" s="353"/>
      <c r="V60" s="343"/>
      <c r="Z60" s="380"/>
      <c r="AA60" s="1004"/>
      <c r="AB60" s="1013"/>
      <c r="AC60" s="1014"/>
      <c r="AH60" s="350"/>
      <c r="AI60" s="1052"/>
      <c r="AJ60" s="1007"/>
      <c r="AK60" s="1008"/>
      <c r="AS60" s="353"/>
      <c r="BA60" s="343"/>
      <c r="BB60" s="343"/>
      <c r="BC60" s="430"/>
      <c r="BD60" s="430"/>
    </row>
    <row r="61" spans="11:73" ht="17.25" customHeight="1" x14ac:dyDescent="0.3">
      <c r="K61" s="353"/>
      <c r="V61" s="343"/>
      <c r="Z61" s="350">
        <v>2.2665497461056422E-3</v>
      </c>
      <c r="AA61" s="1003"/>
      <c r="AB61" s="1027" t="s">
        <v>574</v>
      </c>
      <c r="AC61" s="1012"/>
      <c r="AH61" s="388">
        <v>4.9500000000000002E-2</v>
      </c>
      <c r="AI61" s="1052"/>
      <c r="AJ61" s="1063" t="s">
        <v>482</v>
      </c>
      <c r="AK61" s="1064"/>
      <c r="AS61" s="353"/>
      <c r="BA61" s="576">
        <v>1.6164371635445537E-2</v>
      </c>
      <c r="BB61" s="576"/>
      <c r="BC61" s="431" t="s">
        <v>576</v>
      </c>
      <c r="BD61" s="432"/>
    </row>
    <row r="62" spans="11:73" x14ac:dyDescent="0.3">
      <c r="K62" s="353"/>
      <c r="V62" s="343"/>
      <c r="Z62" s="343"/>
      <c r="AA62" s="1141"/>
      <c r="AB62" s="1088"/>
      <c r="AC62" s="1069"/>
      <c r="AI62" s="1052"/>
      <c r="AJ62" s="1065"/>
      <c r="AK62" s="1066"/>
      <c r="AS62" s="353"/>
      <c r="BA62" s="343"/>
      <c r="BB62" s="343"/>
      <c r="BC62" s="424"/>
      <c r="BD62" s="425"/>
    </row>
    <row r="63" spans="11:73" x14ac:dyDescent="0.3">
      <c r="K63" s="353"/>
      <c r="V63" s="343"/>
      <c r="Z63" s="350">
        <v>8.1281154134122649E-4</v>
      </c>
      <c r="AA63" s="1052"/>
      <c r="AB63" s="1062" t="s">
        <v>577</v>
      </c>
      <c r="AC63" s="1062"/>
      <c r="AH63" s="341"/>
      <c r="AS63" s="353"/>
      <c r="BA63" s="350">
        <v>7.6178591639218191E-3</v>
      </c>
      <c r="BB63" s="350"/>
      <c r="BC63" s="422" t="s">
        <v>579</v>
      </c>
      <c r="BD63" s="423"/>
    </row>
    <row r="64" spans="11:73" x14ac:dyDescent="0.3">
      <c r="K64" s="353"/>
      <c r="V64" s="343"/>
      <c r="AA64" s="1052"/>
      <c r="AB64" s="1062"/>
      <c r="AC64" s="1062"/>
      <c r="AH64" s="341"/>
      <c r="AS64" s="353"/>
      <c r="BA64" s="343"/>
      <c r="BB64" s="343"/>
      <c r="BC64" s="424"/>
      <c r="BD64" s="425"/>
    </row>
    <row r="65" spans="10:68" x14ac:dyDescent="0.3">
      <c r="K65" s="353"/>
      <c r="V65" s="343"/>
      <c r="Z65" s="350"/>
      <c r="AA65" s="1090"/>
      <c r="AB65" s="1088"/>
      <c r="AC65" s="1088"/>
      <c r="AS65" s="353"/>
      <c r="BA65" s="343"/>
      <c r="BB65" s="343"/>
    </row>
    <row r="66" spans="10:68" x14ac:dyDescent="0.3">
      <c r="K66" s="353"/>
      <c r="M66" s="340" t="s">
        <v>47</v>
      </c>
      <c r="N66" s="453">
        <f>$E$5*$L$71</f>
        <v>213.85983635716829</v>
      </c>
      <c r="V66" s="343"/>
      <c r="AA66" s="1090"/>
      <c r="AB66" s="1088"/>
      <c r="AC66" s="1088"/>
      <c r="AS66" s="353"/>
      <c r="BA66" s="343"/>
      <c r="BB66" s="343"/>
      <c r="BE66" s="409">
        <f>BE67/BE6</f>
        <v>6.7189930629035721E-2</v>
      </c>
    </row>
    <row r="67" spans="10:68" x14ac:dyDescent="0.3">
      <c r="K67" s="353"/>
      <c r="M67" s="340" t="s">
        <v>653</v>
      </c>
      <c r="N67" s="453">
        <f>(($E$5+$H$5)*$G$5/(1-$G$5)+$H$5)*$L$71</f>
        <v>90.226437870484745</v>
      </c>
      <c r="V67" s="343"/>
      <c r="AS67" s="353"/>
      <c r="AZ67" s="463">
        <f>AZ69-AZ68</f>
        <v>3350.5146947607755</v>
      </c>
      <c r="BA67" s="343"/>
      <c r="BB67" s="579" t="s">
        <v>712</v>
      </c>
      <c r="BC67" s="517">
        <f>'Hảo_R&amp;D (Vảy sạch)'!BR4</f>
        <v>0.26666666666666666</v>
      </c>
      <c r="BE67" s="463">
        <f>BE68-BE6</f>
        <v>1475.6816565896879</v>
      </c>
    </row>
    <row r="68" spans="10:68" ht="16" x14ac:dyDescent="0.3">
      <c r="K68" s="353"/>
      <c r="L68" s="340" t="s">
        <v>712</v>
      </c>
      <c r="M68" s="340" t="s">
        <v>655</v>
      </c>
      <c r="N68" s="455">
        <f>N66+N67</f>
        <v>304.08627422765301</v>
      </c>
      <c r="V68" s="343"/>
      <c r="AQ68" s="452">
        <v>26.5</v>
      </c>
      <c r="AS68" s="353"/>
      <c r="AZ68" s="466">
        <f>($AH$5)/BA68</f>
        <v>23438.521069791594</v>
      </c>
      <c r="BA68" s="577">
        <f>SUM(BA69:BA71)</f>
        <v>0.87551020408163283</v>
      </c>
      <c r="BB68" s="343">
        <f>SUM(BA69*BB69,BA71*BB71)</f>
        <v>0.93111776820820091</v>
      </c>
      <c r="BD68" s="439">
        <f>AK6*BA68</f>
        <v>0.70755888184437987</v>
      </c>
      <c r="BE68" s="468">
        <f>($N$5/BD68)</f>
        <v>23438.521069791597</v>
      </c>
      <c r="BF68" s="463">
        <f>BE68-AZ68</f>
        <v>0</v>
      </c>
      <c r="BG68" s="463"/>
    </row>
    <row r="69" spans="10:68" ht="17.5" x14ac:dyDescent="0.35">
      <c r="K69" s="353"/>
      <c r="M69" s="340" t="s">
        <v>724</v>
      </c>
      <c r="N69" s="455">
        <f>N68/($J$71/(1-$G$5))*1000</f>
        <v>13531.839203130559</v>
      </c>
      <c r="V69" s="343"/>
      <c r="Z69" s="343"/>
      <c r="AI69" s="394" t="s">
        <v>712</v>
      </c>
      <c r="AJ69" s="342">
        <f>V71</f>
        <v>0.02</v>
      </c>
      <c r="AK69" s="454">
        <f>N69/AK70</f>
        <v>17494.795201842277</v>
      </c>
      <c r="AM69" s="453">
        <v>6000</v>
      </c>
      <c r="AP69" s="510">
        <f>AK69+AM69</f>
        <v>23494.795201842277</v>
      </c>
      <c r="AQ69" s="511">
        <f>AP69/AQ68</f>
        <v>886.59604535253879</v>
      </c>
      <c r="AS69" s="353"/>
      <c r="AZ69" s="467">
        <f>$AZ$68/$BB$68*BB69</f>
        <v>26789.035764552369</v>
      </c>
      <c r="BA69" s="576">
        <v>0.85306122448979604</v>
      </c>
      <c r="BB69" s="580">
        <f>BB11</f>
        <v>1.0642201834862386</v>
      </c>
      <c r="BC69" s="426" t="s">
        <v>597</v>
      </c>
      <c r="BD69" s="423"/>
    </row>
    <row r="70" spans="10:68" x14ac:dyDescent="0.3">
      <c r="K70" s="353"/>
      <c r="N70" s="460"/>
      <c r="V70" s="343"/>
      <c r="Z70" s="465">
        <f>N69/Z71</f>
        <v>15500.388548832256</v>
      </c>
      <c r="AA70" s="465"/>
      <c r="AH70" s="465">
        <f>Z70/AH71</f>
        <v>17494.795201842277</v>
      </c>
      <c r="AK70" s="388">
        <f>AH71*Z71</f>
        <v>0.773478</v>
      </c>
      <c r="AS70" s="353"/>
      <c r="AZ70" s="469">
        <f>AZ69-AZ71</f>
        <v>692.81989046256058</v>
      </c>
      <c r="BA70" s="356"/>
      <c r="BB70" s="356"/>
      <c r="BC70" s="424"/>
      <c r="BD70" s="425"/>
    </row>
    <row r="71" spans="10:68" x14ac:dyDescent="0.3">
      <c r="J71" s="340">
        <v>20</v>
      </c>
      <c r="K71" s="371">
        <v>0.02</v>
      </c>
      <c r="L71" s="575">
        <f>'Giá mua Chai-Vảy (Giá giảm)'!H16</f>
        <v>1.8925649235147637E-2</v>
      </c>
      <c r="M71" s="1070"/>
      <c r="N71" s="1072" t="s">
        <v>389</v>
      </c>
      <c r="O71" s="1073"/>
      <c r="P71" s="346"/>
      <c r="Q71" s="346"/>
      <c r="R71" s="1052"/>
      <c r="S71" s="1076" t="s">
        <v>389</v>
      </c>
      <c r="T71" s="1077"/>
      <c r="U71" s="347"/>
      <c r="V71" s="381">
        <v>0.02</v>
      </c>
      <c r="W71" s="1029" t="s">
        <v>551</v>
      </c>
      <c r="X71" s="1030"/>
      <c r="Y71" s="346"/>
      <c r="Z71" s="418">
        <v>0.873</v>
      </c>
      <c r="AA71" s="1003"/>
      <c r="AB71" s="1011" t="s">
        <v>604</v>
      </c>
      <c r="AC71" s="1012"/>
      <c r="AD71" s="346"/>
      <c r="AE71" s="1029" t="s">
        <v>557</v>
      </c>
      <c r="AF71" s="1030"/>
      <c r="AG71" s="346"/>
      <c r="AH71" s="418">
        <f>SUM(AH72:AH73)</f>
        <v>0.88600000000000001</v>
      </c>
      <c r="AI71" s="1003"/>
      <c r="AJ71" s="1011" t="s">
        <v>723</v>
      </c>
      <c r="AK71" s="1012"/>
      <c r="AL71" s="346"/>
      <c r="AM71" s="1029" t="s">
        <v>605</v>
      </c>
      <c r="AN71" s="1030"/>
      <c r="AO71" s="346"/>
      <c r="AP71" s="1029" t="s">
        <v>381</v>
      </c>
      <c r="AQ71" s="1030"/>
      <c r="AS71" s="358"/>
      <c r="AT71" s="1029" t="s">
        <v>606</v>
      </c>
      <c r="AU71" s="1030"/>
      <c r="AV71" s="359"/>
      <c r="AW71" s="359"/>
      <c r="AX71" s="1019" t="s">
        <v>607</v>
      </c>
      <c r="AY71" s="1020"/>
      <c r="AZ71" s="467">
        <f>$AZ$68/$BB$68*BB71</f>
        <v>26096.215874089808</v>
      </c>
      <c r="BA71" s="348">
        <v>2.2448979591836733E-2</v>
      </c>
      <c r="BB71" s="451">
        <f>BB13</f>
        <v>1.036697247706422</v>
      </c>
      <c r="BC71" s="426" t="s">
        <v>590</v>
      </c>
      <c r="BD71" s="423"/>
      <c r="BE71" s="349"/>
      <c r="BF71" s="349"/>
      <c r="BG71" s="349"/>
      <c r="BH71" s="349"/>
      <c r="BI71" s="349"/>
      <c r="BJ71" s="349"/>
      <c r="BK71" s="349"/>
      <c r="BL71" s="349"/>
      <c r="BM71" s="349"/>
      <c r="BN71" s="349"/>
      <c r="BO71" s="349"/>
      <c r="BP71" s="349"/>
    </row>
    <row r="72" spans="10:68" x14ac:dyDescent="0.3">
      <c r="K72" s="353"/>
      <c r="M72" s="1071"/>
      <c r="N72" s="1074"/>
      <c r="O72" s="1075"/>
      <c r="R72" s="1052"/>
      <c r="S72" s="1076"/>
      <c r="T72" s="1077"/>
      <c r="U72" s="354"/>
      <c r="V72" s="343"/>
      <c r="W72" s="1031"/>
      <c r="X72" s="1032"/>
      <c r="Z72" s="361"/>
      <c r="AA72" s="1004"/>
      <c r="AB72" s="1013"/>
      <c r="AC72" s="1014"/>
      <c r="AE72" s="1031"/>
      <c r="AF72" s="1032"/>
      <c r="AH72" s="361"/>
      <c r="AI72" s="1004"/>
      <c r="AJ72" s="1013"/>
      <c r="AK72" s="1014"/>
      <c r="AM72" s="1031"/>
      <c r="AN72" s="1032"/>
      <c r="AP72" s="1031"/>
      <c r="AQ72" s="1032"/>
      <c r="AS72" s="353"/>
      <c r="AT72" s="1031"/>
      <c r="AU72" s="1032"/>
      <c r="AV72" s="349"/>
      <c r="AW72" s="369"/>
      <c r="AX72" s="1021"/>
      <c r="AY72" s="1022"/>
      <c r="BA72" s="361"/>
      <c r="BB72" s="361"/>
      <c r="BC72" s="431"/>
      <c r="BD72" s="432"/>
      <c r="BE72" s="349"/>
      <c r="BF72" s="349"/>
      <c r="BG72" s="349"/>
      <c r="BH72" s="349"/>
      <c r="BI72" s="349"/>
      <c r="BJ72" s="349"/>
      <c r="BK72" s="349"/>
      <c r="BL72" s="349"/>
      <c r="BM72" s="349"/>
      <c r="BN72" s="349"/>
      <c r="BO72" s="349"/>
      <c r="BP72" s="349"/>
    </row>
    <row r="73" spans="10:68" ht="24" customHeight="1" x14ac:dyDescent="0.3">
      <c r="K73" s="353"/>
      <c r="V73" s="343"/>
      <c r="Z73" s="391">
        <f>SUM(Z74:Z89)</f>
        <v>0.12699999999999997</v>
      </c>
      <c r="AA73" s="465"/>
      <c r="AB73" s="1088"/>
      <c r="AC73" s="1088"/>
      <c r="AH73" s="560">
        <v>0.88600000000000001</v>
      </c>
      <c r="AI73" s="1003" t="s">
        <v>700</v>
      </c>
      <c r="AJ73" s="1027" t="s">
        <v>722</v>
      </c>
      <c r="AK73" s="1027"/>
      <c r="AS73" s="353"/>
      <c r="AW73" s="353"/>
      <c r="BA73" s="357">
        <v>4.4897959183673466E-2</v>
      </c>
      <c r="BB73" s="357"/>
      <c r="BC73" s="434" t="s">
        <v>608</v>
      </c>
      <c r="BD73" s="434"/>
    </row>
    <row r="74" spans="10:68" x14ac:dyDescent="0.3">
      <c r="K74" s="353"/>
      <c r="V74" s="343"/>
      <c r="Z74" s="350">
        <v>1E-3</v>
      </c>
      <c r="AA74" s="1052"/>
      <c r="AB74" s="1005" t="s">
        <v>574</v>
      </c>
      <c r="AC74" s="1006"/>
      <c r="AH74" s="546">
        <f>SUM(AH75:AH89)</f>
        <v>9.0999999999999998E-2</v>
      </c>
      <c r="AI74" s="1004"/>
      <c r="AJ74" s="1028"/>
      <c r="AK74" s="1028"/>
      <c r="AS74" s="353"/>
      <c r="AW74" s="353"/>
      <c r="BA74" s="361"/>
      <c r="BB74" s="361"/>
      <c r="BC74" s="434"/>
      <c r="BD74" s="434"/>
      <c r="BL74" s="341"/>
      <c r="BM74" s="341"/>
      <c r="BN74" s="341"/>
      <c r="BO74" s="341"/>
      <c r="BP74" s="341"/>
    </row>
    <row r="75" spans="10:68" x14ac:dyDescent="0.3">
      <c r="K75" s="353"/>
      <c r="V75" s="343"/>
      <c r="Z75" s="343"/>
      <c r="AA75" s="1052"/>
      <c r="AB75" s="1007"/>
      <c r="AC75" s="1008"/>
      <c r="AH75" s="386">
        <v>5.0000000000000001E-3</v>
      </c>
      <c r="AI75" s="1003"/>
      <c r="AJ75" s="1011" t="s">
        <v>575</v>
      </c>
      <c r="AK75" s="1012"/>
      <c r="AS75" s="353"/>
      <c r="AW75" s="353"/>
      <c r="BA75" s="357"/>
      <c r="BB75" s="350"/>
      <c r="BC75" s="368"/>
      <c r="BD75" s="368"/>
      <c r="BL75" s="341"/>
      <c r="BM75" s="341"/>
      <c r="BN75" s="341"/>
      <c r="BO75" s="341"/>
      <c r="BP75" s="341"/>
    </row>
    <row r="76" spans="10:68" x14ac:dyDescent="0.3">
      <c r="K76" s="353"/>
      <c r="V76" s="343"/>
      <c r="Z76" s="350">
        <v>5.0000000000000001E-3</v>
      </c>
      <c r="AA76" s="1052"/>
      <c r="AB76" s="1027" t="s">
        <v>572</v>
      </c>
      <c r="AC76" s="1012"/>
      <c r="AH76" s="343"/>
      <c r="AI76" s="1004"/>
      <c r="AJ76" s="1013"/>
      <c r="AK76" s="1014"/>
      <c r="AS76" s="353"/>
      <c r="AW76" s="353"/>
      <c r="BA76" s="361"/>
      <c r="BB76" s="343"/>
      <c r="BC76" s="368"/>
      <c r="BD76" s="368"/>
    </row>
    <row r="77" spans="10:68" x14ac:dyDescent="0.3">
      <c r="K77" s="353"/>
      <c r="V77" s="343"/>
      <c r="Z77" s="341"/>
      <c r="AA77" s="1052"/>
      <c r="AB77" s="1028"/>
      <c r="AC77" s="1014"/>
      <c r="AH77" s="350">
        <v>2.8000000000000001E-2</v>
      </c>
      <c r="AI77" s="1003"/>
      <c r="AJ77" s="1011" t="s">
        <v>578</v>
      </c>
      <c r="AK77" s="1012"/>
      <c r="AS77" s="353"/>
      <c r="AW77" s="353"/>
      <c r="BA77" s="357"/>
      <c r="BB77" s="350"/>
      <c r="BC77" s="436"/>
      <c r="BD77" s="436"/>
    </row>
    <row r="78" spans="10:68" x14ac:dyDescent="0.3">
      <c r="K78" s="353"/>
      <c r="V78" s="343"/>
      <c r="Z78" s="350">
        <v>4.2000000000000003E-2</v>
      </c>
      <c r="AA78" s="1003"/>
      <c r="AB78" s="1011" t="s">
        <v>697</v>
      </c>
      <c r="AC78" s="1012"/>
      <c r="AH78" s="343"/>
      <c r="AI78" s="1004"/>
      <c r="AJ78" s="1013"/>
      <c r="AK78" s="1014"/>
      <c r="AS78" s="353"/>
      <c r="AW78" s="353"/>
      <c r="BA78" s="361"/>
      <c r="BB78" s="343"/>
      <c r="BC78" s="436"/>
      <c r="BD78" s="436"/>
    </row>
    <row r="79" spans="10:68" x14ac:dyDescent="0.3">
      <c r="K79" s="353"/>
      <c r="V79" s="343"/>
      <c r="Z79" s="350"/>
      <c r="AA79" s="1004"/>
      <c r="AB79" s="1013"/>
      <c r="AC79" s="1014"/>
      <c r="AH79" s="350">
        <v>0.01</v>
      </c>
      <c r="AI79" s="1003"/>
      <c r="AJ79" s="1011" t="s">
        <v>599</v>
      </c>
      <c r="AK79" s="1012"/>
      <c r="AS79" s="353"/>
      <c r="AW79" s="353"/>
      <c r="BA79" s="361"/>
      <c r="BB79" s="343"/>
    </row>
    <row r="80" spans="10:68" ht="15" customHeight="1" x14ac:dyDescent="0.3">
      <c r="K80" s="353"/>
      <c r="V80" s="343"/>
      <c r="Z80" s="350">
        <v>2.7E-2</v>
      </c>
      <c r="AA80" s="1052"/>
      <c r="AB80" s="1005" t="s">
        <v>571</v>
      </c>
      <c r="AC80" s="1006"/>
      <c r="AH80" s="343"/>
      <c r="AI80" s="1004"/>
      <c r="AJ80" s="1013"/>
      <c r="AK80" s="1014"/>
      <c r="AS80" s="353"/>
      <c r="AW80" s="353"/>
      <c r="BA80" s="361"/>
      <c r="BB80" s="343"/>
    </row>
    <row r="81" spans="10:56" x14ac:dyDescent="0.3">
      <c r="K81" s="353"/>
      <c r="V81" s="343"/>
      <c r="Z81" s="343"/>
      <c r="AA81" s="1052"/>
      <c r="AB81" s="1007"/>
      <c r="AC81" s="1008"/>
      <c r="AH81" s="350">
        <v>7.0000000000000001E-3</v>
      </c>
      <c r="AI81" s="1003"/>
      <c r="AJ81" s="1011" t="s">
        <v>581</v>
      </c>
      <c r="AK81" s="1012"/>
      <c r="AS81" s="353"/>
      <c r="AW81" s="353"/>
      <c r="BA81" s="361"/>
      <c r="BB81" s="343"/>
    </row>
    <row r="82" spans="10:56" x14ac:dyDescent="0.3">
      <c r="K82" s="353"/>
      <c r="V82" s="343"/>
      <c r="Z82" s="350">
        <v>1.2999999999999999E-2</v>
      </c>
      <c r="AA82" s="1003"/>
      <c r="AB82" s="1011" t="s">
        <v>568</v>
      </c>
      <c r="AC82" s="1012"/>
      <c r="AH82" s="343"/>
      <c r="AI82" s="1004"/>
      <c r="AJ82" s="1013"/>
      <c r="AK82" s="1014"/>
      <c r="AS82" s="353"/>
      <c r="AW82" s="353"/>
      <c r="BA82" s="361"/>
      <c r="BB82" s="343"/>
    </row>
    <row r="83" spans="10:56" x14ac:dyDescent="0.3">
      <c r="K83" s="353"/>
      <c r="V83" s="343"/>
      <c r="Z83" s="343"/>
      <c r="AA83" s="1004"/>
      <c r="AB83" s="1013"/>
      <c r="AC83" s="1014"/>
      <c r="AH83" s="350">
        <v>5.0000000000000001E-3</v>
      </c>
      <c r="AI83" s="1003"/>
      <c r="AJ83" s="1011" t="s">
        <v>583</v>
      </c>
      <c r="AK83" s="1012"/>
      <c r="AS83" s="353"/>
      <c r="AW83" s="353"/>
      <c r="BA83" s="361"/>
      <c r="BB83" s="343"/>
    </row>
    <row r="84" spans="10:56" x14ac:dyDescent="0.3">
      <c r="K84" s="353"/>
      <c r="V84" s="343"/>
      <c r="Z84" s="350">
        <v>0.01</v>
      </c>
      <c r="AA84" s="1003"/>
      <c r="AB84" s="1084" t="s">
        <v>698</v>
      </c>
      <c r="AC84" s="1085"/>
      <c r="AH84" s="343"/>
      <c r="AI84" s="1004"/>
      <c r="AJ84" s="1013"/>
      <c r="AK84" s="1014"/>
      <c r="AS84" s="353"/>
      <c r="AW84" s="353"/>
      <c r="BA84" s="361"/>
      <c r="BB84" s="343"/>
    </row>
    <row r="85" spans="10:56" x14ac:dyDescent="0.3">
      <c r="K85" s="353"/>
      <c r="V85" s="343"/>
      <c r="Z85" s="343"/>
      <c r="AA85" s="1004"/>
      <c r="AB85" s="1086"/>
      <c r="AC85" s="1087"/>
      <c r="AH85" s="350">
        <v>4.0000000000000001E-3</v>
      </c>
      <c r="AI85" s="1003"/>
      <c r="AJ85" s="1011" t="s">
        <v>705</v>
      </c>
      <c r="AK85" s="1012"/>
      <c r="AS85" s="353"/>
      <c r="AW85" s="353"/>
      <c r="BA85" s="361"/>
      <c r="BB85" s="343"/>
    </row>
    <row r="86" spans="10:56" x14ac:dyDescent="0.3">
      <c r="K86" s="353"/>
      <c r="V86" s="343"/>
      <c r="Z86" s="350">
        <v>8.0000000000000002E-3</v>
      </c>
      <c r="AA86" s="1052"/>
      <c r="AB86" s="1005" t="s">
        <v>699</v>
      </c>
      <c r="AC86" s="1006"/>
      <c r="AH86" s="343"/>
      <c r="AI86" s="1004"/>
      <c r="AJ86" s="1013"/>
      <c r="AK86" s="1014"/>
      <c r="AS86" s="353"/>
      <c r="AW86" s="353"/>
      <c r="BA86" s="361"/>
      <c r="BB86" s="343"/>
    </row>
    <row r="87" spans="10:56" x14ac:dyDescent="0.3">
      <c r="K87" s="353"/>
      <c r="V87" s="343"/>
      <c r="Z87" s="343"/>
      <c r="AA87" s="1052"/>
      <c r="AB87" s="1007"/>
      <c r="AC87" s="1008"/>
      <c r="AH87" s="388">
        <v>3.2000000000000001E-2</v>
      </c>
      <c r="AI87" s="1003"/>
      <c r="AJ87" s="1063" t="s">
        <v>739</v>
      </c>
      <c r="AK87" s="1064"/>
      <c r="AS87" s="353"/>
      <c r="AW87" s="353"/>
      <c r="BA87" s="362">
        <v>2.1428571428571429E-2</v>
      </c>
      <c r="BB87" s="362"/>
      <c r="BC87" s="431" t="s">
        <v>576</v>
      </c>
      <c r="BD87" s="430"/>
    </row>
    <row r="88" spans="10:56" ht="15" customHeight="1" x14ac:dyDescent="0.3">
      <c r="K88" s="353"/>
      <c r="V88" s="343"/>
      <c r="Z88" s="350">
        <v>2.1000000000000001E-2</v>
      </c>
      <c r="AA88" s="1003"/>
      <c r="AB88" s="1005" t="s">
        <v>482</v>
      </c>
      <c r="AC88" s="1006"/>
      <c r="AH88" s="343"/>
      <c r="AI88" s="1004"/>
      <c r="AJ88" s="1065"/>
      <c r="AK88" s="1066"/>
      <c r="AS88" s="353"/>
      <c r="AW88" s="353"/>
      <c r="BA88" s="343"/>
      <c r="BB88" s="343"/>
      <c r="BC88" s="430"/>
      <c r="BD88" s="430"/>
    </row>
    <row r="89" spans="10:56" x14ac:dyDescent="0.3">
      <c r="K89" s="353"/>
      <c r="V89" s="343"/>
      <c r="Z89" s="343"/>
      <c r="AA89" s="1004"/>
      <c r="AB89" s="1007"/>
      <c r="AC89" s="1008"/>
      <c r="AH89" s="343"/>
      <c r="AS89" s="353"/>
      <c r="AW89" s="353"/>
      <c r="BA89" s="350">
        <v>2.2448979591836733E-2</v>
      </c>
      <c r="BB89" s="350"/>
      <c r="BC89" s="431" t="s">
        <v>573</v>
      </c>
      <c r="BD89" s="432"/>
    </row>
    <row r="90" spans="10:56" x14ac:dyDescent="0.3">
      <c r="K90" s="353"/>
      <c r="V90" s="343"/>
      <c r="Z90" s="343"/>
      <c r="AA90" s="558"/>
      <c r="AB90" s="561"/>
      <c r="AC90" s="561"/>
      <c r="AH90" s="343"/>
      <c r="AS90" s="353"/>
      <c r="AW90" s="353"/>
      <c r="BA90" s="350"/>
      <c r="BB90" s="350"/>
      <c r="BC90" s="431"/>
      <c r="BD90" s="432"/>
    </row>
    <row r="91" spans="10:56" x14ac:dyDescent="0.3">
      <c r="K91" s="353"/>
      <c r="M91" s="340" t="s">
        <v>47</v>
      </c>
      <c r="N91" s="453">
        <f>$E$5*$L$43</f>
        <v>356.96905016008543</v>
      </c>
      <c r="V91" s="343"/>
      <c r="AH91" s="341"/>
      <c r="AS91" s="353"/>
      <c r="AW91" s="353"/>
      <c r="BA91" s="350"/>
      <c r="BB91" s="350"/>
      <c r="BC91" s="431"/>
      <c r="BD91" s="432"/>
    </row>
    <row r="92" spans="10:56" x14ac:dyDescent="0.3">
      <c r="K92" s="353"/>
      <c r="M92" s="340" t="s">
        <v>653</v>
      </c>
      <c r="N92" s="453">
        <f>(($E$5+$H$5)*$G$5/(1-$G$5)+$H$5)*$L$96</f>
        <v>90.226437870484745</v>
      </c>
      <c r="V92" s="343"/>
      <c r="AS92" s="353"/>
      <c r="AW92" s="353"/>
      <c r="BA92" s="350"/>
      <c r="BB92" s="350"/>
      <c r="BC92" s="431"/>
      <c r="BD92" s="432"/>
    </row>
    <row r="93" spans="10:56" x14ac:dyDescent="0.3">
      <c r="K93" s="353"/>
      <c r="M93" s="340" t="s">
        <v>655</v>
      </c>
      <c r="N93" s="455">
        <f>N91+N92</f>
        <v>447.19548803057017</v>
      </c>
      <c r="V93" s="343"/>
      <c r="AS93" s="353"/>
      <c r="AW93" s="353"/>
      <c r="BA93" s="350"/>
      <c r="BB93" s="350"/>
      <c r="BC93" s="431"/>
      <c r="BD93" s="432"/>
    </row>
    <row r="94" spans="10:56" ht="17.5" x14ac:dyDescent="0.35">
      <c r="K94" s="353"/>
      <c r="M94" s="340" t="s">
        <v>729</v>
      </c>
      <c r="N94" s="455">
        <f>N93/($J$43/(1-$G$5))*1000</f>
        <v>13266.799478240247</v>
      </c>
      <c r="V94" s="343"/>
      <c r="Z94" s="465">
        <f>N94/Z95</f>
        <v>14760.569067913048</v>
      </c>
      <c r="AA94" s="465"/>
      <c r="AH94" s="465">
        <f>Z94/AH95</f>
        <v>16167.107412829186</v>
      </c>
      <c r="AI94" s="394" t="s">
        <v>712</v>
      </c>
      <c r="AJ94" s="342">
        <f>V96</f>
        <v>0.05</v>
      </c>
      <c r="AK94" s="454">
        <f>N94/AK95</f>
        <v>16167.107412829186</v>
      </c>
      <c r="AS94" s="353"/>
      <c r="AW94" s="353"/>
      <c r="BA94" s="350"/>
      <c r="BB94" s="350"/>
      <c r="BC94" s="431"/>
      <c r="BD94" s="432"/>
    </row>
    <row r="95" spans="10:56" x14ac:dyDescent="0.3">
      <c r="K95" s="353"/>
      <c r="V95" s="343"/>
      <c r="Z95" s="417">
        <f>SUM(Z96:Z99)</f>
        <v>0.89880000000000004</v>
      </c>
      <c r="AH95" s="416">
        <f>SUM(AH96:AH101)</f>
        <v>0.91300000000000003</v>
      </c>
      <c r="AK95" s="393">
        <f>Z95*AH95</f>
        <v>0.82060440000000012</v>
      </c>
      <c r="AS95" s="353"/>
      <c r="AW95" s="353"/>
      <c r="BA95" s="350"/>
      <c r="BB95" s="350"/>
      <c r="BC95" s="431"/>
      <c r="BD95" s="432"/>
    </row>
    <row r="96" spans="10:56" x14ac:dyDescent="0.3">
      <c r="J96" s="340">
        <v>20</v>
      </c>
      <c r="K96" s="371">
        <v>0.02</v>
      </c>
      <c r="L96" s="457">
        <f>'Giá mua Chai-Vảy (Giá giảm)'!H17</f>
        <v>1.8925649235147637E-2</v>
      </c>
      <c r="M96" s="1070"/>
      <c r="N96" s="1072" t="s">
        <v>728</v>
      </c>
      <c r="O96" s="1073"/>
      <c r="P96" s="346"/>
      <c r="Q96" s="346"/>
      <c r="R96" s="1052"/>
      <c r="S96" s="1076" t="s">
        <v>728</v>
      </c>
      <c r="T96" s="1077"/>
      <c r="U96" s="347"/>
      <c r="V96" s="408">
        <v>0.05</v>
      </c>
      <c r="W96" s="1029" t="s">
        <v>551</v>
      </c>
      <c r="X96" s="1030"/>
      <c r="Y96" s="346"/>
      <c r="Z96" s="348">
        <v>0.59130000000000005</v>
      </c>
      <c r="AA96" s="1052"/>
      <c r="AB96" s="1062" t="s">
        <v>733</v>
      </c>
      <c r="AC96" s="1062"/>
      <c r="AD96" s="346"/>
      <c r="AE96" s="1029" t="s">
        <v>557</v>
      </c>
      <c r="AF96" s="1030"/>
      <c r="AG96" s="346"/>
      <c r="AH96" s="372">
        <v>7.4999999999999997E-2</v>
      </c>
      <c r="AI96" s="1003" t="s">
        <v>700</v>
      </c>
      <c r="AJ96" s="1011" t="s">
        <v>735</v>
      </c>
      <c r="AK96" s="1012"/>
      <c r="AL96" s="346"/>
      <c r="AM96" s="1029" t="s">
        <v>554</v>
      </c>
      <c r="AN96" s="1030"/>
      <c r="AO96" s="346"/>
      <c r="AP96" s="1029" t="s">
        <v>555</v>
      </c>
      <c r="AQ96" s="1030"/>
      <c r="AR96" s="359"/>
      <c r="AS96" s="353"/>
      <c r="AW96" s="353"/>
      <c r="BA96" s="350"/>
      <c r="BB96" s="350"/>
      <c r="BC96" s="431"/>
      <c r="BD96" s="432"/>
    </row>
    <row r="97" spans="11:56" x14ac:dyDescent="0.3">
      <c r="K97" s="353"/>
      <c r="M97" s="1071"/>
      <c r="N97" s="1074"/>
      <c r="O97" s="1075"/>
      <c r="R97" s="1052"/>
      <c r="S97" s="1076"/>
      <c r="T97" s="1077"/>
      <c r="U97" s="354"/>
      <c r="V97" s="343"/>
      <c r="W97" s="1031"/>
      <c r="X97" s="1032"/>
      <c r="Z97" s="353"/>
      <c r="AA97" s="1052"/>
      <c r="AB97" s="1062"/>
      <c r="AC97" s="1062"/>
      <c r="AE97" s="1031"/>
      <c r="AF97" s="1032"/>
      <c r="AH97" s="374"/>
      <c r="AI97" s="1004"/>
      <c r="AJ97" s="1013"/>
      <c r="AK97" s="1014"/>
      <c r="AM97" s="1031"/>
      <c r="AN97" s="1032"/>
      <c r="AP97" s="1031"/>
      <c r="AQ97" s="1032"/>
      <c r="AR97" s="349"/>
      <c r="AS97" s="353"/>
      <c r="AW97" s="353"/>
      <c r="BA97" s="350"/>
      <c r="BB97" s="350"/>
      <c r="BC97" s="431"/>
      <c r="BD97" s="432"/>
    </row>
    <row r="98" spans="11:56" x14ac:dyDescent="0.3">
      <c r="K98" s="353"/>
      <c r="V98" s="343"/>
      <c r="Z98" s="348">
        <v>0.3075</v>
      </c>
      <c r="AA98" s="1052"/>
      <c r="AB98" s="1062" t="s">
        <v>734</v>
      </c>
      <c r="AC98" s="1062"/>
      <c r="AH98" s="374">
        <v>0.76900000000000002</v>
      </c>
      <c r="AI98" s="1003" t="s">
        <v>701</v>
      </c>
      <c r="AJ98" s="1011" t="s">
        <v>736</v>
      </c>
      <c r="AK98" s="1012"/>
      <c r="AS98" s="353"/>
      <c r="AW98" s="353"/>
      <c r="BA98" s="350"/>
      <c r="BB98" s="350"/>
      <c r="BC98" s="431"/>
      <c r="BD98" s="432"/>
    </row>
    <row r="99" spans="11:56" x14ac:dyDescent="0.3">
      <c r="K99" s="353"/>
      <c r="U99" s="375"/>
      <c r="V99" s="343"/>
      <c r="Z99" s="353"/>
      <c r="AA99" s="1052"/>
      <c r="AB99" s="1062"/>
      <c r="AC99" s="1062"/>
      <c r="AH99" s="374"/>
      <c r="AI99" s="1004"/>
      <c r="AJ99" s="1013"/>
      <c r="AK99" s="1014"/>
      <c r="AS99" s="353"/>
      <c r="AW99" s="353"/>
      <c r="BA99" s="350"/>
      <c r="BB99" s="350"/>
      <c r="BC99" s="431"/>
      <c r="BD99" s="432"/>
    </row>
    <row r="100" spans="11:56" x14ac:dyDescent="0.3">
      <c r="K100" s="353"/>
      <c r="U100" s="375"/>
      <c r="V100" s="343"/>
      <c r="Z100" s="353"/>
      <c r="AH100" s="374">
        <v>6.9000000000000006E-2</v>
      </c>
      <c r="AI100" s="1052" t="s">
        <v>702</v>
      </c>
      <c r="AJ100" s="1011" t="s">
        <v>737</v>
      </c>
      <c r="AK100" s="1012"/>
      <c r="AS100" s="353"/>
      <c r="AW100" s="353"/>
      <c r="BA100" s="350"/>
      <c r="BB100" s="350"/>
      <c r="BC100" s="431"/>
      <c r="BD100" s="432"/>
    </row>
    <row r="101" spans="11:56" x14ac:dyDescent="0.3">
      <c r="K101" s="353"/>
      <c r="U101" s="389">
        <f>Z101+AH103</f>
        <v>0.18111281154134123</v>
      </c>
      <c r="V101" s="343"/>
      <c r="Z101" s="390">
        <f>SUM(Z102:Z119)</f>
        <v>0.10111281154134122</v>
      </c>
      <c r="AA101" s="465"/>
      <c r="AH101" s="374"/>
      <c r="AI101" s="1052"/>
      <c r="AJ101" s="1013"/>
      <c r="AK101" s="1014"/>
      <c r="AS101" s="353"/>
      <c r="AW101" s="353"/>
      <c r="BA101" s="350"/>
      <c r="BB101" s="350"/>
      <c r="BC101" s="431"/>
      <c r="BD101" s="432"/>
    </row>
    <row r="102" spans="11:56" x14ac:dyDescent="0.3">
      <c r="K102" s="353"/>
      <c r="U102" s="375"/>
      <c r="V102" s="343"/>
      <c r="Z102" s="362">
        <v>3.6400000000000002E-2</v>
      </c>
      <c r="AA102" s="1003"/>
      <c r="AB102" s="1027" t="s">
        <v>732</v>
      </c>
      <c r="AC102" s="1012"/>
      <c r="AH102" s="374"/>
      <c r="AI102" s="1090"/>
      <c r="AJ102" s="1027"/>
      <c r="AK102" s="1027"/>
      <c r="AS102" s="353"/>
      <c r="AW102" s="353"/>
      <c r="BA102" s="350"/>
      <c r="BB102" s="350"/>
      <c r="BC102" s="431"/>
      <c r="BD102" s="432"/>
    </row>
    <row r="103" spans="11:56" x14ac:dyDescent="0.3">
      <c r="K103" s="353"/>
      <c r="U103" s="341"/>
      <c r="V103" s="343"/>
      <c r="Z103" s="341"/>
      <c r="AA103" s="1004"/>
      <c r="AB103" s="1028"/>
      <c r="AC103" s="1014"/>
      <c r="AH103" s="391">
        <f>SUM(AH104:AH117)</f>
        <v>8.0000000000000016E-2</v>
      </c>
      <c r="AI103" s="1090"/>
      <c r="AJ103" s="1028"/>
      <c r="AK103" s="1028"/>
      <c r="AS103" s="353"/>
      <c r="AW103" s="353"/>
      <c r="BA103" s="350"/>
      <c r="BB103" s="350"/>
      <c r="BC103" s="431"/>
      <c r="BD103" s="432"/>
    </row>
    <row r="104" spans="11:56" ht="15" customHeight="1" x14ac:dyDescent="0.3">
      <c r="K104" s="353"/>
      <c r="U104" s="341"/>
      <c r="V104" s="343"/>
      <c r="Z104" s="559">
        <v>2.0999999999999999E-3</v>
      </c>
      <c r="AA104" s="1003"/>
      <c r="AB104" s="1080" t="s">
        <v>598</v>
      </c>
      <c r="AC104" s="1081"/>
      <c r="AH104" s="350">
        <v>2E-3</v>
      </c>
      <c r="AI104" s="345"/>
      <c r="AJ104" s="1023" t="s">
        <v>601</v>
      </c>
      <c r="AK104" s="1024"/>
      <c r="AM104" s="341"/>
      <c r="AS104" s="353"/>
      <c r="AW104" s="353"/>
      <c r="BA104" s="350"/>
      <c r="BB104" s="350"/>
      <c r="BC104" s="431"/>
      <c r="BD104" s="432"/>
    </row>
    <row r="105" spans="11:56" x14ac:dyDescent="0.3">
      <c r="K105" s="353"/>
      <c r="U105" s="341"/>
      <c r="V105" s="343"/>
      <c r="Z105" s="350"/>
      <c r="AA105" s="1004"/>
      <c r="AB105" s="1082"/>
      <c r="AC105" s="1083"/>
      <c r="AH105" s="343"/>
      <c r="AI105" s="379"/>
      <c r="AJ105" s="1025"/>
      <c r="AK105" s="1026"/>
      <c r="AM105" s="341"/>
      <c r="AS105" s="353"/>
      <c r="AW105" s="353"/>
      <c r="BA105" s="350"/>
      <c r="BB105" s="350"/>
      <c r="BC105" s="431"/>
      <c r="BD105" s="432"/>
    </row>
    <row r="106" spans="11:56" x14ac:dyDescent="0.3">
      <c r="K106" s="353"/>
      <c r="U106" s="341"/>
      <c r="V106" s="343"/>
      <c r="Z106" s="350">
        <v>2.3999999999999998E-3</v>
      </c>
      <c r="AA106" s="1003"/>
      <c r="AB106" s="1023" t="s">
        <v>568</v>
      </c>
      <c r="AC106" s="1024"/>
      <c r="AH106" s="350">
        <v>5.0000000000000001E-3</v>
      </c>
      <c r="AI106" s="345"/>
      <c r="AJ106" s="1023" t="s">
        <v>738</v>
      </c>
      <c r="AK106" s="1024"/>
      <c r="AM106" s="341"/>
      <c r="AS106" s="353"/>
      <c r="AW106" s="353"/>
      <c r="BA106" s="350"/>
      <c r="BB106" s="350"/>
      <c r="BC106" s="431"/>
      <c r="BD106" s="432"/>
    </row>
    <row r="107" spans="11:56" x14ac:dyDescent="0.3">
      <c r="K107" s="353"/>
      <c r="U107" s="341"/>
      <c r="V107" s="343"/>
      <c r="Z107" s="350"/>
      <c r="AA107" s="1004"/>
      <c r="AB107" s="1025"/>
      <c r="AC107" s="1026"/>
      <c r="AH107" s="343"/>
      <c r="AI107" s="379"/>
      <c r="AJ107" s="1025"/>
      <c r="AK107" s="1026"/>
      <c r="AM107" s="341"/>
      <c r="AS107" s="353"/>
      <c r="AW107" s="353"/>
      <c r="BA107" s="350"/>
      <c r="BB107" s="350"/>
      <c r="BC107" s="431"/>
      <c r="BD107" s="432"/>
    </row>
    <row r="108" spans="11:56" x14ac:dyDescent="0.3">
      <c r="K108" s="353"/>
      <c r="U108" s="341"/>
      <c r="V108" s="343"/>
      <c r="Z108" s="350">
        <v>7.4000000000000003E-3</v>
      </c>
      <c r="AA108" s="1003"/>
      <c r="AB108" s="1027" t="s">
        <v>572</v>
      </c>
      <c r="AC108" s="1012"/>
      <c r="AH108" s="350">
        <v>3.5000000000000003E-2</v>
      </c>
      <c r="AI108" s="1052"/>
      <c r="AJ108" s="1011" t="s">
        <v>575</v>
      </c>
      <c r="AK108" s="1012"/>
      <c r="AM108" s="341"/>
      <c r="AS108" s="353"/>
      <c r="AW108" s="353"/>
      <c r="BA108" s="350"/>
      <c r="BB108" s="350"/>
      <c r="BC108" s="431"/>
      <c r="BD108" s="432"/>
    </row>
    <row r="109" spans="11:56" x14ac:dyDescent="0.3">
      <c r="K109" s="353"/>
      <c r="U109" s="341"/>
      <c r="V109" s="343"/>
      <c r="W109" s="341"/>
      <c r="Z109" s="350"/>
      <c r="AA109" s="1004"/>
      <c r="AB109" s="1028"/>
      <c r="AC109" s="1014"/>
      <c r="AH109" s="343"/>
      <c r="AI109" s="1052"/>
      <c r="AJ109" s="1013"/>
      <c r="AK109" s="1014"/>
      <c r="AS109" s="353"/>
      <c r="AW109" s="353"/>
      <c r="BA109" s="350"/>
      <c r="BB109" s="350"/>
      <c r="BC109" s="431"/>
      <c r="BD109" s="432"/>
    </row>
    <row r="110" spans="11:56" x14ac:dyDescent="0.3">
      <c r="K110" s="353"/>
      <c r="V110" s="343"/>
      <c r="Z110" s="350">
        <v>7.1999999999999998E-3</v>
      </c>
      <c r="AA110" s="1003"/>
      <c r="AB110" s="1011" t="s">
        <v>571</v>
      </c>
      <c r="AC110" s="1012"/>
      <c r="AH110" s="350">
        <v>0.02</v>
      </c>
      <c r="AI110" s="1052"/>
      <c r="AJ110" s="1011" t="s">
        <v>581</v>
      </c>
      <c r="AK110" s="1012"/>
      <c r="AS110" s="353"/>
      <c r="AW110" s="353"/>
      <c r="BA110" s="350"/>
      <c r="BB110" s="350"/>
      <c r="BC110" s="431"/>
      <c r="BD110" s="432"/>
    </row>
    <row r="111" spans="11:56" x14ac:dyDescent="0.3">
      <c r="K111" s="353"/>
      <c r="V111" s="343"/>
      <c r="Z111" s="380"/>
      <c r="AA111" s="1004"/>
      <c r="AB111" s="1013"/>
      <c r="AC111" s="1014"/>
      <c r="AH111" s="350"/>
      <c r="AI111" s="1052"/>
      <c r="AJ111" s="1013"/>
      <c r="AK111" s="1014"/>
      <c r="AS111" s="353"/>
      <c r="AW111" s="353"/>
      <c r="BA111" s="350"/>
      <c r="BB111" s="350"/>
      <c r="BC111" s="431"/>
      <c r="BD111" s="432"/>
    </row>
    <row r="112" spans="11:56" ht="15" customHeight="1" x14ac:dyDescent="0.3">
      <c r="K112" s="353"/>
      <c r="V112" s="343"/>
      <c r="Z112" s="350">
        <v>8.1281154134122649E-4</v>
      </c>
      <c r="AA112" s="1003"/>
      <c r="AB112" s="1011" t="s">
        <v>574</v>
      </c>
      <c r="AC112" s="1012"/>
      <c r="AH112" s="350">
        <v>5.0000000000000001E-3</v>
      </c>
      <c r="AI112" s="1052"/>
      <c r="AJ112" s="1005" t="s">
        <v>602</v>
      </c>
      <c r="AK112" s="1006"/>
      <c r="AS112" s="353"/>
      <c r="AW112" s="353"/>
      <c r="BA112" s="350"/>
      <c r="BB112" s="350"/>
      <c r="BC112" s="431"/>
      <c r="BD112" s="432"/>
    </row>
    <row r="113" spans="10:68" x14ac:dyDescent="0.3">
      <c r="K113" s="353"/>
      <c r="V113" s="343"/>
      <c r="Z113" s="343"/>
      <c r="AA113" s="1004"/>
      <c r="AB113" s="1013"/>
      <c r="AC113" s="1014"/>
      <c r="AH113" s="350"/>
      <c r="AI113" s="1052"/>
      <c r="AJ113" s="1007"/>
      <c r="AK113" s="1008"/>
      <c r="AS113" s="353"/>
      <c r="AW113" s="353"/>
      <c r="BA113" s="350"/>
      <c r="BB113" s="350"/>
      <c r="BC113" s="431"/>
      <c r="BD113" s="432"/>
    </row>
    <row r="114" spans="10:68" ht="15" customHeight="1" x14ac:dyDescent="0.3">
      <c r="K114" s="353"/>
      <c r="V114" s="343"/>
      <c r="Z114" s="350">
        <v>1.4E-3</v>
      </c>
      <c r="AA114" s="1003"/>
      <c r="AB114" s="1011" t="s">
        <v>577</v>
      </c>
      <c r="AC114" s="1012"/>
      <c r="AH114" s="350">
        <v>6.0000000000000001E-3</v>
      </c>
      <c r="AI114" s="1052"/>
      <c r="AJ114" s="1011" t="s">
        <v>622</v>
      </c>
      <c r="AK114" s="1012"/>
      <c r="AS114" s="353"/>
      <c r="AW114" s="353"/>
      <c r="BA114" s="350"/>
      <c r="BB114" s="350"/>
      <c r="BC114" s="431"/>
      <c r="BD114" s="432"/>
    </row>
    <row r="115" spans="10:68" x14ac:dyDescent="0.3">
      <c r="K115" s="353"/>
      <c r="V115" s="343"/>
      <c r="AA115" s="1004"/>
      <c r="AB115" s="1013"/>
      <c r="AC115" s="1014"/>
      <c r="AH115" s="350"/>
      <c r="AI115" s="1052"/>
      <c r="AJ115" s="1013"/>
      <c r="AK115" s="1014"/>
      <c r="AS115" s="353"/>
      <c r="AW115" s="353"/>
      <c r="BA115" s="350"/>
      <c r="BB115" s="350"/>
      <c r="BC115" s="431"/>
      <c r="BD115" s="432"/>
    </row>
    <row r="116" spans="10:68" ht="15" customHeight="1" x14ac:dyDescent="0.3">
      <c r="K116" s="353"/>
      <c r="V116" s="343"/>
      <c r="Z116" s="350">
        <v>4.3400000000000001E-2</v>
      </c>
      <c r="AA116" s="1003"/>
      <c r="AB116" s="1005" t="s">
        <v>482</v>
      </c>
      <c r="AC116" s="1006"/>
      <c r="AH116" s="350">
        <v>7.0000000000000001E-3</v>
      </c>
      <c r="AI116" s="1052"/>
      <c r="AJ116" s="1011" t="s">
        <v>583</v>
      </c>
      <c r="AK116" s="1012"/>
      <c r="AS116" s="353"/>
      <c r="AW116" s="353"/>
      <c r="BA116" s="350"/>
      <c r="BB116" s="350"/>
      <c r="BC116" s="431"/>
      <c r="BD116" s="432"/>
    </row>
    <row r="117" spans="10:68" x14ac:dyDescent="0.3">
      <c r="K117" s="353"/>
      <c r="V117" s="343"/>
      <c r="Z117" s="343"/>
      <c r="AA117" s="1004"/>
      <c r="AB117" s="1007"/>
      <c r="AC117" s="1008"/>
      <c r="AH117" s="350"/>
      <c r="AI117" s="1052"/>
      <c r="AJ117" s="1013"/>
      <c r="AK117" s="1014"/>
      <c r="AS117" s="353"/>
      <c r="AW117" s="353"/>
      <c r="BA117" s="350"/>
      <c r="BB117" s="350"/>
      <c r="BC117" s="431"/>
      <c r="BD117" s="432"/>
    </row>
    <row r="118" spans="10:68" ht="15" customHeight="1" x14ac:dyDescent="0.3">
      <c r="K118" s="353"/>
      <c r="V118" s="343"/>
      <c r="Z118" s="350"/>
      <c r="AA118" s="1003"/>
      <c r="AB118" s="1005"/>
      <c r="AC118" s="1006"/>
      <c r="AS118" s="353"/>
      <c r="AW118" s="353"/>
      <c r="BA118" s="350"/>
      <c r="BB118" s="350"/>
      <c r="BC118" s="431"/>
      <c r="BD118" s="432"/>
    </row>
    <row r="119" spans="10:68" x14ac:dyDescent="0.3">
      <c r="K119" s="353"/>
      <c r="N119" s="453"/>
      <c r="V119" s="343"/>
      <c r="Z119" s="343"/>
      <c r="AA119" s="1004"/>
      <c r="AB119" s="1007"/>
      <c r="AC119" s="1008"/>
      <c r="AH119" s="388">
        <v>7.0000000000000001E-3</v>
      </c>
      <c r="AI119" s="1052"/>
      <c r="AJ119" s="1063" t="s">
        <v>482</v>
      </c>
      <c r="AK119" s="1064"/>
      <c r="AS119" s="353"/>
      <c r="AW119" s="353"/>
      <c r="BA119" s="350"/>
      <c r="BB119" s="350"/>
      <c r="BC119" s="431"/>
      <c r="BD119" s="432"/>
    </row>
    <row r="120" spans="10:68" x14ac:dyDescent="0.3">
      <c r="K120" s="353"/>
      <c r="M120" s="340" t="s">
        <v>47</v>
      </c>
      <c r="N120" s="453">
        <f>$E$5*$L$125</f>
        <v>3569.6905016008541</v>
      </c>
      <c r="V120" s="343"/>
      <c r="Z120" s="343"/>
      <c r="AA120" s="558"/>
      <c r="AB120" s="561"/>
      <c r="AC120" s="561"/>
      <c r="AI120" s="1052"/>
      <c r="AJ120" s="1065"/>
      <c r="AK120" s="1066"/>
      <c r="AS120" s="353"/>
      <c r="AW120" s="353"/>
      <c r="BA120" s="350"/>
      <c r="BB120" s="350"/>
      <c r="BC120" s="431"/>
      <c r="BD120" s="432"/>
    </row>
    <row r="121" spans="10:68" x14ac:dyDescent="0.3">
      <c r="K121" s="353"/>
      <c r="M121" s="340" t="s">
        <v>653</v>
      </c>
      <c r="N121" s="453">
        <f>(($E$5+$H$5)*$G$5/(1-$G$5)+$H$5)*$L$125</f>
        <v>1506.035278740422</v>
      </c>
      <c r="V121" s="343"/>
      <c r="Z121" s="343"/>
      <c r="AA121" s="558"/>
      <c r="AB121" s="561"/>
      <c r="AC121" s="561"/>
      <c r="AH121" s="343"/>
      <c r="AS121" s="353"/>
      <c r="AW121" s="353"/>
      <c r="BA121" s="350"/>
      <c r="BB121" s="350"/>
      <c r="BC121" s="431"/>
      <c r="BD121" s="432"/>
    </row>
    <row r="122" spans="10:68" x14ac:dyDescent="0.3">
      <c r="K122" s="353"/>
      <c r="L122" s="340" t="s">
        <v>712</v>
      </c>
      <c r="M122" s="340" t="s">
        <v>655</v>
      </c>
      <c r="N122" s="455">
        <f>N120+N121</f>
        <v>5075.7257803412758</v>
      </c>
      <c r="V122" s="343"/>
      <c r="Z122" s="343"/>
      <c r="AA122" s="558"/>
      <c r="AB122" s="561"/>
      <c r="AC122" s="561"/>
      <c r="AH122" s="343"/>
      <c r="AS122" s="353"/>
      <c r="AW122" s="353"/>
      <c r="BA122" s="350"/>
      <c r="BB122" s="350"/>
      <c r="BC122" s="431"/>
      <c r="BD122" s="432"/>
    </row>
    <row r="123" spans="10:68" ht="17.5" x14ac:dyDescent="0.35">
      <c r="K123" s="353"/>
      <c r="M123" s="340" t="s">
        <v>727</v>
      </c>
      <c r="N123" s="455">
        <f>N122/($J$125/(1-$G$5))*1000</f>
        <v>15057.98648167912</v>
      </c>
      <c r="V123" s="343"/>
      <c r="Z123" s="465">
        <f>N123/Z124</f>
        <v>17833.471285378098</v>
      </c>
      <c r="AA123" s="465"/>
      <c r="AH123" s="465">
        <f>Z123/AH124</f>
        <v>19358.957105273665</v>
      </c>
      <c r="AI123" s="394" t="s">
        <v>712</v>
      </c>
      <c r="AJ123" s="342">
        <f>V125</f>
        <v>0.3</v>
      </c>
      <c r="AK123" s="454">
        <f>N123/AK124</f>
        <v>19358.957105273665</v>
      </c>
      <c r="AS123" s="353"/>
      <c r="AW123" s="353"/>
      <c r="BA123" s="343"/>
      <c r="BB123" s="343"/>
      <c r="BC123" s="424"/>
      <c r="BD123" s="425"/>
    </row>
    <row r="124" spans="10:68" x14ac:dyDescent="0.3">
      <c r="K124" s="353"/>
      <c r="N124" s="460"/>
      <c r="V124" s="343"/>
      <c r="Z124" s="417">
        <f>SUM(Z125:Z127)</f>
        <v>0.84436654203297834</v>
      </c>
      <c r="AH124" s="417">
        <f>SUM(AH125:AH132)</f>
        <v>0.92119999999999991</v>
      </c>
      <c r="AK124" s="393">
        <f>Z124*AH124</f>
        <v>0.77783045852077959</v>
      </c>
      <c r="AS124" s="353"/>
      <c r="AW124" s="353"/>
      <c r="BA124" s="350">
        <v>2.0408163265306121E-2</v>
      </c>
      <c r="BB124" s="350"/>
      <c r="BC124" s="422" t="s">
        <v>579</v>
      </c>
      <c r="BD124" s="423"/>
    </row>
    <row r="125" spans="10:68" ht="20" customHeight="1" x14ac:dyDescent="0.3">
      <c r="J125" s="340">
        <v>300</v>
      </c>
      <c r="K125" s="371">
        <v>0.3</v>
      </c>
      <c r="L125" s="457">
        <f>'Giá mua Chai-Vảy (Giá giảm)'!H18</f>
        <v>0.31590181430096054</v>
      </c>
      <c r="M125" s="1070"/>
      <c r="N125" s="1072" t="s">
        <v>390</v>
      </c>
      <c r="O125" s="1073"/>
      <c r="P125" s="346"/>
      <c r="Q125" s="346"/>
      <c r="R125" s="1052"/>
      <c r="S125" s="1076" t="s">
        <v>609</v>
      </c>
      <c r="T125" s="1077"/>
      <c r="U125" s="347"/>
      <c r="V125" s="408">
        <v>0.3</v>
      </c>
      <c r="W125" s="1029" t="s">
        <v>551</v>
      </c>
      <c r="X125" s="1030"/>
      <c r="Y125" s="346"/>
      <c r="Z125" s="348">
        <v>0.449642345554147</v>
      </c>
      <c r="AA125" s="1003"/>
      <c r="AB125" s="1011" t="s">
        <v>610</v>
      </c>
      <c r="AC125" s="1012"/>
      <c r="AH125" s="348">
        <v>1.2800000000000001E-2</v>
      </c>
      <c r="AI125" s="1003" t="s">
        <v>700</v>
      </c>
      <c r="AJ125" s="1011" t="s">
        <v>611</v>
      </c>
      <c r="AK125" s="1012"/>
      <c r="AL125" s="346"/>
      <c r="AM125" s="1029" t="s">
        <v>554</v>
      </c>
      <c r="AN125" s="1030"/>
      <c r="AO125" s="346"/>
      <c r="AP125" s="1029" t="s">
        <v>555</v>
      </c>
      <c r="AQ125" s="1030"/>
      <c r="AR125" s="359"/>
      <c r="AS125" s="373"/>
      <c r="AT125" s="349"/>
      <c r="AU125" s="349"/>
      <c r="AV125" s="349"/>
      <c r="AW125" s="369"/>
      <c r="AX125" s="349"/>
      <c r="AY125" s="349"/>
      <c r="BA125" s="343"/>
      <c r="BB125" s="343"/>
      <c r="BC125" s="424"/>
      <c r="BD125" s="425"/>
      <c r="BE125" s="382"/>
      <c r="BF125" s="382"/>
      <c r="BG125" s="382"/>
      <c r="BH125" s="382"/>
      <c r="BI125" s="382"/>
      <c r="BJ125" s="382"/>
      <c r="BK125" s="382"/>
      <c r="BL125" s="382"/>
      <c r="BM125" s="382"/>
      <c r="BN125" s="382"/>
      <c r="BO125" s="382"/>
      <c r="BP125" s="382"/>
    </row>
    <row r="126" spans="10:68" x14ac:dyDescent="0.3">
      <c r="M126" s="1071"/>
      <c r="N126" s="1074"/>
      <c r="O126" s="1075"/>
      <c r="R126" s="1052"/>
      <c r="S126" s="1076"/>
      <c r="T126" s="1077"/>
      <c r="U126" s="354"/>
      <c r="V126" s="343"/>
      <c r="W126" s="1031"/>
      <c r="X126" s="1032"/>
      <c r="Z126" s="361"/>
      <c r="AA126" s="1004"/>
      <c r="AB126" s="1013"/>
      <c r="AC126" s="1014"/>
      <c r="AD126" s="346"/>
      <c r="AE126" s="1029" t="s">
        <v>557</v>
      </c>
      <c r="AF126" s="1030"/>
      <c r="AG126" s="346"/>
      <c r="AH126" s="361"/>
      <c r="AI126" s="1004"/>
      <c r="AJ126" s="1013"/>
      <c r="AK126" s="1014"/>
      <c r="AM126" s="1031"/>
      <c r="AN126" s="1032"/>
      <c r="AP126" s="1031"/>
      <c r="AQ126" s="1032"/>
      <c r="AR126" s="349"/>
      <c r="AS126" s="373"/>
      <c r="AT126" s="349"/>
      <c r="AU126" s="349"/>
      <c r="AV126" s="349"/>
      <c r="AW126" s="369"/>
      <c r="AX126" s="349"/>
      <c r="AY126" s="349"/>
      <c r="AZ126" s="349"/>
      <c r="BA126" s="356"/>
      <c r="BB126" s="356"/>
      <c r="BC126" s="437"/>
      <c r="BD126" s="437"/>
      <c r="BE126" s="382"/>
      <c r="BF126" s="382"/>
      <c r="BG126" s="382"/>
      <c r="BH126" s="382"/>
      <c r="BI126" s="382"/>
      <c r="BJ126" s="382"/>
      <c r="BK126" s="382"/>
      <c r="BL126" s="382"/>
      <c r="BM126" s="382"/>
      <c r="BN126" s="382"/>
      <c r="BO126" s="382"/>
      <c r="BP126" s="382"/>
    </row>
    <row r="127" spans="10:68" ht="15.75" customHeight="1" x14ac:dyDescent="0.3">
      <c r="Z127" s="357">
        <v>0.39472419647883134</v>
      </c>
      <c r="AA127" s="1003"/>
      <c r="AB127" s="1011" t="s">
        <v>612</v>
      </c>
      <c r="AC127" s="1012"/>
      <c r="AE127" s="1031"/>
      <c r="AF127" s="1032"/>
      <c r="AH127" s="357">
        <v>0.38569999999999999</v>
      </c>
      <c r="AI127" s="1003" t="s">
        <v>701</v>
      </c>
      <c r="AJ127" s="1011" t="s">
        <v>613</v>
      </c>
      <c r="AK127" s="1012"/>
      <c r="AS127" s="353"/>
      <c r="AW127" s="353"/>
      <c r="AZ127" s="463">
        <f>AZ133-AZ128</f>
        <v>1646.8352322865721</v>
      </c>
      <c r="BA127" s="343"/>
      <c r="BB127" s="579" t="s">
        <v>712</v>
      </c>
      <c r="BC127" s="517">
        <f>'Hảo_R&amp;D (Vảy sạch)'!BR4</f>
        <v>0.26666666666666666</v>
      </c>
      <c r="BE127" s="382"/>
      <c r="BF127" s="382"/>
      <c r="BG127" s="382"/>
      <c r="BH127" s="382"/>
      <c r="BI127" s="382"/>
      <c r="BJ127" s="382"/>
      <c r="BK127" s="382"/>
      <c r="BL127" s="382"/>
      <c r="BM127" s="382"/>
      <c r="BN127" s="382"/>
      <c r="BO127" s="382"/>
      <c r="BP127" s="382"/>
    </row>
    <row r="128" spans="10:68" ht="16" x14ac:dyDescent="0.3">
      <c r="Z128" s="361"/>
      <c r="AA128" s="1004"/>
      <c r="AB128" s="1013"/>
      <c r="AC128" s="1014"/>
      <c r="AH128" s="361"/>
      <c r="AI128" s="1004"/>
      <c r="AJ128" s="1013"/>
      <c r="AK128" s="1014"/>
      <c r="AR128" s="382"/>
      <c r="AS128" s="353"/>
      <c r="AW128" s="353"/>
      <c r="AZ128" s="466">
        <f>($AH$5)/BA128</f>
        <v>21525.172411033102</v>
      </c>
      <c r="BA128" s="577">
        <f>SUM(BA129:BA133)</f>
        <v>0.95333333333333337</v>
      </c>
      <c r="BB128" s="580">
        <f>SUM(BA129*BB129,BA131*BB131,BA133*BB133)</f>
        <v>1.0141529051987768</v>
      </c>
      <c r="BD128" s="439">
        <f>AK6*BA128</f>
        <v>0.77045300467499123</v>
      </c>
      <c r="BE128" s="468">
        <f>($N$5/BD128)</f>
        <v>21525.172411033105</v>
      </c>
      <c r="BF128" s="463">
        <f>BE128-AZ128</f>
        <v>0</v>
      </c>
      <c r="BG128" s="463"/>
      <c r="BH128" s="382"/>
      <c r="BI128" s="382"/>
      <c r="BJ128" s="382"/>
      <c r="BK128" s="382"/>
      <c r="BL128" s="382"/>
      <c r="BM128" s="382"/>
      <c r="BN128" s="382"/>
    </row>
    <row r="129" spans="15:59" ht="15.75" customHeight="1" x14ac:dyDescent="0.3">
      <c r="Z129" s="361"/>
      <c r="AH129" s="357">
        <v>0.38119999999999998</v>
      </c>
      <c r="AI129" s="1052" t="s">
        <v>702</v>
      </c>
      <c r="AJ129" s="1011" t="s">
        <v>614</v>
      </c>
      <c r="AK129" s="1012"/>
      <c r="AS129" s="353"/>
      <c r="AT129" s="1057"/>
      <c r="AU129" s="1057"/>
      <c r="AV129" s="349"/>
      <c r="AW129" s="369"/>
      <c r="AX129" s="370"/>
      <c r="AY129" s="370"/>
      <c r="AZ129" s="467">
        <f>$AZ$128/$BB$128*BB129</f>
        <v>22587.839383404054</v>
      </c>
      <c r="BA129" s="576">
        <v>0.82133333333333336</v>
      </c>
      <c r="BB129" s="580">
        <f>BB11</f>
        <v>1.0642201834862386</v>
      </c>
      <c r="BC129" s="426" t="s">
        <v>588</v>
      </c>
      <c r="BD129" s="440"/>
      <c r="BE129" s="368"/>
      <c r="BF129" s="368"/>
      <c r="BG129" s="368"/>
    </row>
    <row r="130" spans="15:59" ht="20" customHeight="1" x14ac:dyDescent="0.3">
      <c r="U130" s="388" t="s">
        <v>628</v>
      </c>
      <c r="Z130" s="391">
        <f>SUM(Z131:Z154)</f>
        <v>0.15579999999999999</v>
      </c>
      <c r="AA130" s="465"/>
      <c r="AH130" s="361"/>
      <c r="AI130" s="1052"/>
      <c r="AJ130" s="1013"/>
      <c r="AK130" s="1014"/>
      <c r="AS130" s="353"/>
      <c r="AT130" s="1057"/>
      <c r="AU130" s="1057"/>
      <c r="AV130" s="349"/>
      <c r="AW130" s="369"/>
      <c r="AX130" s="377"/>
      <c r="AY130" s="377"/>
      <c r="AZ130" s="469">
        <f>AZ129-AZ131</f>
        <v>584.16825991562291</v>
      </c>
      <c r="BA130" s="356"/>
      <c r="BB130" s="356"/>
      <c r="BC130" s="428"/>
      <c r="BD130" s="442"/>
      <c r="BE130" s="383"/>
      <c r="BF130" s="383"/>
      <c r="BG130" s="383"/>
    </row>
    <row r="131" spans="15:59" ht="20.5" customHeight="1" x14ac:dyDescent="0.3">
      <c r="Z131" s="362">
        <v>8.0000000000000002E-3</v>
      </c>
      <c r="AA131" s="1003"/>
      <c r="AB131" s="1011" t="s">
        <v>565</v>
      </c>
      <c r="AC131" s="1012"/>
      <c r="AH131" s="357">
        <v>0.14149999999999999</v>
      </c>
      <c r="AI131" s="1052" t="s">
        <v>703</v>
      </c>
      <c r="AJ131" s="1011" t="s">
        <v>615</v>
      </c>
      <c r="AK131" s="1012"/>
      <c r="AS131" s="353"/>
      <c r="AT131" s="1057"/>
      <c r="AU131" s="1057"/>
      <c r="AV131" s="349"/>
      <c r="AW131" s="352"/>
      <c r="AX131" s="1019" t="s">
        <v>616</v>
      </c>
      <c r="AY131" s="1020"/>
      <c r="AZ131" s="467">
        <f>$AZ$128/$BB$128*BB131</f>
        <v>22003.671123488431</v>
      </c>
      <c r="BA131" s="348">
        <v>7.3333333333333334E-2</v>
      </c>
      <c r="BB131" s="451">
        <f>BB13</f>
        <v>1.036697247706422</v>
      </c>
      <c r="BC131" s="426" t="s">
        <v>590</v>
      </c>
      <c r="BD131" s="423"/>
      <c r="BE131" s="383"/>
      <c r="BF131" s="383"/>
      <c r="BG131" s="383"/>
    </row>
    <row r="132" spans="15:59" x14ac:dyDescent="0.3">
      <c r="Z132" s="343"/>
      <c r="AA132" s="1141"/>
      <c r="AB132" s="1068"/>
      <c r="AC132" s="1069"/>
      <c r="AH132" s="361"/>
      <c r="AI132" s="1052"/>
      <c r="AJ132" s="1013"/>
      <c r="AK132" s="1014"/>
      <c r="AS132" s="353"/>
      <c r="AT132" s="1057"/>
      <c r="AU132" s="1057"/>
      <c r="AV132" s="349"/>
      <c r="AW132" s="369"/>
      <c r="AX132" s="1021"/>
      <c r="AY132" s="1022"/>
      <c r="AZ132" s="463">
        <f>AZ133-AZ129</f>
        <v>584.16825991561927</v>
      </c>
      <c r="BA132" s="361"/>
      <c r="BB132" s="361"/>
      <c r="BC132" s="431"/>
      <c r="BD132" s="432"/>
      <c r="BE132" s="368"/>
      <c r="BF132" s="368"/>
      <c r="BG132" s="368"/>
    </row>
    <row r="133" spans="15:59" ht="16" x14ac:dyDescent="0.3">
      <c r="Z133" s="559">
        <v>1.2E-2</v>
      </c>
      <c r="AA133" s="1052"/>
      <c r="AB133" s="1067" t="s">
        <v>617</v>
      </c>
      <c r="AC133" s="1067"/>
      <c r="AH133" s="357"/>
      <c r="AS133" s="353"/>
      <c r="AT133" s="1057"/>
      <c r="AU133" s="1057"/>
      <c r="AV133" s="349"/>
      <c r="AW133" s="369"/>
      <c r="AX133" s="368"/>
      <c r="AY133" s="368"/>
      <c r="AZ133" s="467">
        <f>$AZ$128/$BB$128*BB133</f>
        <v>23172.007643319674</v>
      </c>
      <c r="BA133" s="578">
        <v>5.8666666666666666E-2</v>
      </c>
      <c r="BB133" s="581">
        <f>BB9</f>
        <v>1.0917431192660549</v>
      </c>
      <c r="BC133" s="434" t="s">
        <v>582</v>
      </c>
      <c r="BD133" s="434"/>
      <c r="BE133" s="368"/>
      <c r="BF133" s="368"/>
      <c r="BG133" s="368"/>
    </row>
    <row r="134" spans="15:59" ht="15.75" customHeight="1" x14ac:dyDescent="0.3">
      <c r="Z134" s="343"/>
      <c r="AA134" s="1052"/>
      <c r="AB134" s="1067"/>
      <c r="AC134" s="1067"/>
      <c r="AH134" s="361"/>
      <c r="AS134" s="353"/>
      <c r="AT134" s="1057"/>
      <c r="AU134" s="1057"/>
      <c r="AV134" s="349"/>
      <c r="AW134" s="369"/>
      <c r="AX134" s="368"/>
      <c r="AY134" s="368"/>
      <c r="BA134" s="361"/>
      <c r="BB134" s="361"/>
      <c r="BC134" s="434"/>
      <c r="BD134" s="434"/>
      <c r="BE134" s="384"/>
      <c r="BF134" s="384"/>
      <c r="BG134" s="384"/>
    </row>
    <row r="135" spans="15:59" ht="15" customHeight="1" x14ac:dyDescent="0.3">
      <c r="O135" s="385"/>
      <c r="S135" s="341"/>
      <c r="Z135" s="350">
        <v>5.1999999999999998E-3</v>
      </c>
      <c r="AA135" s="1003"/>
      <c r="AB135" s="1011" t="s">
        <v>568</v>
      </c>
      <c r="AC135" s="1012"/>
      <c r="AH135" s="361"/>
      <c r="AS135" s="353"/>
      <c r="AT135" s="1057"/>
      <c r="AU135" s="1057"/>
      <c r="AV135" s="349"/>
      <c r="AW135" s="369"/>
      <c r="AX135" s="378"/>
      <c r="AY135" s="378"/>
      <c r="BA135" s="357"/>
      <c r="BB135" s="350"/>
      <c r="BC135" s="368"/>
      <c r="BD135" s="368"/>
      <c r="BE135" s="384"/>
      <c r="BF135" s="384"/>
      <c r="BG135" s="384"/>
    </row>
    <row r="136" spans="15:59" x14ac:dyDescent="0.3">
      <c r="O136" s="385"/>
      <c r="S136" s="341"/>
      <c r="Z136" s="343"/>
      <c r="AA136" s="1004"/>
      <c r="AB136" s="1013"/>
      <c r="AC136" s="1014"/>
      <c r="AH136" s="361"/>
      <c r="AS136" s="353"/>
      <c r="AT136" s="1057"/>
      <c r="AU136" s="1057"/>
      <c r="AV136" s="349"/>
      <c r="AW136" s="369"/>
      <c r="AX136" s="378"/>
      <c r="AY136" s="378"/>
      <c r="BA136" s="361"/>
      <c r="BB136" s="343"/>
      <c r="BC136" s="368"/>
      <c r="BD136" s="368"/>
      <c r="BE136" s="384"/>
      <c r="BF136" s="384"/>
      <c r="BG136" s="384"/>
    </row>
    <row r="137" spans="15:59" ht="15.75" customHeight="1" x14ac:dyDescent="0.3">
      <c r="O137" s="385"/>
      <c r="S137" s="341"/>
      <c r="Z137" s="350">
        <v>6.4000000000000003E-3</v>
      </c>
      <c r="AA137" s="1003"/>
      <c r="AB137" s="1011" t="s">
        <v>571</v>
      </c>
      <c r="AC137" s="1012"/>
      <c r="AH137" s="361"/>
      <c r="AS137" s="353"/>
      <c r="AT137" s="1057"/>
      <c r="AU137" s="1057"/>
      <c r="AV137" s="349"/>
      <c r="AW137" s="369"/>
      <c r="BA137" s="357"/>
      <c r="BB137" s="350"/>
      <c r="BC137" s="368"/>
      <c r="BD137" s="368"/>
      <c r="BE137" s="384"/>
      <c r="BF137" s="384"/>
      <c r="BG137" s="384"/>
    </row>
    <row r="138" spans="15:59" ht="17.5" customHeight="1" x14ac:dyDescent="0.3">
      <c r="O138" s="385"/>
      <c r="S138" s="341"/>
      <c r="Z138" s="343"/>
      <c r="AA138" s="1004"/>
      <c r="AB138" s="1013"/>
      <c r="AC138" s="1014"/>
      <c r="AH138" s="391">
        <f>SUM(AH139:AH156)</f>
        <v>7.8800000000000009E-2</v>
      </c>
      <c r="AK138" s="341">
        <f>Z124-AH138-AK124</f>
        <v>-1.226391648780123E-2</v>
      </c>
      <c r="AS138" s="353"/>
      <c r="AT138" s="1057"/>
      <c r="AU138" s="1057"/>
      <c r="AV138" s="349"/>
      <c r="AW138" s="369"/>
      <c r="BA138" s="361"/>
      <c r="BB138" s="343"/>
      <c r="BC138" s="436"/>
      <c r="BD138" s="436"/>
    </row>
    <row r="139" spans="15:59" ht="17.5" customHeight="1" x14ac:dyDescent="0.3">
      <c r="O139" s="385"/>
      <c r="S139" s="341"/>
      <c r="W139" s="341"/>
      <c r="Z139" s="350">
        <v>2.3900000000000001E-2</v>
      </c>
      <c r="AA139" s="1003"/>
      <c r="AB139" s="1011" t="s">
        <v>618</v>
      </c>
      <c r="AC139" s="1012"/>
      <c r="AH139" s="386">
        <v>2.5999999999999999E-2</v>
      </c>
      <c r="AI139" s="1003"/>
      <c r="AJ139" s="1011" t="s">
        <v>575</v>
      </c>
      <c r="AK139" s="1012"/>
      <c r="AS139" s="353"/>
      <c r="AW139" s="353"/>
      <c r="BA139" s="361"/>
      <c r="BB139" s="343"/>
    </row>
    <row r="140" spans="15:59" x14ac:dyDescent="0.3">
      <c r="O140" s="385"/>
      <c r="S140" s="341"/>
      <c r="Z140" s="343"/>
      <c r="AA140" s="1004"/>
      <c r="AB140" s="1013"/>
      <c r="AC140" s="1014"/>
      <c r="AH140" s="343"/>
      <c r="AI140" s="1004"/>
      <c r="AJ140" s="1013"/>
      <c r="AK140" s="1014"/>
      <c r="AS140" s="353"/>
      <c r="AW140" s="353"/>
      <c r="BA140" s="361"/>
      <c r="BB140" s="343"/>
    </row>
    <row r="141" spans="15:59" ht="15.75" customHeight="1" x14ac:dyDescent="0.3">
      <c r="O141" s="385"/>
      <c r="S141" s="341"/>
      <c r="Z141" s="350">
        <v>1.5E-3</v>
      </c>
      <c r="AA141" s="1003"/>
      <c r="AB141" s="1011" t="s">
        <v>619</v>
      </c>
      <c r="AC141" s="1012"/>
      <c r="AH141" s="350">
        <v>2.5000000000000001E-3</v>
      </c>
      <c r="AI141" s="1003"/>
      <c r="AJ141" s="1011" t="s">
        <v>578</v>
      </c>
      <c r="AK141" s="1012"/>
      <c r="AS141" s="353"/>
      <c r="AW141" s="353"/>
      <c r="BA141" s="362">
        <v>1.6066666666666667E-2</v>
      </c>
      <c r="BB141" s="362"/>
      <c r="BC141" s="434" t="s">
        <v>579</v>
      </c>
      <c r="BD141" s="430"/>
    </row>
    <row r="142" spans="15:59" x14ac:dyDescent="0.3">
      <c r="O142" s="385"/>
      <c r="S142" s="341"/>
      <c r="Z142" s="343"/>
      <c r="AA142" s="1004"/>
      <c r="AB142" s="1013"/>
      <c r="AC142" s="1014"/>
      <c r="AH142" s="343"/>
      <c r="AI142" s="1004"/>
      <c r="AJ142" s="1013"/>
      <c r="AK142" s="1014"/>
      <c r="AS142" s="353"/>
      <c r="AW142" s="353"/>
      <c r="BA142" s="343"/>
      <c r="BB142" s="343"/>
      <c r="BC142" s="443"/>
      <c r="BD142" s="443"/>
    </row>
    <row r="143" spans="15:59" ht="15.75" customHeight="1" x14ac:dyDescent="0.3">
      <c r="O143" s="385"/>
      <c r="S143" s="341"/>
      <c r="Z143" s="350">
        <v>4.4999999999999998E-2</v>
      </c>
      <c r="AA143" s="1052"/>
      <c r="AB143" s="1062" t="s">
        <v>620</v>
      </c>
      <c r="AC143" s="1062"/>
      <c r="AH143" s="350">
        <v>4.5999999999999999E-3</v>
      </c>
      <c r="AI143" s="1003"/>
      <c r="AJ143" s="1011" t="s">
        <v>599</v>
      </c>
      <c r="AK143" s="1012"/>
      <c r="AS143" s="353"/>
      <c r="AW143" s="353"/>
      <c r="BA143" s="576">
        <v>1.4666666666666666E-2</v>
      </c>
      <c r="BB143" s="576"/>
      <c r="BC143" s="434" t="s">
        <v>621</v>
      </c>
      <c r="BD143" s="444"/>
    </row>
    <row r="144" spans="15:59" x14ac:dyDescent="0.3">
      <c r="O144" s="385"/>
      <c r="S144" s="341"/>
      <c r="Z144" s="343"/>
      <c r="AA144" s="1052"/>
      <c r="AB144" s="1062"/>
      <c r="AC144" s="1062"/>
      <c r="AH144" s="343"/>
      <c r="AI144" s="1004"/>
      <c r="AJ144" s="1013"/>
      <c r="AK144" s="1014"/>
      <c r="AS144" s="353"/>
      <c r="AW144" s="353"/>
      <c r="BA144" s="343"/>
      <c r="BB144" s="343"/>
      <c r="BC144" s="445"/>
      <c r="BD144" s="446"/>
    </row>
    <row r="145" spans="15:59" ht="15.75" customHeight="1" x14ac:dyDescent="0.3">
      <c r="O145" s="385"/>
      <c r="S145" s="341"/>
      <c r="Z145" s="350">
        <v>3.3999999999999998E-3</v>
      </c>
      <c r="AA145" s="1052"/>
      <c r="AB145" s="1005" t="s">
        <v>602</v>
      </c>
      <c r="AC145" s="1006"/>
      <c r="AH145" s="350">
        <v>8.8000000000000005E-3</v>
      </c>
      <c r="AI145" s="1003"/>
      <c r="AJ145" s="1011" t="s">
        <v>581</v>
      </c>
      <c r="AK145" s="1012"/>
      <c r="AS145" s="353"/>
      <c r="AW145" s="353"/>
      <c r="BA145" s="350"/>
      <c r="BB145" s="579" t="s">
        <v>712</v>
      </c>
      <c r="BC145" s="517">
        <f>'Hảo_R&amp;D (Vảy sạch)'!BR4</f>
        <v>0.26666666666666666</v>
      </c>
      <c r="BD145" s="368"/>
    </row>
    <row r="146" spans="15:59" ht="16" x14ac:dyDescent="0.3">
      <c r="O146" s="385"/>
      <c r="S146" s="341"/>
      <c r="Z146" s="343"/>
      <c r="AA146" s="1052"/>
      <c r="AB146" s="1007"/>
      <c r="AC146" s="1008"/>
      <c r="AH146" s="343"/>
      <c r="AI146" s="1004"/>
      <c r="AJ146" s="1013"/>
      <c r="AK146" s="1014"/>
      <c r="AS146" s="353"/>
      <c r="AW146" s="353"/>
      <c r="AZ146" s="466">
        <f>($AH$5*0.95+$AH$5*0.05)/BA146</f>
        <v>22084.325504161789</v>
      </c>
      <c r="BA146" s="577">
        <f>SUM(BA147:BA149)</f>
        <v>0.92919588426269883</v>
      </c>
      <c r="BB146" s="343"/>
      <c r="BC146" s="368"/>
      <c r="BD146" s="438">
        <f>(0.95*AK6+0.05*AK6)*BA146</f>
        <v>0.75094590310681641</v>
      </c>
      <c r="BE146" s="468">
        <f>($N$5/BD146)*0.95+($N$5/BD146)*0.05</f>
        <v>22084.325504161799</v>
      </c>
      <c r="BF146" s="463">
        <f>BE146-AZ146</f>
        <v>0</v>
      </c>
      <c r="BG146" s="463"/>
    </row>
    <row r="147" spans="15:59" ht="15.75" customHeight="1" x14ac:dyDescent="0.3">
      <c r="Z147" s="350">
        <v>1.5E-3</v>
      </c>
      <c r="AA147" s="1052"/>
      <c r="AB147" s="1005" t="s">
        <v>574</v>
      </c>
      <c r="AC147" s="1006"/>
      <c r="AH147" s="350">
        <v>2.0999999999999999E-3</v>
      </c>
      <c r="AI147" s="1003"/>
      <c r="AJ147" s="1053" t="s">
        <v>622</v>
      </c>
      <c r="AK147" s="1054"/>
      <c r="AS147" s="353"/>
      <c r="AW147" s="353"/>
      <c r="AZ147" s="349"/>
      <c r="BA147" s="576">
        <v>0.92359831869485121</v>
      </c>
      <c r="BB147" s="580">
        <f>BB11</f>
        <v>1.0642201834862386</v>
      </c>
      <c r="BC147" s="426" t="s">
        <v>597</v>
      </c>
      <c r="BD147" s="423"/>
    </row>
    <row r="148" spans="15:59" x14ac:dyDescent="0.3">
      <c r="Z148" s="343"/>
      <c r="AA148" s="1052"/>
      <c r="AB148" s="1007"/>
      <c r="AC148" s="1008"/>
      <c r="AH148" s="343"/>
      <c r="AI148" s="1004"/>
      <c r="AJ148" s="1055"/>
      <c r="AK148" s="1056"/>
      <c r="AS148" s="353"/>
      <c r="AW148" s="353"/>
      <c r="AZ148" s="349"/>
      <c r="BA148" s="356"/>
      <c r="BB148" s="356"/>
      <c r="BC148" s="424"/>
      <c r="BD148" s="425"/>
    </row>
    <row r="149" spans="15:59" ht="15.75" customHeight="1" x14ac:dyDescent="0.3">
      <c r="Z149" s="350">
        <v>8.0000000000000004E-4</v>
      </c>
      <c r="AA149" s="1052"/>
      <c r="AB149" s="1005" t="s">
        <v>577</v>
      </c>
      <c r="AC149" s="1006"/>
      <c r="AH149" s="350">
        <v>5.4000000000000003E-3</v>
      </c>
      <c r="AI149" s="1003"/>
      <c r="AJ149" s="1011" t="s">
        <v>583</v>
      </c>
      <c r="AK149" s="1012"/>
      <c r="AS149" s="353"/>
      <c r="AW149" s="352"/>
      <c r="AX149" s="1019" t="s">
        <v>623</v>
      </c>
      <c r="AY149" s="1020"/>
      <c r="AZ149" s="346"/>
      <c r="BA149" s="348">
        <v>5.5975655678475837E-3</v>
      </c>
      <c r="BB149" s="451">
        <f>BB13</f>
        <v>1.036697247706422</v>
      </c>
      <c r="BC149" s="426" t="s">
        <v>590</v>
      </c>
      <c r="BD149" s="423"/>
    </row>
    <row r="150" spans="15:59" x14ac:dyDescent="0.3">
      <c r="Z150" s="343"/>
      <c r="AA150" s="1052"/>
      <c r="AB150" s="1007"/>
      <c r="AC150" s="1008"/>
      <c r="AH150" s="343"/>
      <c r="AI150" s="1004"/>
      <c r="AJ150" s="1013"/>
      <c r="AK150" s="1014"/>
      <c r="AS150" s="353"/>
      <c r="AW150" s="369"/>
      <c r="AX150" s="1021"/>
      <c r="AY150" s="1022"/>
      <c r="BA150" s="361"/>
      <c r="BB150" s="361"/>
      <c r="BC150" s="431"/>
      <c r="BD150" s="432"/>
    </row>
    <row r="151" spans="15:59" ht="15.75" customHeight="1" x14ac:dyDescent="0.3">
      <c r="Z151" s="350">
        <v>4.6800000000000001E-2</v>
      </c>
      <c r="AA151" s="1052"/>
      <c r="AB151" s="1005" t="s">
        <v>482</v>
      </c>
      <c r="AC151" s="1006"/>
      <c r="AH151" s="350">
        <v>2.9999999999999997E-4</v>
      </c>
      <c r="AI151" s="1003"/>
      <c r="AJ151" s="1011" t="s">
        <v>587</v>
      </c>
      <c r="AK151" s="1012"/>
      <c r="AS151" s="353"/>
      <c r="AW151" s="353"/>
      <c r="BA151" s="357">
        <v>0</v>
      </c>
      <c r="BB151" s="357"/>
      <c r="BC151" s="434" t="s">
        <v>608</v>
      </c>
      <c r="BD151" s="434"/>
    </row>
    <row r="152" spans="15:59" x14ac:dyDescent="0.3">
      <c r="Z152" s="343"/>
      <c r="AA152" s="1052"/>
      <c r="AB152" s="1007"/>
      <c r="AC152" s="1008"/>
      <c r="AH152" s="343"/>
      <c r="AI152" s="1004"/>
      <c r="AJ152" s="1013"/>
      <c r="AK152" s="1014"/>
      <c r="AS152" s="353"/>
      <c r="AW152" s="353"/>
      <c r="BA152" s="361"/>
      <c r="BB152" s="361"/>
      <c r="BC152" s="434"/>
      <c r="BD152" s="434"/>
    </row>
    <row r="153" spans="15:59" x14ac:dyDescent="0.3">
      <c r="Z153" s="350">
        <v>2.9999999999999997E-4</v>
      </c>
      <c r="AB153" s="340" t="s">
        <v>601</v>
      </c>
      <c r="AH153" s="350">
        <v>8.0000000000000004E-4</v>
      </c>
      <c r="AI153" s="1003"/>
      <c r="AJ153" s="1011" t="s">
        <v>589</v>
      </c>
      <c r="AK153" s="1012"/>
      <c r="AS153" s="353"/>
      <c r="AW153" s="353"/>
      <c r="BA153" s="357"/>
      <c r="BB153" s="350"/>
      <c r="BC153" s="368"/>
      <c r="BD153" s="368"/>
    </row>
    <row r="154" spans="15:59" x14ac:dyDescent="0.3">
      <c r="Z154" s="350">
        <v>1E-3</v>
      </c>
      <c r="AB154" s="340" t="s">
        <v>619</v>
      </c>
      <c r="AH154" s="343"/>
      <c r="AI154" s="1004"/>
      <c r="AJ154" s="1013"/>
      <c r="AK154" s="1014"/>
      <c r="AS154" s="353"/>
      <c r="AW154" s="353"/>
      <c r="BA154" s="361"/>
      <c r="BB154" s="343"/>
      <c r="BC154" s="368"/>
      <c r="BD154" s="368"/>
    </row>
    <row r="155" spans="15:59" x14ac:dyDescent="0.3">
      <c r="AH155" s="388">
        <v>2.8299999999999999E-2</v>
      </c>
      <c r="AI155" s="1003"/>
      <c r="AJ155" s="1063" t="s">
        <v>482</v>
      </c>
      <c r="AK155" s="1064"/>
      <c r="AS155" s="353"/>
      <c r="AW155" s="353"/>
      <c r="BA155" s="357"/>
      <c r="BB155" s="350"/>
      <c r="BC155" s="436"/>
      <c r="BD155" s="436"/>
    </row>
    <row r="156" spans="15:59" x14ac:dyDescent="0.3">
      <c r="AH156" s="343"/>
      <c r="AI156" s="1004"/>
      <c r="AJ156" s="1065"/>
      <c r="AK156" s="1066"/>
      <c r="AS156" s="353"/>
      <c r="AW156" s="353"/>
      <c r="BA156" s="361"/>
      <c r="BB156" s="343"/>
      <c r="BC156" s="436"/>
      <c r="BD156" s="436"/>
    </row>
    <row r="157" spans="15:59" x14ac:dyDescent="0.3">
      <c r="AS157" s="353"/>
      <c r="AW157" s="353"/>
      <c r="BA157" s="361"/>
      <c r="BB157" s="343"/>
    </row>
    <row r="158" spans="15:59" ht="17.5" x14ac:dyDescent="0.35">
      <c r="Z158" s="465"/>
      <c r="AA158" s="465"/>
      <c r="AH158" s="465">
        <f>Z158/AH159</f>
        <v>0</v>
      </c>
      <c r="AI158" s="394" t="s">
        <v>712</v>
      </c>
      <c r="AK158" s="454">
        <f>N158/AK159</f>
        <v>0</v>
      </c>
      <c r="AR158" s="341"/>
      <c r="AS158" s="353"/>
      <c r="AW158" s="353"/>
      <c r="BA158" s="361"/>
      <c r="BB158" s="343"/>
    </row>
    <row r="159" spans="15:59" x14ac:dyDescent="0.3">
      <c r="Z159" s="389">
        <f>SUM(Z160:Z161)</f>
        <v>0.9093</v>
      </c>
      <c r="AH159" s="413">
        <f>SUM(AH160:AH165)</f>
        <v>0.94030000000000002</v>
      </c>
      <c r="AK159" s="412">
        <f>Z159*AH159</f>
        <v>0.85501479000000002</v>
      </c>
      <c r="AS159" s="353"/>
      <c r="AW159" s="353"/>
      <c r="BA159" s="362">
        <v>2.2135827472851807E-2</v>
      </c>
      <c r="BB159" s="362"/>
      <c r="BC159" s="431" t="s">
        <v>576</v>
      </c>
      <c r="BD159" s="430"/>
    </row>
    <row r="160" spans="15:59" ht="15" customHeight="1" x14ac:dyDescent="0.3">
      <c r="R160" s="1003"/>
      <c r="S160" s="1048" t="s">
        <v>646</v>
      </c>
      <c r="T160" s="1049"/>
      <c r="U160" s="347"/>
      <c r="V160" s="408">
        <v>0.05</v>
      </c>
      <c r="W160" s="1029" t="s">
        <v>551</v>
      </c>
      <c r="X160" s="1030"/>
      <c r="Y160" s="346"/>
      <c r="Z160" s="348">
        <v>0.9093</v>
      </c>
      <c r="AA160" s="1052"/>
      <c r="AB160" s="1045" t="s">
        <v>647</v>
      </c>
      <c r="AC160" s="1045"/>
      <c r="AD160" s="346"/>
      <c r="AE160" s="1029" t="s">
        <v>557</v>
      </c>
      <c r="AF160" s="1030"/>
      <c r="AG160" s="346"/>
      <c r="AH160" s="372">
        <v>0.34100000000000003</v>
      </c>
      <c r="AI160" s="1003" t="s">
        <v>700</v>
      </c>
      <c r="AJ160" s="1037" t="s">
        <v>645</v>
      </c>
      <c r="AK160" s="1038"/>
      <c r="AS160" s="353"/>
      <c r="AW160" s="353"/>
      <c r="BA160" s="343"/>
      <c r="BB160" s="343"/>
      <c r="BC160" s="430"/>
      <c r="BD160" s="430"/>
    </row>
    <row r="161" spans="18:59" x14ac:dyDescent="0.3">
      <c r="R161" s="1004"/>
      <c r="S161" s="1050"/>
      <c r="T161" s="1051"/>
      <c r="U161" s="354"/>
      <c r="V161" s="343"/>
      <c r="W161" s="1031"/>
      <c r="X161" s="1032"/>
      <c r="Z161" s="353"/>
      <c r="AA161" s="1052"/>
      <c r="AB161" s="1045"/>
      <c r="AC161" s="1045"/>
      <c r="AE161" s="1031"/>
      <c r="AF161" s="1032"/>
      <c r="AH161" s="374"/>
      <c r="AI161" s="1004"/>
      <c r="AJ161" s="1039"/>
      <c r="AK161" s="1040"/>
      <c r="AS161" s="353"/>
      <c r="AW161" s="353"/>
      <c r="BA161" s="350">
        <v>5.5975655678475837E-3</v>
      </c>
      <c r="BB161" s="350"/>
      <c r="BC161" s="431" t="s">
        <v>573</v>
      </c>
      <c r="BD161" s="432"/>
    </row>
    <row r="162" spans="18:59" ht="15" customHeight="1" x14ac:dyDescent="0.3">
      <c r="Z162" s="357">
        <v>0.39472419647883134</v>
      </c>
      <c r="AA162" s="1003"/>
      <c r="AB162" s="1037" t="s">
        <v>647</v>
      </c>
      <c r="AC162" s="1038"/>
      <c r="AH162" s="374">
        <v>0.46600000000000003</v>
      </c>
      <c r="AI162" s="1003" t="s">
        <v>701</v>
      </c>
      <c r="AJ162" s="1037" t="s">
        <v>645</v>
      </c>
      <c r="AK162" s="1038"/>
      <c r="AS162" s="353"/>
      <c r="AW162" s="353"/>
      <c r="BA162" s="343"/>
      <c r="BB162" s="343"/>
      <c r="BC162" s="424"/>
      <c r="BD162" s="425"/>
    </row>
    <row r="163" spans="18:59" x14ac:dyDescent="0.3">
      <c r="Z163" s="361"/>
      <c r="AA163" s="1004"/>
      <c r="AB163" s="1039"/>
      <c r="AC163" s="1040"/>
      <c r="AH163" s="374"/>
      <c r="AI163" s="1004"/>
      <c r="AJ163" s="1039"/>
      <c r="AK163" s="1040"/>
      <c r="AS163" s="353"/>
      <c r="AW163" s="353"/>
      <c r="BA163" s="350">
        <v>1.8329482886715449E-2</v>
      </c>
      <c r="BB163" s="350"/>
      <c r="BC163" s="422" t="s">
        <v>579</v>
      </c>
      <c r="BD163" s="423"/>
    </row>
    <row r="164" spans="18:59" ht="15" customHeight="1" x14ac:dyDescent="0.3">
      <c r="Z164" s="361"/>
      <c r="AB164" s="414"/>
      <c r="AC164" s="414"/>
      <c r="AH164" s="374">
        <v>0.1333</v>
      </c>
      <c r="AI164" s="1052" t="s">
        <v>702</v>
      </c>
      <c r="AJ164" s="1037" t="s">
        <v>645</v>
      </c>
      <c r="AK164" s="1038"/>
      <c r="AS164" s="353"/>
      <c r="AW164" s="369"/>
      <c r="AX164" s="349"/>
      <c r="AY164" s="349"/>
      <c r="BA164" s="343"/>
      <c r="BB164" s="343"/>
      <c r="BC164" s="424"/>
      <c r="BD164" s="425"/>
    </row>
    <row r="165" spans="18:59" x14ac:dyDescent="0.3">
      <c r="Z165" s="391">
        <f>SUM(Z166:Z187)</f>
        <v>0.1084</v>
      </c>
      <c r="AA165" s="465"/>
      <c r="AB165" s="414"/>
      <c r="AC165" s="414"/>
      <c r="AH165" s="374"/>
      <c r="AI165" s="1052"/>
      <c r="AJ165" s="1039"/>
      <c r="AK165" s="1040"/>
      <c r="AS165" s="353"/>
      <c r="AW165" s="353"/>
      <c r="BA165" s="350">
        <v>5.5975655678475837E-3</v>
      </c>
      <c r="BB165" s="350"/>
      <c r="BC165" s="422" t="s">
        <v>621</v>
      </c>
      <c r="BD165" s="444"/>
    </row>
    <row r="166" spans="18:59" x14ac:dyDescent="0.3">
      <c r="Z166" s="362">
        <v>8.0000000000000002E-3</v>
      </c>
      <c r="AA166" s="1003"/>
      <c r="AB166" s="1037" t="s">
        <v>565</v>
      </c>
      <c r="AC166" s="1038"/>
      <c r="AJ166" s="414"/>
      <c r="AK166" s="414"/>
      <c r="AS166" s="353"/>
      <c r="AW166" s="353"/>
      <c r="BA166" s="343"/>
      <c r="BB166" s="343"/>
      <c r="BC166" s="445"/>
      <c r="BD166" s="446"/>
    </row>
    <row r="167" spans="18:59" x14ac:dyDescent="0.3">
      <c r="Z167" s="343"/>
      <c r="AA167" s="1141"/>
      <c r="AB167" s="1046"/>
      <c r="AC167" s="1047"/>
      <c r="AJ167" s="414"/>
      <c r="AK167" s="414"/>
      <c r="AS167" s="353"/>
      <c r="AW167" s="353"/>
      <c r="BA167" s="343"/>
      <c r="BB167" s="343"/>
    </row>
    <row r="168" spans="18:59" x14ac:dyDescent="0.3">
      <c r="Z168" s="350">
        <v>1.2E-2</v>
      </c>
      <c r="AA168" s="1052"/>
      <c r="AB168" s="1045" t="s">
        <v>617</v>
      </c>
      <c r="AC168" s="1045"/>
      <c r="AH168" s="392">
        <f>SUM(AH169:AH184)</f>
        <v>7.8841552977177098E-2</v>
      </c>
      <c r="AJ168" s="414"/>
      <c r="AK168" s="415">
        <f>Z154-AH168-AK154</f>
        <v>-7.7841552977177098E-2</v>
      </c>
      <c r="AS168" s="353"/>
      <c r="AW168" s="353"/>
      <c r="BA168" s="343"/>
      <c r="BB168" s="579" t="s">
        <v>712</v>
      </c>
      <c r="BC168" s="517">
        <f>'Hảo_R&amp;D (Vảy sạch)'!BR4</f>
        <v>0.26666666666666666</v>
      </c>
    </row>
    <row r="169" spans="18:59" ht="16" x14ac:dyDescent="0.3">
      <c r="Z169" s="343"/>
      <c r="AA169" s="1052"/>
      <c r="AB169" s="1045"/>
      <c r="AC169" s="1045"/>
      <c r="AH169" s="386">
        <v>2.6265459645543797E-2</v>
      </c>
      <c r="AI169" s="1003"/>
      <c r="AJ169" s="1037" t="s">
        <v>575</v>
      </c>
      <c r="AK169" s="1038"/>
      <c r="AS169" s="353"/>
      <c r="AW169" s="353"/>
      <c r="AZ169" s="466">
        <f>($AH$5*0.855+$AH$123*0.095+$AH$5*0.05)/BA169</f>
        <v>21707.125553064085</v>
      </c>
      <c r="BA169" s="577">
        <f>SUM(BA170:BA173)</f>
        <v>0.94025817124424804</v>
      </c>
      <c r="BB169" s="343"/>
      <c r="BD169" s="438">
        <f>(0.855*AK6+0.095*AK124+0.05*AK6)*BA169</f>
        <v>0.75717624304690323</v>
      </c>
      <c r="BE169" s="468">
        <f>($N$5/BD169)*0.855+($N$123/BD169)*0.095+($N$5/BD169)*0.05</f>
        <v>21711.127256996155</v>
      </c>
      <c r="BF169" s="463">
        <f>BE169-AZ169</f>
        <v>4.001703932070086</v>
      </c>
      <c r="BG169" s="463"/>
    </row>
    <row r="170" spans="18:59" ht="16" x14ac:dyDescent="0.3">
      <c r="Z170" s="350">
        <v>5.1999999999999998E-3</v>
      </c>
      <c r="AA170" s="1003"/>
      <c r="AB170" s="1037" t="s">
        <v>568</v>
      </c>
      <c r="AC170" s="1038"/>
      <c r="AH170" s="343"/>
      <c r="AI170" s="1004"/>
      <c r="AJ170" s="1039"/>
      <c r="AK170" s="1040"/>
      <c r="AS170" s="353"/>
      <c r="AW170" s="353"/>
      <c r="AZ170" s="349"/>
      <c r="BA170" s="576">
        <v>0.92071469886272783</v>
      </c>
      <c r="BB170" s="580">
        <f>BB11</f>
        <v>1.0642201834862386</v>
      </c>
      <c r="BC170" s="426" t="s">
        <v>597</v>
      </c>
      <c r="BD170" s="423"/>
      <c r="BE170" s="340" t="s">
        <v>640</v>
      </c>
    </row>
    <row r="171" spans="18:59" x14ac:dyDescent="0.3">
      <c r="Z171" s="343"/>
      <c r="AA171" s="1004"/>
      <c r="AB171" s="1039"/>
      <c r="AC171" s="1040"/>
      <c r="AH171" s="350">
        <v>2.4760933316333037E-3</v>
      </c>
      <c r="AI171" s="1003"/>
      <c r="AJ171" s="1037" t="s">
        <v>578</v>
      </c>
      <c r="AK171" s="1038"/>
      <c r="AS171" s="353"/>
      <c r="AW171" s="353"/>
      <c r="AZ171" s="349"/>
      <c r="BA171" s="356"/>
      <c r="BB171" s="356"/>
      <c r="BC171" s="424"/>
      <c r="BD171" s="425"/>
    </row>
    <row r="172" spans="18:59" ht="15.75" customHeight="1" x14ac:dyDescent="0.3">
      <c r="Z172" s="350">
        <v>7.6E-3</v>
      </c>
      <c r="AA172" s="1003"/>
      <c r="AB172" s="1037" t="s">
        <v>571</v>
      </c>
      <c r="AC172" s="1038"/>
      <c r="AH172" s="343"/>
      <c r="AI172" s="1004"/>
      <c r="AJ172" s="1039"/>
      <c r="AK172" s="1040"/>
      <c r="AS172" s="353"/>
      <c r="AW172" s="352"/>
      <c r="AX172" s="1015" t="s">
        <v>624</v>
      </c>
      <c r="AY172" s="1016"/>
      <c r="AZ172" s="346"/>
      <c r="BA172" s="348">
        <v>1.9543472381520165E-2</v>
      </c>
      <c r="BB172" s="451">
        <f>BB13</f>
        <v>1.036697247706422</v>
      </c>
      <c r="BC172" s="426" t="s">
        <v>590</v>
      </c>
      <c r="BD172" s="423"/>
      <c r="BE172" s="340" t="s">
        <v>641</v>
      </c>
    </row>
    <row r="173" spans="18:59" x14ac:dyDescent="0.3">
      <c r="Z173" s="343"/>
      <c r="AA173" s="1004"/>
      <c r="AB173" s="1039"/>
      <c r="AC173" s="1040"/>
      <c r="AH173" s="350">
        <v>4.5999999999999999E-3</v>
      </c>
      <c r="AI173" s="1003"/>
      <c r="AJ173" s="1037" t="s">
        <v>599</v>
      </c>
      <c r="AK173" s="1038"/>
      <c r="AS173" s="353"/>
      <c r="AW173" s="349"/>
      <c r="AX173" s="1017"/>
      <c r="AY173" s="1018"/>
      <c r="BA173" s="361"/>
      <c r="BB173" s="361"/>
      <c r="BC173" s="431"/>
      <c r="BD173" s="432"/>
    </row>
    <row r="174" spans="18:59" x14ac:dyDescent="0.3">
      <c r="Z174" s="350">
        <v>2.3900000000000001E-2</v>
      </c>
      <c r="AA174" s="1003"/>
      <c r="AB174" s="1037" t="s">
        <v>618</v>
      </c>
      <c r="AC174" s="1038"/>
      <c r="AH174" s="343"/>
      <c r="AI174" s="1004"/>
      <c r="AJ174" s="1039"/>
      <c r="AK174" s="1040"/>
      <c r="AS174" s="353"/>
      <c r="BA174" s="357">
        <v>4.3429938625600371E-3</v>
      </c>
      <c r="BB174" s="357"/>
      <c r="BC174" s="422" t="s">
        <v>608</v>
      </c>
      <c r="BD174" s="423"/>
      <c r="BE174" s="340" t="s">
        <v>642</v>
      </c>
    </row>
    <row r="175" spans="18:59" x14ac:dyDescent="0.3">
      <c r="Z175" s="343"/>
      <c r="AA175" s="1004"/>
      <c r="AB175" s="1039"/>
      <c r="AC175" s="1040"/>
      <c r="AH175" s="350">
        <v>8.8000000000000005E-3</v>
      </c>
      <c r="AI175" s="1003"/>
      <c r="AJ175" s="1037" t="s">
        <v>581</v>
      </c>
      <c r="AK175" s="1038"/>
      <c r="AS175" s="353"/>
      <c r="BA175" s="361"/>
      <c r="BB175" s="361"/>
      <c r="BC175" s="424"/>
      <c r="BD175" s="425"/>
    </row>
    <row r="176" spans="18:59" ht="15.75" customHeight="1" x14ac:dyDescent="0.3">
      <c r="Z176" s="350">
        <v>1E-3</v>
      </c>
      <c r="AA176" s="1003"/>
      <c r="AB176" s="1037" t="s">
        <v>619</v>
      </c>
      <c r="AC176" s="1038"/>
      <c r="AH176" s="343"/>
      <c r="AI176" s="1004"/>
      <c r="AJ176" s="1039"/>
      <c r="AK176" s="1040"/>
      <c r="AS176" s="353"/>
      <c r="BA176" s="357">
        <v>6.5144907938400557E-3</v>
      </c>
      <c r="BB176" s="357"/>
      <c r="BC176" s="422" t="s">
        <v>600</v>
      </c>
      <c r="BD176" s="423"/>
      <c r="BE176" s="340" t="s">
        <v>643</v>
      </c>
    </row>
    <row r="177" spans="26:56" x14ac:dyDescent="0.3">
      <c r="Z177" s="343"/>
      <c r="AA177" s="1004"/>
      <c r="AB177" s="1039"/>
      <c r="AC177" s="1040"/>
      <c r="AH177" s="350">
        <v>2.0999999999999999E-3</v>
      </c>
      <c r="AI177" s="1003"/>
      <c r="AJ177" s="1041" t="s">
        <v>622</v>
      </c>
      <c r="AK177" s="1042"/>
      <c r="AS177" s="353"/>
      <c r="BA177" s="361"/>
      <c r="BB177" s="361"/>
      <c r="BC177" s="424"/>
      <c r="BD177" s="425"/>
    </row>
    <row r="178" spans="26:56" x14ac:dyDescent="0.3">
      <c r="Z178" s="350">
        <v>4.4999999999999998E-2</v>
      </c>
      <c r="AA178" s="1052"/>
      <c r="AB178" s="1045" t="s">
        <v>620</v>
      </c>
      <c r="AC178" s="1045"/>
      <c r="AH178" s="343"/>
      <c r="AI178" s="1004"/>
      <c r="AJ178" s="1043"/>
      <c r="AK178" s="1044"/>
      <c r="AS178" s="353"/>
      <c r="BA178" s="357"/>
      <c r="BB178" s="350"/>
      <c r="BC178" s="436"/>
      <c r="BD178" s="436"/>
    </row>
    <row r="179" spans="26:56" x14ac:dyDescent="0.3">
      <c r="Z179" s="343"/>
      <c r="AA179" s="1052"/>
      <c r="AB179" s="1045"/>
      <c r="AC179" s="1045"/>
      <c r="AH179" s="350">
        <v>5.4000000000000003E-3</v>
      </c>
      <c r="AI179" s="1003"/>
      <c r="AJ179" s="1037" t="s">
        <v>583</v>
      </c>
      <c r="AK179" s="1038"/>
      <c r="AS179" s="353"/>
      <c r="BA179" s="361"/>
      <c r="BB179" s="343"/>
      <c r="BC179" s="436"/>
      <c r="BD179" s="436"/>
    </row>
    <row r="180" spans="26:56" x14ac:dyDescent="0.3">
      <c r="Z180" s="350">
        <v>3.3999999999999998E-3</v>
      </c>
      <c r="AA180" s="1052"/>
      <c r="AB180" s="1033" t="s">
        <v>602</v>
      </c>
      <c r="AC180" s="1034"/>
      <c r="AH180" s="343"/>
      <c r="AI180" s="1004"/>
      <c r="AJ180" s="1039"/>
      <c r="AK180" s="1040"/>
      <c r="AS180" s="353"/>
      <c r="BA180" s="361"/>
      <c r="BB180" s="343"/>
    </row>
    <row r="181" spans="26:56" x14ac:dyDescent="0.3">
      <c r="Z181" s="343"/>
      <c r="AA181" s="1052"/>
      <c r="AB181" s="1035"/>
      <c r="AC181" s="1036"/>
      <c r="AH181" s="350">
        <v>1.1999999999999999E-3</v>
      </c>
      <c r="AI181" s="1003"/>
      <c r="AJ181" s="1037" t="s">
        <v>587</v>
      </c>
      <c r="AK181" s="1038"/>
      <c r="AS181" s="353"/>
      <c r="BA181" s="361"/>
      <c r="BB181" s="343"/>
    </row>
    <row r="182" spans="26:56" x14ac:dyDescent="0.3">
      <c r="Z182" s="350">
        <v>1.5E-3</v>
      </c>
      <c r="AA182" s="1052"/>
      <c r="AB182" s="1033" t="s">
        <v>574</v>
      </c>
      <c r="AC182" s="1034"/>
      <c r="AH182" s="343"/>
      <c r="AI182" s="1004"/>
      <c r="AJ182" s="1039"/>
      <c r="AK182" s="1040"/>
      <c r="AS182" s="353"/>
      <c r="BA182" s="362">
        <v>2.0044890763833915E-2</v>
      </c>
      <c r="BB182" s="362"/>
      <c r="BC182" s="431" t="s">
        <v>576</v>
      </c>
      <c r="BD182" s="430"/>
    </row>
    <row r="183" spans="26:56" x14ac:dyDescent="0.3">
      <c r="Z183" s="343"/>
      <c r="AA183" s="1052"/>
      <c r="AB183" s="1035"/>
      <c r="AC183" s="1036"/>
      <c r="AH183" s="388">
        <v>2.8000000000000001E-2</v>
      </c>
      <c r="AI183" s="1003"/>
      <c r="AJ183" s="1033" t="s">
        <v>739</v>
      </c>
      <c r="AK183" s="1034"/>
      <c r="AS183" s="353"/>
      <c r="BA183" s="343"/>
      <c r="BB183" s="343"/>
      <c r="BC183" s="430"/>
      <c r="BD183" s="430"/>
    </row>
    <row r="184" spans="26:56" x14ac:dyDescent="0.3">
      <c r="Z184" s="350">
        <v>8.0000000000000004E-4</v>
      </c>
      <c r="AA184" s="1052"/>
      <c r="AB184" s="1033" t="s">
        <v>577</v>
      </c>
      <c r="AC184" s="1034"/>
      <c r="AH184" s="343"/>
      <c r="AI184" s="1004"/>
      <c r="AJ184" s="1035"/>
      <c r="AK184" s="1036"/>
      <c r="AS184" s="353"/>
      <c r="BA184" s="350">
        <v>0</v>
      </c>
      <c r="BB184" s="350"/>
      <c r="BC184" s="431" t="s">
        <v>573</v>
      </c>
      <c r="BD184" s="432"/>
    </row>
    <row r="185" spans="26:56" x14ac:dyDescent="0.3">
      <c r="Z185" s="343"/>
      <c r="AA185" s="1052"/>
      <c r="AB185" s="1035"/>
      <c r="AC185" s="1036"/>
      <c r="AS185" s="353"/>
      <c r="BA185" s="343"/>
      <c r="BB185" s="343"/>
      <c r="BC185" s="424"/>
      <c r="BD185" s="425"/>
    </row>
    <row r="186" spans="26:56" x14ac:dyDescent="0.3">
      <c r="Z186" s="350"/>
      <c r="AA186" s="1052"/>
      <c r="AB186" s="1005"/>
      <c r="AC186" s="1006"/>
      <c r="AS186" s="353"/>
      <c r="BA186" s="350">
        <v>1.2831572775745564E-2</v>
      </c>
      <c r="BB186" s="350"/>
      <c r="BC186" s="422" t="s">
        <v>579</v>
      </c>
      <c r="BD186" s="423"/>
    </row>
    <row r="187" spans="26:56" x14ac:dyDescent="0.3">
      <c r="Z187" s="343"/>
      <c r="AA187" s="1052"/>
      <c r="AB187" s="1007"/>
      <c r="AC187" s="1008"/>
      <c r="AS187" s="353"/>
      <c r="AW187" s="349"/>
      <c r="AX187" s="349"/>
      <c r="AY187" s="349"/>
      <c r="BA187" s="343"/>
      <c r="BB187" s="343"/>
      <c r="BC187" s="424"/>
      <c r="BD187" s="425"/>
    </row>
    <row r="188" spans="26:56" x14ac:dyDescent="0.3">
      <c r="AS188" s="353"/>
      <c r="BA188" s="350">
        <v>0</v>
      </c>
      <c r="BB188" s="350"/>
      <c r="BC188" s="422" t="s">
        <v>621</v>
      </c>
      <c r="BD188" s="444"/>
    </row>
    <row r="189" spans="26:56" x14ac:dyDescent="0.3">
      <c r="AS189" s="353"/>
      <c r="BA189" s="343"/>
      <c r="BB189" s="343"/>
      <c r="BC189" s="445"/>
      <c r="BD189" s="446"/>
    </row>
    <row r="190" spans="26:56" x14ac:dyDescent="0.3">
      <c r="AS190" s="353"/>
      <c r="BA190" s="343"/>
      <c r="BB190" s="343"/>
    </row>
    <row r="191" spans="26:56" x14ac:dyDescent="0.3">
      <c r="AS191" s="353"/>
      <c r="BA191" s="343"/>
      <c r="BB191" s="343"/>
    </row>
    <row r="192" spans="26:56" x14ac:dyDescent="0.3">
      <c r="AS192" s="353"/>
      <c r="BA192" s="343"/>
      <c r="BB192" s="579" t="s">
        <v>712</v>
      </c>
      <c r="BC192" s="517">
        <f>'Hảo_R&amp;D (Vảy sạch)'!BR5</f>
        <v>6.6666666666666666E-2</v>
      </c>
    </row>
    <row r="193" spans="45:59" ht="16" x14ac:dyDescent="0.3">
      <c r="AS193" s="353"/>
      <c r="AZ193" s="466">
        <f>($AH$5*0.3+$AH$41*0.15+$AH$123*0.55+$AH$5*0)/BA193</f>
        <v>20456.108552955662</v>
      </c>
      <c r="BA193" s="577">
        <f>SUM(BA194)</f>
        <v>0.95058803508799916</v>
      </c>
      <c r="BB193" s="343"/>
      <c r="BD193" s="438">
        <f>(0.3*AK6+0.15*AK42+0.55*AK124+0*AK6)*BA193</f>
        <v>0.75905330750481881</v>
      </c>
      <c r="BE193" s="468">
        <f>($N$5/BD193)*0.3+($N$41/BD193)*0.15+($N$123/BD193)*0.55+($N$5/BD193)*0</f>
        <v>20441.028992084575</v>
      </c>
      <c r="BF193" s="463">
        <f>BE193-AZ193</f>
        <v>-15.079560871086869</v>
      </c>
      <c r="BG193" s="463"/>
    </row>
    <row r="194" spans="45:59" ht="16" x14ac:dyDescent="0.3">
      <c r="AS194" s="353"/>
      <c r="AZ194" s="349"/>
      <c r="BA194" s="576">
        <v>0.95058803508799916</v>
      </c>
      <c r="BB194" s="580">
        <f>BB13</f>
        <v>1.036697247706422</v>
      </c>
      <c r="BC194" s="426" t="s">
        <v>590</v>
      </c>
      <c r="BD194" s="423"/>
      <c r="BE194" s="340" t="s">
        <v>640</v>
      </c>
    </row>
    <row r="195" spans="45:59" x14ac:dyDescent="0.3">
      <c r="AS195" s="353"/>
      <c r="AZ195" s="349"/>
      <c r="BA195" s="356"/>
      <c r="BB195" s="356"/>
      <c r="BC195" s="431"/>
      <c r="BD195" s="432"/>
    </row>
    <row r="196" spans="45:59" x14ac:dyDescent="0.3">
      <c r="AS196" s="358"/>
      <c r="AT196" s="1029" t="s">
        <v>625</v>
      </c>
      <c r="AU196" s="1030"/>
      <c r="AV196" s="359"/>
      <c r="AW196" s="359"/>
      <c r="AX196" s="1015" t="s">
        <v>657</v>
      </c>
      <c r="AY196" s="1016"/>
      <c r="AZ196" s="346"/>
      <c r="BA196" s="348">
        <v>1.5555076937803624E-2</v>
      </c>
      <c r="BB196" s="350"/>
      <c r="BC196" s="426" t="s">
        <v>626</v>
      </c>
      <c r="BD196" s="423"/>
      <c r="BE196" s="340" t="s">
        <v>642</v>
      </c>
    </row>
    <row r="197" spans="45:59" x14ac:dyDescent="0.3">
      <c r="AT197" s="1031"/>
      <c r="AU197" s="1032"/>
      <c r="AV197" s="349"/>
      <c r="AW197" s="369"/>
      <c r="AX197" s="1017"/>
      <c r="AY197" s="1018"/>
      <c r="BA197" s="361"/>
      <c r="BB197" s="361"/>
      <c r="BC197" s="424"/>
      <c r="BD197" s="425"/>
    </row>
    <row r="198" spans="45:59" x14ac:dyDescent="0.3">
      <c r="AW198" s="353"/>
      <c r="BA198" s="357"/>
      <c r="BB198" s="350"/>
      <c r="BC198" s="368"/>
      <c r="BD198" s="368"/>
    </row>
    <row r="199" spans="45:59" x14ac:dyDescent="0.3">
      <c r="AW199" s="353"/>
      <c r="BA199" s="361"/>
      <c r="BB199" s="343"/>
      <c r="BC199" s="368"/>
      <c r="BD199" s="368"/>
    </row>
    <row r="200" spans="45:59" x14ac:dyDescent="0.3">
      <c r="AW200" s="353"/>
      <c r="BA200" s="357"/>
      <c r="BB200" s="350"/>
      <c r="BC200" s="368"/>
      <c r="BD200" s="368"/>
    </row>
    <row r="201" spans="45:59" x14ac:dyDescent="0.3">
      <c r="AW201" s="353"/>
      <c r="BA201" s="361"/>
      <c r="BB201" s="343"/>
      <c r="BC201" s="368"/>
      <c r="BD201" s="368"/>
    </row>
    <row r="202" spans="45:59" x14ac:dyDescent="0.3">
      <c r="AW202" s="353"/>
      <c r="BA202" s="357"/>
      <c r="BB202" s="350"/>
      <c r="BC202" s="436"/>
      <c r="BD202" s="436"/>
    </row>
    <row r="203" spans="45:59" x14ac:dyDescent="0.3">
      <c r="AW203" s="353"/>
      <c r="BA203" s="361"/>
      <c r="BB203" s="343"/>
      <c r="BC203" s="436"/>
      <c r="BD203" s="436"/>
    </row>
    <row r="204" spans="45:59" x14ac:dyDescent="0.3">
      <c r="AW204" s="353"/>
      <c r="BA204" s="361"/>
      <c r="BB204" s="343"/>
    </row>
    <row r="205" spans="45:59" x14ac:dyDescent="0.3">
      <c r="AW205" s="353"/>
      <c r="BA205" s="361"/>
      <c r="BB205" s="343"/>
    </row>
    <row r="206" spans="45:59" x14ac:dyDescent="0.3">
      <c r="AW206" s="353"/>
      <c r="BA206" s="362">
        <v>1.2428107625178484E-2</v>
      </c>
      <c r="BB206" s="362"/>
      <c r="BC206" s="431" t="s">
        <v>576</v>
      </c>
      <c r="BD206" s="430"/>
    </row>
    <row r="207" spans="45:59" x14ac:dyDescent="0.3">
      <c r="AW207" s="353"/>
      <c r="BA207" s="343"/>
      <c r="BB207" s="343"/>
      <c r="BC207" s="430"/>
      <c r="BD207" s="430"/>
    </row>
    <row r="208" spans="45:59" x14ac:dyDescent="0.3">
      <c r="AW208" s="353"/>
      <c r="BA208" s="350">
        <v>0</v>
      </c>
      <c r="BB208" s="350"/>
      <c r="BC208" s="431" t="s">
        <v>573</v>
      </c>
      <c r="BD208" s="432"/>
    </row>
    <row r="209" spans="48:59" x14ac:dyDescent="0.3">
      <c r="AW209" s="353"/>
      <c r="BA209" s="343"/>
      <c r="BB209" s="343"/>
      <c r="BC209" s="424"/>
      <c r="BD209" s="425"/>
    </row>
    <row r="210" spans="48:59" x14ac:dyDescent="0.3">
      <c r="AW210" s="353"/>
      <c r="BA210" s="350">
        <v>5.8497725236184564E-3</v>
      </c>
      <c r="BB210" s="350"/>
      <c r="BC210" s="422" t="s">
        <v>579</v>
      </c>
      <c r="BD210" s="423"/>
    </row>
    <row r="211" spans="48:59" x14ac:dyDescent="0.3">
      <c r="AV211" s="349"/>
      <c r="AW211" s="369"/>
      <c r="AX211" s="349"/>
      <c r="AY211" s="349"/>
      <c r="BA211" s="343"/>
      <c r="BB211" s="343"/>
      <c r="BC211" s="424"/>
      <c r="BD211" s="425"/>
    </row>
    <row r="212" spans="48:59" x14ac:dyDescent="0.3">
      <c r="AV212" s="349"/>
      <c r="AW212" s="369"/>
      <c r="AX212" s="349"/>
      <c r="AY212" s="349"/>
      <c r="AZ212" s="349"/>
      <c r="BA212" s="356"/>
      <c r="BB212" s="356"/>
      <c r="BC212" s="437"/>
      <c r="BD212" s="437"/>
    </row>
    <row r="213" spans="48:59" x14ac:dyDescent="0.3">
      <c r="AW213" s="353"/>
      <c r="BA213" s="343"/>
      <c r="BB213" s="343"/>
    </row>
    <row r="214" spans="48:59" x14ac:dyDescent="0.3">
      <c r="AW214" s="353"/>
      <c r="BA214" s="343"/>
      <c r="BB214" s="579" t="s">
        <v>712</v>
      </c>
      <c r="BC214" s="517">
        <f>'Hảo_R&amp;D (Vảy sạch)'!BR5</f>
        <v>6.6666666666666666E-2</v>
      </c>
    </row>
    <row r="215" spans="48:59" ht="16" x14ac:dyDescent="0.3">
      <c r="AW215" s="353"/>
      <c r="AZ215" s="466">
        <f>($AH$5*0+$AH$41*0.3+$AH$123*0.7+$AH$5*0)/BA215</f>
        <v>21990.583081320605</v>
      </c>
      <c r="BA215" s="577">
        <f>BA216</f>
        <v>0.85648854961832066</v>
      </c>
      <c r="BB215" s="343"/>
      <c r="BD215" s="438">
        <f>(0.3*AK42+0.7*AK124)*BA215</f>
        <v>0.68603513010398487</v>
      </c>
      <c r="BE215" s="468">
        <f>($N$5/BD215)*0+($N$41/BD215)*0.3+($N$123/BD215)*0.7+($N$5/BD215)*0</f>
        <v>21949.293587045206</v>
      </c>
      <c r="BF215" s="463">
        <f>BE215-AZ215</f>
        <v>-41.289494275399193</v>
      </c>
      <c r="BG215" s="463"/>
    </row>
    <row r="216" spans="48:59" ht="16" x14ac:dyDescent="0.3">
      <c r="AW216" s="353"/>
      <c r="AZ216" s="349"/>
      <c r="BA216" s="576">
        <v>0.85648854961832066</v>
      </c>
      <c r="BB216" s="580">
        <f>BB13</f>
        <v>1.036697247706422</v>
      </c>
      <c r="BC216" s="426" t="s">
        <v>590</v>
      </c>
      <c r="BD216" s="423"/>
    </row>
    <row r="217" spans="48:59" x14ac:dyDescent="0.3">
      <c r="AW217" s="353"/>
      <c r="AZ217" s="349"/>
      <c r="BA217" s="356"/>
      <c r="BB217" s="356"/>
      <c r="BC217" s="431"/>
      <c r="BD217" s="432"/>
    </row>
    <row r="218" spans="48:59" x14ac:dyDescent="0.3">
      <c r="AW218" s="352"/>
      <c r="AX218" s="1015" t="s">
        <v>627</v>
      </c>
      <c r="AY218" s="1016"/>
      <c r="AZ218" s="346"/>
      <c r="BA218" s="348">
        <v>0.10076335877862595</v>
      </c>
      <c r="BB218" s="362"/>
      <c r="BC218" s="426" t="s">
        <v>626</v>
      </c>
      <c r="BD218" s="423"/>
    </row>
    <row r="219" spans="48:59" x14ac:dyDescent="0.3">
      <c r="AW219" s="349"/>
      <c r="AX219" s="1017"/>
      <c r="AY219" s="1018"/>
      <c r="BA219" s="361"/>
      <c r="BB219" s="361"/>
      <c r="BC219" s="424"/>
      <c r="BD219" s="425"/>
    </row>
    <row r="220" spans="48:59" x14ac:dyDescent="0.3">
      <c r="AX220" s="414" t="s">
        <v>644</v>
      </c>
      <c r="BA220" s="357"/>
      <c r="BB220" s="350"/>
      <c r="BC220" s="368"/>
      <c r="BD220" s="368"/>
    </row>
    <row r="221" spans="48:59" x14ac:dyDescent="0.3">
      <c r="BA221" s="361"/>
      <c r="BB221" s="343"/>
      <c r="BC221" s="368"/>
      <c r="BD221" s="368"/>
    </row>
    <row r="222" spans="48:59" x14ac:dyDescent="0.3">
      <c r="BA222" s="357"/>
      <c r="BB222" s="350"/>
      <c r="BC222" s="368"/>
      <c r="BD222" s="368"/>
    </row>
    <row r="223" spans="48:59" x14ac:dyDescent="0.3">
      <c r="BA223" s="361"/>
      <c r="BB223" s="343"/>
      <c r="BC223" s="368"/>
      <c r="BD223" s="368"/>
    </row>
    <row r="224" spans="48:59" x14ac:dyDescent="0.3">
      <c r="BA224" s="357"/>
      <c r="BB224" s="350"/>
      <c r="BC224" s="436"/>
      <c r="BD224" s="436"/>
    </row>
    <row r="225" spans="46:58" x14ac:dyDescent="0.3">
      <c r="BA225" s="361"/>
      <c r="BB225" s="343"/>
      <c r="BC225" s="436"/>
      <c r="BD225" s="436"/>
    </row>
    <row r="226" spans="46:58" x14ac:dyDescent="0.3">
      <c r="BA226" s="361"/>
      <c r="BB226" s="343"/>
    </row>
    <row r="227" spans="46:58" x14ac:dyDescent="0.3">
      <c r="BA227" s="361"/>
      <c r="BB227" s="343"/>
    </row>
    <row r="228" spans="46:58" x14ac:dyDescent="0.3">
      <c r="BA228" s="362">
        <v>6.8702290076335876E-3</v>
      </c>
      <c r="BB228" s="362"/>
      <c r="BC228" s="431" t="s">
        <v>576</v>
      </c>
      <c r="BD228" s="430"/>
    </row>
    <row r="229" spans="46:58" x14ac:dyDescent="0.3">
      <c r="BA229" s="343"/>
      <c r="BB229" s="343"/>
      <c r="BC229" s="430"/>
      <c r="BD229" s="430"/>
    </row>
    <row r="230" spans="46:58" x14ac:dyDescent="0.3">
      <c r="BA230" s="350">
        <v>0</v>
      </c>
      <c r="BB230" s="350"/>
      <c r="BC230" s="431" t="s">
        <v>573</v>
      </c>
      <c r="BD230" s="432"/>
    </row>
    <row r="231" spans="46:58" x14ac:dyDescent="0.3">
      <c r="BA231" s="343"/>
      <c r="BB231" s="343"/>
      <c r="BC231" s="424"/>
      <c r="BD231" s="425"/>
    </row>
    <row r="232" spans="46:58" x14ac:dyDescent="0.3">
      <c r="BA232" s="350">
        <v>2.0427480916030534E-2</v>
      </c>
      <c r="BB232" s="350"/>
      <c r="BC232" s="422" t="s">
        <v>579</v>
      </c>
      <c r="BD232" s="423"/>
    </row>
    <row r="233" spans="46:58" x14ac:dyDescent="0.3">
      <c r="AW233" s="349"/>
      <c r="AX233" s="349"/>
      <c r="AY233" s="349"/>
      <c r="BA233" s="343"/>
      <c r="BB233" s="343"/>
      <c r="BC233" s="424"/>
      <c r="BD233" s="425"/>
    </row>
    <row r="235" spans="46:58" x14ac:dyDescent="0.3">
      <c r="BA235" s="343"/>
      <c r="BB235" s="579" t="s">
        <v>712</v>
      </c>
      <c r="BC235" s="517">
        <f>'Hảo_R&amp;D (Vảy sạch)'!BR5</f>
        <v>6.6666666666666666E-2</v>
      </c>
    </row>
    <row r="236" spans="46:58" ht="16" x14ac:dyDescent="0.3">
      <c r="AZ236" s="466">
        <f>($AH$5*1)/BA236</f>
        <v>21587.337108956166</v>
      </c>
      <c r="BA236" s="577">
        <f>SUM(BA237)</f>
        <v>0.95058803508799916</v>
      </c>
      <c r="BB236" s="343"/>
      <c r="BD236" s="438">
        <f>AK6*BA236</f>
        <v>0.76823434388983736</v>
      </c>
      <c r="BE236" s="468">
        <f>($N$5/BD236)</f>
        <v>21587.337108956166</v>
      </c>
      <c r="BF236" s="463">
        <f>BE236-AZ236</f>
        <v>0</v>
      </c>
    </row>
    <row r="237" spans="46:58" ht="16" x14ac:dyDescent="0.3">
      <c r="AZ237" s="349"/>
      <c r="BA237" s="576">
        <v>0.95058803508799916</v>
      </c>
      <c r="BB237" s="580">
        <f>BB56</f>
        <v>0</v>
      </c>
      <c r="BC237" s="426" t="s">
        <v>685</v>
      </c>
      <c r="BD237" s="423"/>
      <c r="BE237" s="340" t="s">
        <v>640</v>
      </c>
    </row>
    <row r="238" spans="46:58" x14ac:dyDescent="0.3">
      <c r="BA238" s="356"/>
      <c r="BB238" s="356"/>
      <c r="BC238" s="431"/>
      <c r="BD238" s="432"/>
    </row>
    <row r="239" spans="46:58" x14ac:dyDescent="0.3">
      <c r="AT239" s="1029" t="s">
        <v>625</v>
      </c>
      <c r="AU239" s="1030"/>
      <c r="AX239" s="1019" t="s">
        <v>563</v>
      </c>
      <c r="AY239" s="1020"/>
      <c r="BA239" s="348">
        <v>1.5555076937803624E-2</v>
      </c>
      <c r="BB239" s="350"/>
      <c r="BC239" s="426" t="s">
        <v>626</v>
      </c>
      <c r="BD239" s="423"/>
      <c r="BE239" s="340" t="s">
        <v>642</v>
      </c>
    </row>
    <row r="240" spans="46:58" x14ac:dyDescent="0.3">
      <c r="AT240" s="1031"/>
      <c r="AU240" s="1032"/>
      <c r="AX240" s="1021"/>
      <c r="AY240" s="1022"/>
      <c r="BA240" s="361"/>
      <c r="BB240" s="361"/>
      <c r="BC240" s="424"/>
      <c r="BD240" s="425"/>
    </row>
    <row r="241" spans="46:56" x14ac:dyDescent="0.3">
      <c r="AT241" s="340" t="s">
        <v>684</v>
      </c>
      <c r="BA241" s="357"/>
      <c r="BB241" s="350"/>
      <c r="BC241" s="368"/>
      <c r="BD241" s="368"/>
    </row>
    <row r="242" spans="46:56" x14ac:dyDescent="0.3">
      <c r="BA242" s="361"/>
      <c r="BB242" s="343"/>
      <c r="BC242" s="368"/>
      <c r="BD242" s="368"/>
    </row>
    <row r="243" spans="46:56" x14ac:dyDescent="0.3">
      <c r="BA243" s="357"/>
      <c r="BB243" s="350"/>
      <c r="BC243" s="368"/>
      <c r="BD243" s="368"/>
    </row>
    <row r="244" spans="46:56" x14ac:dyDescent="0.3">
      <c r="BA244" s="361"/>
      <c r="BB244" s="343"/>
      <c r="BC244" s="368"/>
      <c r="BD244" s="368"/>
    </row>
    <row r="245" spans="46:56" x14ac:dyDescent="0.3">
      <c r="BA245" s="357"/>
      <c r="BB245" s="350"/>
      <c r="BC245" s="436"/>
      <c r="BD245" s="436"/>
    </row>
    <row r="246" spans="46:56" x14ac:dyDescent="0.3">
      <c r="BA246" s="361"/>
      <c r="BB246" s="343"/>
      <c r="BC246" s="436"/>
      <c r="BD246" s="436"/>
    </row>
    <row r="247" spans="46:56" x14ac:dyDescent="0.3">
      <c r="BA247" s="361"/>
      <c r="BB247" s="343"/>
    </row>
    <row r="248" spans="46:56" x14ac:dyDescent="0.3">
      <c r="BA248" s="361"/>
      <c r="BB248" s="343"/>
    </row>
    <row r="249" spans="46:56" x14ac:dyDescent="0.3">
      <c r="BA249" s="362">
        <v>1.2428107625178484E-2</v>
      </c>
      <c r="BB249" s="362"/>
      <c r="BC249" s="431" t="s">
        <v>576</v>
      </c>
      <c r="BD249" s="430"/>
    </row>
    <row r="250" spans="46:56" x14ac:dyDescent="0.3">
      <c r="BA250" s="343"/>
      <c r="BB250" s="343"/>
      <c r="BC250" s="430"/>
      <c r="BD250" s="430"/>
    </row>
    <row r="251" spans="46:56" x14ac:dyDescent="0.3">
      <c r="BA251" s="350">
        <v>0</v>
      </c>
      <c r="BB251" s="350"/>
      <c r="BC251" s="431" t="s">
        <v>573</v>
      </c>
      <c r="BD251" s="432"/>
    </row>
    <row r="252" spans="46:56" x14ac:dyDescent="0.3">
      <c r="BA252" s="343"/>
      <c r="BB252" s="343"/>
      <c r="BC252" s="424"/>
      <c r="BD252" s="425"/>
    </row>
    <row r="253" spans="46:56" x14ac:dyDescent="0.3">
      <c r="BA253" s="350">
        <v>5.8497725236184564E-3</v>
      </c>
      <c r="BB253" s="350"/>
      <c r="BC253" s="422" t="s">
        <v>579</v>
      </c>
      <c r="BD253" s="423"/>
    </row>
    <row r="254" spans="46:56" x14ac:dyDescent="0.3">
      <c r="BA254" s="343"/>
      <c r="BB254" s="343"/>
      <c r="BC254" s="424"/>
      <c r="BD254" s="425"/>
    </row>
  </sheetData>
  <mergeCells count="343">
    <mergeCell ref="AJ85:AK86"/>
    <mergeCell ref="AI87:AI88"/>
    <mergeCell ref="AJ87:AK88"/>
    <mergeCell ref="AA78:AA79"/>
    <mergeCell ref="AB78:AC79"/>
    <mergeCell ref="AA86:AA87"/>
    <mergeCell ref="AB86:AC87"/>
    <mergeCell ref="AA88:AA89"/>
    <mergeCell ref="AB88:AC89"/>
    <mergeCell ref="AA80:AA81"/>
    <mergeCell ref="AB80:AC81"/>
    <mergeCell ref="AA82:AA83"/>
    <mergeCell ref="AB82:AC83"/>
    <mergeCell ref="AA84:AA85"/>
    <mergeCell ref="AB84:AC85"/>
    <mergeCell ref="AI77:AI78"/>
    <mergeCell ref="AJ77:AK78"/>
    <mergeCell ref="AI83:AI84"/>
    <mergeCell ref="AJ83:AK84"/>
    <mergeCell ref="AI85:AI86"/>
    <mergeCell ref="R160:R161"/>
    <mergeCell ref="S160:T161"/>
    <mergeCell ref="W160:X161"/>
    <mergeCell ref="AE160:AF161"/>
    <mergeCell ref="M43:M44"/>
    <mergeCell ref="N43:O44"/>
    <mergeCell ref="M71:M72"/>
    <mergeCell ref="N71:O72"/>
    <mergeCell ref="M125:M126"/>
    <mergeCell ref="N125:O126"/>
    <mergeCell ref="AA149:AA150"/>
    <mergeCell ref="AB149:AC150"/>
    <mergeCell ref="AA141:AA142"/>
    <mergeCell ref="AB141:AC142"/>
    <mergeCell ref="AA133:AA134"/>
    <mergeCell ref="AB133:AC134"/>
    <mergeCell ref="AA63:AA64"/>
    <mergeCell ref="AB63:AC64"/>
    <mergeCell ref="AA65:AA66"/>
    <mergeCell ref="AB65:AC66"/>
    <mergeCell ref="AA74:AA75"/>
    <mergeCell ref="AB74:AC75"/>
    <mergeCell ref="AA76:AA77"/>
    <mergeCell ref="AB76:AC77"/>
    <mergeCell ref="AA178:AA179"/>
    <mergeCell ref="AB178:AC179"/>
    <mergeCell ref="AA180:AA181"/>
    <mergeCell ref="AB180:AC181"/>
    <mergeCell ref="AA182:AA183"/>
    <mergeCell ref="AB182:AC183"/>
    <mergeCell ref="AA184:AA185"/>
    <mergeCell ref="AB184:AC185"/>
    <mergeCell ref="AA186:AA187"/>
    <mergeCell ref="AB186:AC187"/>
    <mergeCell ref="AI177:AI178"/>
    <mergeCell ref="AJ177:AK178"/>
    <mergeCell ref="AI179:AI180"/>
    <mergeCell ref="AJ179:AK180"/>
    <mergeCell ref="AI181:AI182"/>
    <mergeCell ref="AJ181:AK182"/>
    <mergeCell ref="AI183:AI184"/>
    <mergeCell ref="AJ183:AK184"/>
    <mergeCell ref="AA160:AA161"/>
    <mergeCell ref="AB160:AC161"/>
    <mergeCell ref="AA162:AA163"/>
    <mergeCell ref="AB162:AC163"/>
    <mergeCell ref="AA166:AA167"/>
    <mergeCell ref="AB166:AC167"/>
    <mergeCell ref="AA168:AA169"/>
    <mergeCell ref="AB168:AC169"/>
    <mergeCell ref="AA170:AA171"/>
    <mergeCell ref="AB170:AC171"/>
    <mergeCell ref="AA172:AA173"/>
    <mergeCell ref="AB172:AC173"/>
    <mergeCell ref="AA174:AA175"/>
    <mergeCell ref="AB174:AC175"/>
    <mergeCell ref="AA176:AA177"/>
    <mergeCell ref="AB176:AC177"/>
    <mergeCell ref="AX218:AY219"/>
    <mergeCell ref="AT196:AU197"/>
    <mergeCell ref="AX196:AY197"/>
    <mergeCell ref="AX172:AY173"/>
    <mergeCell ref="AA151:AA152"/>
    <mergeCell ref="AB151:AC152"/>
    <mergeCell ref="AI151:AI152"/>
    <mergeCell ref="AJ151:AK152"/>
    <mergeCell ref="AI153:AI154"/>
    <mergeCell ref="AJ153:AK154"/>
    <mergeCell ref="AI160:AI161"/>
    <mergeCell ref="AJ160:AK161"/>
    <mergeCell ref="AI162:AI163"/>
    <mergeCell ref="AJ162:AK163"/>
    <mergeCell ref="AI164:AI165"/>
    <mergeCell ref="AJ164:AK165"/>
    <mergeCell ref="AI169:AI170"/>
    <mergeCell ref="AJ169:AK170"/>
    <mergeCell ref="AI171:AI172"/>
    <mergeCell ref="AJ171:AK172"/>
    <mergeCell ref="AI173:AI174"/>
    <mergeCell ref="AJ173:AK174"/>
    <mergeCell ref="AI175:AI176"/>
    <mergeCell ref="AJ175:AK176"/>
    <mergeCell ref="AT137:AU138"/>
    <mergeCell ref="AA139:AA140"/>
    <mergeCell ref="AB139:AC140"/>
    <mergeCell ref="AI139:AI140"/>
    <mergeCell ref="AJ139:AK140"/>
    <mergeCell ref="AI149:AI150"/>
    <mergeCell ref="AJ149:AK150"/>
    <mergeCell ref="AX149:AY150"/>
    <mergeCell ref="AA145:AA146"/>
    <mergeCell ref="AB145:AC146"/>
    <mergeCell ref="AI145:AI146"/>
    <mergeCell ref="AJ145:AK146"/>
    <mergeCell ref="AA147:AA148"/>
    <mergeCell ref="AB147:AC148"/>
    <mergeCell ref="AI147:AI148"/>
    <mergeCell ref="AJ147:AK148"/>
    <mergeCell ref="AT133:AU134"/>
    <mergeCell ref="AA135:AA136"/>
    <mergeCell ref="AB135:AC136"/>
    <mergeCell ref="AT135:AU136"/>
    <mergeCell ref="AI129:AI130"/>
    <mergeCell ref="AJ129:AK130"/>
    <mergeCell ref="AT129:AU130"/>
    <mergeCell ref="AA131:AA132"/>
    <mergeCell ref="AB131:AC132"/>
    <mergeCell ref="AI131:AI132"/>
    <mergeCell ref="AJ131:AK132"/>
    <mergeCell ref="AT131:AU132"/>
    <mergeCell ref="AX131:AY132"/>
    <mergeCell ref="R125:R126"/>
    <mergeCell ref="S125:T126"/>
    <mergeCell ref="W125:X126"/>
    <mergeCell ref="AA125:AA126"/>
    <mergeCell ref="AB125:AC126"/>
    <mergeCell ref="AI125:AI126"/>
    <mergeCell ref="AJ125:AK126"/>
    <mergeCell ref="AM125:AN126"/>
    <mergeCell ref="AP125:AQ126"/>
    <mergeCell ref="AE126:AF127"/>
    <mergeCell ref="AA127:AA128"/>
    <mergeCell ref="AB127:AC128"/>
    <mergeCell ref="AI127:AI128"/>
    <mergeCell ref="AJ127:AK128"/>
    <mergeCell ref="AB73:AC73"/>
    <mergeCell ref="AJ73:AK73"/>
    <mergeCell ref="AJ74:AK74"/>
    <mergeCell ref="AI75:AI76"/>
    <mergeCell ref="AJ75:AK76"/>
    <mergeCell ref="AI79:AI80"/>
    <mergeCell ref="AJ79:AK80"/>
    <mergeCell ref="AI81:AI82"/>
    <mergeCell ref="AJ81:AK82"/>
    <mergeCell ref="AI73:AI74"/>
    <mergeCell ref="AI71:AI72"/>
    <mergeCell ref="AJ71:AK72"/>
    <mergeCell ref="AM71:AN72"/>
    <mergeCell ref="AP71:AQ72"/>
    <mergeCell ref="AT71:AU72"/>
    <mergeCell ref="AX71:AY72"/>
    <mergeCell ref="R71:R72"/>
    <mergeCell ref="S71:T72"/>
    <mergeCell ref="W71:X72"/>
    <mergeCell ref="AA71:AA72"/>
    <mergeCell ref="AB71:AC72"/>
    <mergeCell ref="AE71:AF72"/>
    <mergeCell ref="AA61:AA62"/>
    <mergeCell ref="AB61:AC62"/>
    <mergeCell ref="AI61:AI62"/>
    <mergeCell ref="AJ61:AK62"/>
    <mergeCell ref="AA57:AA58"/>
    <mergeCell ref="AB57:AC58"/>
    <mergeCell ref="AI57:AI58"/>
    <mergeCell ref="AJ57:AK58"/>
    <mergeCell ref="AA59:AA60"/>
    <mergeCell ref="AB59:AC60"/>
    <mergeCell ref="AI59:AI60"/>
    <mergeCell ref="AJ59:AK60"/>
    <mergeCell ref="AA53:AA54"/>
    <mergeCell ref="AB53:AC54"/>
    <mergeCell ref="AJ53:AK54"/>
    <mergeCell ref="AT53:AU54"/>
    <mergeCell ref="AA55:AA56"/>
    <mergeCell ref="AB55:AC56"/>
    <mergeCell ref="AI55:AI56"/>
    <mergeCell ref="AJ55:AK56"/>
    <mergeCell ref="AT55:AU56"/>
    <mergeCell ref="AA51:AA52"/>
    <mergeCell ref="AB51:AC52"/>
    <mergeCell ref="AJ51:AK52"/>
    <mergeCell ref="AT51:AU52"/>
    <mergeCell ref="AI47:AI48"/>
    <mergeCell ref="AJ47:AK48"/>
    <mergeCell ref="AT47:AU48"/>
    <mergeCell ref="AA49:AA50"/>
    <mergeCell ref="AB49:AC50"/>
    <mergeCell ref="AI49:AI50"/>
    <mergeCell ref="AJ49:AK50"/>
    <mergeCell ref="AT49:AU50"/>
    <mergeCell ref="AA45:AA46"/>
    <mergeCell ref="AB45:AC46"/>
    <mergeCell ref="AI45:AI46"/>
    <mergeCell ref="AJ45:AK46"/>
    <mergeCell ref="R43:R44"/>
    <mergeCell ref="S43:T44"/>
    <mergeCell ref="W43:X44"/>
    <mergeCell ref="AA43:AA44"/>
    <mergeCell ref="AB43:AC44"/>
    <mergeCell ref="AE43:AF44"/>
    <mergeCell ref="AI43:AI44"/>
    <mergeCell ref="AJ43:AK44"/>
    <mergeCell ref="AI33:AI34"/>
    <mergeCell ref="AJ33:AK34"/>
    <mergeCell ref="AI35:AI36"/>
    <mergeCell ref="AJ35:AK36"/>
    <mergeCell ref="AI27:AI28"/>
    <mergeCell ref="AJ27:AK28"/>
    <mergeCell ref="AX49:AY50"/>
    <mergeCell ref="AM43:AN44"/>
    <mergeCell ref="AP43:AQ44"/>
    <mergeCell ref="AN27:AO29"/>
    <mergeCell ref="AT28:AU29"/>
    <mergeCell ref="AX28:AY29"/>
    <mergeCell ref="AI29:AI30"/>
    <mergeCell ref="AJ29:AK30"/>
    <mergeCell ref="AN30:AO31"/>
    <mergeCell ref="AA23:AA24"/>
    <mergeCell ref="AB23:AC24"/>
    <mergeCell ref="AI23:AI24"/>
    <mergeCell ref="AJ23:AK24"/>
    <mergeCell ref="AN24:AO26"/>
    <mergeCell ref="AB25:AC26"/>
    <mergeCell ref="AI25:AI26"/>
    <mergeCell ref="AJ25:AK26"/>
    <mergeCell ref="AI31:AI32"/>
    <mergeCell ref="AJ31:AK32"/>
    <mergeCell ref="AB27:AC27"/>
    <mergeCell ref="AB28:AC28"/>
    <mergeCell ref="AB29:AC29"/>
    <mergeCell ref="AA9:AA10"/>
    <mergeCell ref="AB9:AC10"/>
    <mergeCell ref="AI9:AI10"/>
    <mergeCell ref="AJ9:AK10"/>
    <mergeCell ref="AA19:AA20"/>
    <mergeCell ref="AB19:AC20"/>
    <mergeCell ref="AA21:AA22"/>
    <mergeCell ref="AB21:AC22"/>
    <mergeCell ref="AI21:AI22"/>
    <mergeCell ref="AJ21:AK22"/>
    <mergeCell ref="AA15:AA16"/>
    <mergeCell ref="AB15:AC16"/>
    <mergeCell ref="AI15:AI16"/>
    <mergeCell ref="AJ15:AK16"/>
    <mergeCell ref="AA17:AA18"/>
    <mergeCell ref="AB17:AC18"/>
    <mergeCell ref="AI13:AI14"/>
    <mergeCell ref="AT239:AU240"/>
    <mergeCell ref="AX239:AY240"/>
    <mergeCell ref="S7:T8"/>
    <mergeCell ref="W7:X8"/>
    <mergeCell ref="AA7:AA8"/>
    <mergeCell ref="AB7:AC8"/>
    <mergeCell ref="AI7:AI8"/>
    <mergeCell ref="AJ7:AK8"/>
    <mergeCell ref="D7:D8"/>
    <mergeCell ref="E7:F8"/>
    <mergeCell ref="H7:I8"/>
    <mergeCell ref="M7:M8"/>
    <mergeCell ref="N7:O8"/>
    <mergeCell ref="R7:R8"/>
    <mergeCell ref="AI11:AI12"/>
    <mergeCell ref="AJ11:AK12"/>
    <mergeCell ref="AT11:AU12"/>
    <mergeCell ref="AX11:AY12"/>
    <mergeCell ref="AA13:AA14"/>
    <mergeCell ref="AB13:AC14"/>
    <mergeCell ref="AJ13:AK14"/>
    <mergeCell ref="AM7:AN8"/>
    <mergeCell ref="AR7:AS8"/>
    <mergeCell ref="AE8:AF9"/>
    <mergeCell ref="M96:M97"/>
    <mergeCell ref="N96:O97"/>
    <mergeCell ref="R96:R97"/>
    <mergeCell ref="S96:T97"/>
    <mergeCell ref="W96:X97"/>
    <mergeCell ref="AA96:AA97"/>
    <mergeCell ref="AB96:AC97"/>
    <mergeCell ref="AE96:AF97"/>
    <mergeCell ref="AI96:AI97"/>
    <mergeCell ref="AJ96:AK97"/>
    <mergeCell ref="AM96:AN97"/>
    <mergeCell ref="AP96:AQ97"/>
    <mergeCell ref="AA98:AA99"/>
    <mergeCell ref="AB98:AC99"/>
    <mergeCell ref="AI98:AI99"/>
    <mergeCell ref="AJ98:AK99"/>
    <mergeCell ref="AI100:AI101"/>
    <mergeCell ref="AJ100:AK101"/>
    <mergeCell ref="AA102:AA103"/>
    <mergeCell ref="AB102:AC103"/>
    <mergeCell ref="AI102:AI103"/>
    <mergeCell ref="AJ102:AK103"/>
    <mergeCell ref="AA104:AA105"/>
    <mergeCell ref="AB104:AC105"/>
    <mergeCell ref="AJ104:AK105"/>
    <mergeCell ref="AA106:AA107"/>
    <mergeCell ref="AB106:AC107"/>
    <mergeCell ref="AJ106:AK107"/>
    <mergeCell ref="AA108:AA109"/>
    <mergeCell ref="AB108:AC109"/>
    <mergeCell ref="AI108:AI109"/>
    <mergeCell ref="AJ108:AK109"/>
    <mergeCell ref="AA110:AA111"/>
    <mergeCell ref="AB110:AC111"/>
    <mergeCell ref="AI110:AI111"/>
    <mergeCell ref="AJ110:AK111"/>
    <mergeCell ref="AA112:AA113"/>
    <mergeCell ref="AB112:AC113"/>
    <mergeCell ref="AI112:AI113"/>
    <mergeCell ref="AJ112:AK113"/>
    <mergeCell ref="AI155:AI156"/>
    <mergeCell ref="AJ155:AK156"/>
    <mergeCell ref="AA114:AA115"/>
    <mergeCell ref="AB114:AC115"/>
    <mergeCell ref="AI114:AI115"/>
    <mergeCell ref="AJ114:AK115"/>
    <mergeCell ref="AA116:AA117"/>
    <mergeCell ref="AB116:AC117"/>
    <mergeCell ref="AA118:AA119"/>
    <mergeCell ref="AB118:AC119"/>
    <mergeCell ref="AI119:AI120"/>
    <mergeCell ref="AJ119:AK120"/>
    <mergeCell ref="AI116:AI117"/>
    <mergeCell ref="AJ116:AK117"/>
    <mergeCell ref="AI141:AI142"/>
    <mergeCell ref="AJ141:AK142"/>
    <mergeCell ref="AA143:AA144"/>
    <mergeCell ref="AB143:AC144"/>
    <mergeCell ref="AI143:AI144"/>
    <mergeCell ref="AJ143:AK144"/>
    <mergeCell ref="AA137:AA138"/>
    <mergeCell ref="AB137:AC138"/>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C0A7-2119-4BE8-A7E9-A67C3A2937B6}">
  <sheetPr>
    <tabColor rgb="FF0000FF"/>
    <pageSetUpPr fitToPage="1"/>
  </sheetPr>
  <dimension ref="A1:GN399"/>
  <sheetViews>
    <sheetView topLeftCell="B1" zoomScale="85" zoomScaleNormal="85" workbookViewId="0">
      <selection activeCell="E6" sqref="E6"/>
    </sheetView>
  </sheetViews>
  <sheetFormatPr defaultColWidth="9.1796875" defaultRowHeight="15.5" outlineLevelCol="2" x14ac:dyDescent="0.35"/>
  <cols>
    <col min="1" max="1" width="9.1796875" style="340" hidden="1" customWidth="1"/>
    <col min="2" max="2" width="2.36328125" style="340" customWidth="1"/>
    <col min="3" max="3" width="2.453125" style="340" customWidth="1"/>
    <col min="4" max="4" width="5.1796875" style="340" customWidth="1"/>
    <col min="5" max="5" width="11.90625" style="340" bestFit="1" customWidth="1"/>
    <col min="6" max="7" width="9.1796875" style="340"/>
    <col min="8" max="8" width="11" style="340" bestFit="1" customWidth="1"/>
    <col min="9" max="12" width="9.1796875" style="340"/>
    <col min="13" max="13" width="13.36328125" style="340" bestFit="1" customWidth="1"/>
    <col min="14" max="15" width="12.1796875" style="340" bestFit="1" customWidth="1"/>
    <col min="16" max="16" width="11" style="340" bestFit="1" customWidth="1"/>
    <col min="17" max="17" width="11.453125" style="340" bestFit="1" customWidth="1"/>
    <col min="18" max="18" width="7.90625" style="340" bestFit="1" customWidth="1"/>
    <col min="19" max="20" width="9.1796875" style="340"/>
    <col min="21" max="21" width="10.453125" style="340" bestFit="1" customWidth="1"/>
    <col min="22" max="24" width="9.1796875" style="340"/>
    <col min="25" max="25" width="11.90625" style="340" bestFit="1" customWidth="1"/>
    <col min="26" max="26" width="12.1796875" style="340" bestFit="1" customWidth="1"/>
    <col min="27" max="27" width="10.26953125" style="340" customWidth="1"/>
    <col min="28" max="28" width="10.36328125" style="340" bestFit="1" customWidth="1"/>
    <col min="29" max="29" width="19.36328125" style="340" customWidth="1"/>
    <col min="30" max="32" width="9.1796875" style="340"/>
    <col min="33" max="35" width="12.6328125" style="340" bestFit="1" customWidth="1"/>
    <col min="36" max="36" width="10.54296875" style="340" customWidth="1"/>
    <col min="37" max="37" width="18" style="340" customWidth="1"/>
    <col min="38" max="38" width="14.1796875" style="340" bestFit="1" customWidth="1"/>
    <col min="39" max="39" width="11" style="340" bestFit="1" customWidth="1"/>
    <col min="40" max="40" width="9.1796875" style="340"/>
    <col min="41" max="41" width="6.7265625" style="340" customWidth="1"/>
    <col min="42" max="42" width="12.6328125" style="340" bestFit="1" customWidth="1"/>
    <col min="43" max="43" width="9.1796875" style="340" customWidth="1"/>
    <col min="44" max="44" width="6.6328125" style="340" customWidth="1"/>
    <col min="45" max="45" width="9.36328125" style="340" customWidth="1"/>
    <col min="46" max="46" width="12" style="340" customWidth="1"/>
    <col min="47" max="47" width="12.90625" style="340" customWidth="1"/>
    <col min="48" max="48" width="4.453125" style="340" customWidth="1"/>
    <col min="49" max="49" width="3.54296875" style="340" customWidth="1"/>
    <col min="50" max="50" width="21.453125" style="340" customWidth="1"/>
    <col min="51" max="51" width="24.90625" style="340" customWidth="1"/>
    <col min="52" max="52" width="11.1796875" style="340" customWidth="1"/>
    <col min="53" max="53" width="10.1796875" style="340" customWidth="1"/>
    <col min="54" max="54" width="11.1796875" style="340" customWidth="1"/>
    <col min="55" max="55" width="20.90625" style="419" customWidth="1"/>
    <col min="56" max="56" width="18.7265625" style="419" bestFit="1" customWidth="1"/>
    <col min="57" max="57" width="13.08984375" style="340" customWidth="1" outlineLevel="1"/>
    <col min="58" max="58" width="12.81640625" style="340" customWidth="1" outlineLevel="1"/>
    <col min="59" max="59" width="5.6328125" style="340" customWidth="1" outlineLevel="1"/>
    <col min="60" max="61" width="10.36328125" style="340" customWidth="1" outlineLevel="1"/>
    <col min="62" max="62" width="12.36328125" style="340" customWidth="1" outlineLevel="1"/>
    <col min="63" max="63" width="13.26953125" style="340" customWidth="1" outlineLevel="1"/>
    <col min="64" max="64" width="13.26953125" style="340" customWidth="1" outlineLevel="2"/>
    <col min="65" max="65" width="11.1796875" style="340" customWidth="1" outlineLevel="2"/>
    <col min="66" max="66" width="10.1796875" style="340" customWidth="1" outlineLevel="2"/>
    <col min="67" max="67" width="14.26953125" style="340" customWidth="1" outlineLevel="2"/>
    <col min="68" max="70" width="13.26953125" style="340" customWidth="1" outlineLevel="2"/>
    <col min="71" max="71" width="13.6328125" style="340" customWidth="1" outlineLevel="1"/>
    <col min="72" max="72" width="12.81640625" style="340" customWidth="1" outlineLevel="1"/>
    <col min="73" max="73" width="10.1796875" style="340" customWidth="1" outlineLevel="1"/>
    <col min="74" max="74" width="11" style="340" customWidth="1" outlineLevel="1"/>
    <col min="75" max="75" width="16.81640625" style="340" customWidth="1" outlineLevel="1"/>
    <col min="76" max="76" width="10.7265625" style="340" customWidth="1" outlineLevel="1"/>
    <col min="77" max="77" width="6.90625" style="765" customWidth="1" outlineLevel="1"/>
    <col min="78" max="78" width="10.26953125" style="340" customWidth="1" outlineLevel="1"/>
    <col min="79" max="79" width="9.90625" style="340" customWidth="1" outlineLevel="1"/>
    <col min="80" max="80" width="9.1796875" style="340" customWidth="1" outlineLevel="1"/>
    <col min="81" max="81" width="8.7265625" style="340" customWidth="1" outlineLevel="1"/>
    <col min="82" max="82" width="9.08984375" style="340" customWidth="1" outlineLevel="1"/>
    <col min="83" max="83" width="10.1796875" style="340" customWidth="1" outlineLevel="1"/>
    <col min="84" max="84" width="2.7265625" customWidth="1" outlineLevel="1"/>
    <col min="85" max="85" width="10.6328125" style="340" customWidth="1" outlineLevel="1"/>
    <col min="86" max="86" width="19.1796875" style="340" customWidth="1" outlineLevel="1"/>
    <col min="87" max="87" width="11" style="340" customWidth="1" outlineLevel="1"/>
    <col min="88" max="88" width="6.90625" style="340" customWidth="1" outlineLevel="1"/>
    <col min="89" max="89" width="10.08984375" style="340" customWidth="1" outlineLevel="1"/>
    <col min="90" max="90" width="10.7265625" style="340" customWidth="1" outlineLevel="1"/>
    <col min="91" max="92" width="10.36328125" style="340" customWidth="1" outlineLevel="1"/>
    <col min="93" max="94" width="8.1796875" style="340" customWidth="1" outlineLevel="1"/>
    <col min="95" max="95" width="9.36328125" style="340" customWidth="1" outlineLevel="1"/>
    <col min="96" max="96" width="9.6328125" style="340" customWidth="1" outlineLevel="1"/>
    <col min="97" max="97" width="3.54296875" customWidth="1" outlineLevel="1"/>
    <col min="98" max="98" width="11.7265625" style="340" customWidth="1" outlineLevel="1"/>
    <col min="99" max="99" width="7.26953125" style="340" customWidth="1" outlineLevel="1"/>
    <col min="100" max="100" width="7.90625" style="411" customWidth="1" outlineLevel="1"/>
    <col min="101" max="101" width="8.90625" style="411" customWidth="1" outlineLevel="1"/>
    <col min="102" max="102" width="3.26953125" style="411" customWidth="1" outlineLevel="1"/>
    <col min="103" max="103" width="19.1796875" style="411" customWidth="1" outlineLevel="1"/>
    <col min="104" max="104" width="9.453125" style="411" customWidth="1" outlineLevel="1"/>
    <col min="105" max="105" width="6.7265625" style="411" customWidth="1" outlineLevel="1"/>
    <col min="106" max="107" width="9.1796875" style="411" customWidth="1" outlineLevel="1"/>
    <col min="108" max="109" width="10.08984375" style="343" customWidth="1" outlineLevel="1"/>
    <col min="110" max="113" width="9.1796875" style="411" customWidth="1" outlineLevel="1"/>
    <col min="114" max="114" width="2.54296875" customWidth="1" outlineLevel="1"/>
    <col min="115" max="118" width="9.1796875" style="411" customWidth="1" outlineLevel="1"/>
    <col min="119" max="119" width="4.453125" style="411" customWidth="1"/>
    <col min="120" max="120" width="19.08984375" style="340" bestFit="1" customWidth="1"/>
    <col min="121" max="121" width="45.26953125" style="384" customWidth="1"/>
    <col min="122" max="122" width="30.1796875" style="340" bestFit="1" customWidth="1"/>
    <col min="123" max="123" width="10.7265625" style="340" bestFit="1" customWidth="1"/>
    <col min="124" max="124" width="9.08984375" style="340" bestFit="1" customWidth="1"/>
    <col min="125" max="125" width="14.1796875" style="340" bestFit="1" customWidth="1"/>
    <col min="126" max="126" width="11.90625" style="340" bestFit="1" customWidth="1"/>
    <col min="127" max="127" width="9.81640625" style="340" bestFit="1" customWidth="1"/>
    <col min="128" max="129" width="9.54296875" style="340" bestFit="1" customWidth="1"/>
    <col min="130" max="130" width="9.26953125" style="340" customWidth="1"/>
    <col min="131" max="131" width="10.54296875" style="340" customWidth="1"/>
    <col min="132" max="132" width="7.90625" style="340" bestFit="1" customWidth="1"/>
    <col min="133" max="133" width="9.26953125" style="340" bestFit="1" customWidth="1"/>
    <col min="134" max="134" width="7.90625" style="340" bestFit="1" customWidth="1"/>
    <col min="135" max="135" width="13.1796875" style="340" bestFit="1" customWidth="1"/>
    <col min="136" max="136" width="11.90625" style="340" bestFit="1" customWidth="1"/>
    <col min="137" max="137" width="10.7265625" style="340" bestFit="1" customWidth="1"/>
    <col min="138" max="138" width="4.08984375" style="340" customWidth="1"/>
    <col min="139" max="140" width="10.7265625" style="340" bestFit="1" customWidth="1"/>
    <col min="141" max="141" width="9.08984375" style="340" bestFit="1" customWidth="1"/>
    <col min="142" max="142" width="10.7265625" style="453" bestFit="1" customWidth="1"/>
    <col min="143" max="143" width="11.54296875" style="453" customWidth="1"/>
    <col min="144" max="144" width="10.7265625" style="411" bestFit="1" customWidth="1"/>
    <col min="145" max="145" width="7.90625" style="340" bestFit="1" customWidth="1"/>
    <col min="146" max="146" width="10.7265625" style="340" bestFit="1" customWidth="1"/>
    <col min="147" max="147" width="4.453125" style="340" customWidth="1"/>
    <col min="148" max="148" width="7.90625" style="340" customWidth="1"/>
    <col min="149" max="149" width="9.08984375" style="340" bestFit="1" customWidth="1"/>
    <col min="150" max="150" width="7.36328125" style="340" customWidth="1"/>
    <col min="151" max="151" width="10.7265625" style="340" bestFit="1" customWidth="1"/>
    <col min="152" max="152" width="3.453125" style="340" customWidth="1"/>
    <col min="153" max="153" width="10.6328125" style="340" customWidth="1"/>
    <col min="154" max="154" width="11.90625" style="340" bestFit="1" customWidth="1"/>
    <col min="155" max="155" width="10.7265625" style="340" bestFit="1" customWidth="1"/>
    <col min="156" max="156" width="11.81640625" style="340" customWidth="1"/>
    <col min="157" max="157" width="4.453125" style="340" customWidth="1"/>
    <col min="158" max="158" width="9.08984375" style="340" bestFit="1" customWidth="1"/>
    <col min="159" max="159" width="9.1796875" style="340" bestFit="1" customWidth="1"/>
    <col min="160" max="161" width="9.54296875" style="340" bestFit="1" customWidth="1"/>
    <col min="162" max="162" width="9.36328125" style="340" bestFit="1" customWidth="1"/>
    <col min="163" max="163" width="10.7265625" style="340" bestFit="1" customWidth="1"/>
    <col min="164" max="164" width="6.26953125" style="340" customWidth="1"/>
    <col min="165" max="165" width="11.90625" style="340" bestFit="1" customWidth="1"/>
    <col min="166" max="166" width="9.54296875" style="340" bestFit="1" customWidth="1"/>
    <col min="167" max="167" width="11.1796875" style="340" customWidth="1"/>
    <col min="168" max="169" width="10.7265625" style="340" bestFit="1" customWidth="1"/>
    <col min="170" max="170" width="10.36328125" style="340" customWidth="1"/>
    <col min="171" max="171" width="8.6328125" style="340" bestFit="1" customWidth="1"/>
    <col min="172" max="172" width="9.08984375" style="340" bestFit="1" customWidth="1"/>
    <col min="173" max="173" width="7.1796875" style="340" bestFit="1" customWidth="1"/>
    <col min="174" max="174" width="3.7265625" style="340" customWidth="1"/>
    <col min="175" max="175" width="8" style="340" customWidth="1"/>
    <col min="176" max="176" width="8.36328125" style="340" bestFit="1" customWidth="1"/>
    <col min="177" max="177" width="9.08984375" style="340" bestFit="1" customWidth="1"/>
    <col min="178" max="178" width="9.453125" style="340" bestFit="1" customWidth="1"/>
    <col min="179" max="179" width="7.1796875" style="411" bestFit="1" customWidth="1"/>
    <col min="180" max="180" width="3.81640625" style="340" customWidth="1"/>
    <col min="181" max="181" width="28.7265625" style="340" bestFit="1" customWidth="1"/>
    <col min="182" max="182" width="8" style="453" customWidth="1"/>
    <col min="183" max="183" width="7.54296875" style="340" customWidth="1"/>
    <col min="184" max="184" width="7" style="340" customWidth="1"/>
    <col min="185" max="185" width="7.90625" style="340" bestFit="1" customWidth="1"/>
    <col min="186" max="186" width="9.1796875" style="340"/>
    <col min="187" max="188" width="7.7265625" style="340" customWidth="1"/>
    <col min="189" max="189" width="4.54296875" style="340" customWidth="1"/>
    <col min="190" max="190" width="9.1796875" style="340"/>
    <col min="191" max="191" width="8.26953125" style="340" customWidth="1"/>
    <col min="192" max="192" width="7.08984375" style="340" customWidth="1"/>
    <col min="193" max="194" width="9.1796875" style="340"/>
    <col min="195" max="195" width="8.26953125" style="340" customWidth="1"/>
    <col min="196" max="196" width="7.08984375" style="340" customWidth="1"/>
    <col min="197" max="16384" width="9.1796875" style="340"/>
  </cols>
  <sheetData>
    <row r="1" spans="4:196" ht="30" x14ac:dyDescent="0.35">
      <c r="M1" s="988" t="s">
        <v>47</v>
      </c>
      <c r="N1" s="989">
        <f>N2+N38+N66+N91+N120</f>
        <v>11800.000000000002</v>
      </c>
      <c r="O1" s="463">
        <f>N3+N39+N67+N92+N121</f>
        <v>4644.4444444444453</v>
      </c>
      <c r="Z1" s="532" t="s">
        <v>864</v>
      </c>
      <c r="AA1" s="463">
        <f>AA5-N5</f>
        <v>1833.0501355724555</v>
      </c>
      <c r="AC1" s="340" t="s">
        <v>866</v>
      </c>
      <c r="AH1" s="463">
        <f>AH5-Z5</f>
        <v>1541.192114539288</v>
      </c>
      <c r="AI1" s="463">
        <f>AI5-AA5</f>
        <v>1928.0040234314511</v>
      </c>
      <c r="AK1" s="532" t="s">
        <v>865</v>
      </c>
      <c r="AZ1" s="463">
        <f>AZ6-AH5</f>
        <v>490.85661262258873</v>
      </c>
      <c r="BA1" s="340" t="s">
        <v>689</v>
      </c>
      <c r="BC1" s="419" t="s">
        <v>688</v>
      </c>
      <c r="BD1" s="535" t="s">
        <v>841</v>
      </c>
      <c r="CC1" s="453">
        <f>CC4/$CU$2</f>
        <v>70.375471052123871</v>
      </c>
      <c r="CG1" s="463"/>
      <c r="CH1" s="463"/>
      <c r="CI1" s="463"/>
      <c r="CJ1" s="463"/>
      <c r="CK1" s="463"/>
      <c r="CL1" s="463"/>
      <c r="CM1" s="463"/>
      <c r="CN1" s="463"/>
      <c r="CO1" s="453">
        <f>CO4/$CU$2</f>
        <v>48.070032068254285</v>
      </c>
      <c r="CP1" s="453"/>
      <c r="CQ1" s="463"/>
      <c r="CR1" s="463"/>
      <c r="CT1" s="463"/>
      <c r="CU1" s="519"/>
      <c r="DT1" s="773" t="s">
        <v>871</v>
      </c>
      <c r="DU1" s="453">
        <f t="shared" ref="DU1:DW2" si="0">DU6/$EG$1</f>
        <v>832.23300269281629</v>
      </c>
      <c r="DV1" s="456">
        <f t="shared" si="0"/>
        <v>597.18341139173708</v>
      </c>
      <c r="DW1" s="468">
        <f t="shared" si="0"/>
        <v>280.54076585291688</v>
      </c>
      <c r="DX1" s="468"/>
      <c r="DY1" s="468"/>
      <c r="DZ1" s="456">
        <f t="shared" ref="DZ1:EC2" si="1">DZ6/$EG$1</f>
        <v>-12.143823158696559</v>
      </c>
      <c r="EA1" s="456">
        <f t="shared" si="1"/>
        <v>83.223300269281609</v>
      </c>
      <c r="EB1" s="468">
        <f t="shared" si="1"/>
        <v>75.507147348300833</v>
      </c>
      <c r="EC1" s="468">
        <f t="shared" si="1"/>
        <v>0</v>
      </c>
      <c r="ED1" s="468"/>
      <c r="EE1" s="486">
        <f>SUM(DU1:EC1)</f>
        <v>1856.5438043963561</v>
      </c>
      <c r="EF1" s="520">
        <f>SUM(DV1:EC1)</f>
        <v>1024.3108017035397</v>
      </c>
      <c r="EG1" s="343">
        <v>26.5</v>
      </c>
      <c r="EI1" s="468">
        <f t="shared" ref="EI1:EK2" si="2">EI6/($EG$1)</f>
        <v>82</v>
      </c>
      <c r="EJ1" s="468">
        <f t="shared" si="2"/>
        <v>44</v>
      </c>
      <c r="EK1" s="468">
        <f t="shared" si="2"/>
        <v>14</v>
      </c>
      <c r="EL1" s="468">
        <f>SUM(EI1:EK1)</f>
        <v>140</v>
      </c>
      <c r="EM1" s="455"/>
      <c r="EN1" s="522">
        <v>140</v>
      </c>
      <c r="EO1" s="340">
        <f>'Hảo_R&amp;D (Vảy sạch) (-PS)'!CG11</f>
        <v>56</v>
      </c>
      <c r="ER1" s="463">
        <f t="shared" ref="ER1:ET2" si="3">ER10</f>
        <v>598.88734347127343</v>
      </c>
      <c r="ES1" s="778">
        <f t="shared" si="3"/>
        <v>534.979749084123</v>
      </c>
      <c r="ET1" s="778">
        <f t="shared" si="3"/>
        <v>50</v>
      </c>
      <c r="EU1" s="463">
        <f>SUM(ER1:ET1)</f>
        <v>1183.8670925553965</v>
      </c>
      <c r="EW1" s="463">
        <f t="shared" ref="EW1:EY2" si="4">EW10</f>
        <v>15870.514601988745</v>
      </c>
      <c r="EX1" s="463">
        <f t="shared" si="4"/>
        <v>14176.963350729258</v>
      </c>
      <c r="EY1" s="463">
        <f t="shared" si="4"/>
        <v>1325</v>
      </c>
      <c r="EZ1" s="463">
        <f>SUM(EW1:EY1)</f>
        <v>31372.477952718004</v>
      </c>
      <c r="FB1" s="463">
        <f t="shared" ref="FB1:FF1" si="5">FB10</f>
        <v>569.52103137173594</v>
      </c>
      <c r="FC1" s="463">
        <f t="shared" ref="FC1" si="6">FC10</f>
        <v>29.366312099537371</v>
      </c>
      <c r="FD1" s="778">
        <f t="shared" si="5"/>
        <v>394.97974908412294</v>
      </c>
      <c r="FE1" s="778">
        <f t="shared" ref="FE1" si="7">FE10</f>
        <v>140</v>
      </c>
      <c r="FF1" s="778">
        <f t="shared" si="5"/>
        <v>50</v>
      </c>
      <c r="FG1" s="463">
        <f>SUM(FB1:FF1)</f>
        <v>1183.8670925553963</v>
      </c>
      <c r="FI1" s="463">
        <f>FI10</f>
        <v>15092.307331351003</v>
      </c>
      <c r="FJ1" s="463">
        <f t="shared" ref="FJ1" si="8">FJ10</f>
        <v>778.20727063774029</v>
      </c>
      <c r="FK1" s="778">
        <f t="shared" ref="FK1" si="9">FK10</f>
        <v>10466.963350729258</v>
      </c>
      <c r="FL1" s="778">
        <f t="shared" ref="FL1" si="10">FL10</f>
        <v>3710</v>
      </c>
      <c r="FM1" s="778">
        <f>FM10</f>
        <v>1325</v>
      </c>
      <c r="FN1" s="463">
        <f>SUM(FI1:FM1)</f>
        <v>31372.477952718</v>
      </c>
      <c r="FP1" s="794">
        <f>(FF1+FE1)/FG1</f>
        <v>0.1604909885533535</v>
      </c>
      <c r="FQ1" s="794">
        <f t="shared" ref="FQ1:FQ2" si="11">FF1/FG1</f>
        <v>4.2234470671935129E-2</v>
      </c>
      <c r="GL1" s="340" t="s">
        <v>955</v>
      </c>
    </row>
    <row r="2" spans="4:196" s="531" customFormat="1" ht="45" x14ac:dyDescent="0.35">
      <c r="M2" s="531" t="s">
        <v>267</v>
      </c>
      <c r="N2" s="533">
        <f>$E$5*$L$7</f>
        <v>7252.9491284240494</v>
      </c>
      <c r="W2" s="534"/>
      <c r="X2" s="534"/>
      <c r="Y2" s="534"/>
      <c r="Z2" s="410">
        <f>$V$7*Z6+$V$43*Z42+$V$71*Z71+$V$125*Z124</f>
        <v>0.75989236045962727</v>
      </c>
      <c r="AA2" s="534"/>
      <c r="AB2" s="534"/>
      <c r="AC2" s="534"/>
      <c r="AD2" s="534"/>
      <c r="AE2" s="534"/>
      <c r="AF2" s="534"/>
      <c r="AG2" s="534"/>
      <c r="AH2" s="534"/>
      <c r="AI2" s="394" t="s">
        <v>712</v>
      </c>
      <c r="AJ2" s="534"/>
      <c r="AK2" s="410">
        <f>($V$7*AK6+$V$43*AK42+$V$71*AK70+$V$96*AK95+$V$125*AK124)/($V$125+$V$96+$V$71+$V$43+$V$7)</f>
        <v>0.7991222195439257</v>
      </c>
      <c r="BA2" s="518">
        <f>($BC$5*$BA$6+$BC$24*$BA$25+$BC$84*$BA$85+$BC$209*$BA$210)/0.53</f>
        <v>0.9178655511798558</v>
      </c>
      <c r="BB2" s="579" t="s">
        <v>712</v>
      </c>
      <c r="BC2" s="383"/>
      <c r="BD2" s="420">
        <f>AVERAGE(BD6,BD25,BD46,BD65,BD85,BD104,BD122,BD145,BD210,BD241)</f>
        <v>0.75940968581937196</v>
      </c>
      <c r="BE2" s="716">
        <f>BA2*AK2</f>
        <v>0.7334867565017551</v>
      </c>
      <c r="BF2" s="715">
        <f>BD2-BE2</f>
        <v>2.5922929317616861E-2</v>
      </c>
      <c r="BH2" s="531" t="s">
        <v>548</v>
      </c>
      <c r="BI2" s="531" t="s">
        <v>849</v>
      </c>
      <c r="BJ2" s="531" t="s">
        <v>412</v>
      </c>
      <c r="BK2" s="531" t="s">
        <v>658</v>
      </c>
      <c r="BL2" s="531" t="s">
        <v>848</v>
      </c>
      <c r="BS2" s="538" t="s">
        <v>658</v>
      </c>
      <c r="BW2" s="538" t="s">
        <v>866</v>
      </c>
      <c r="BX2" s="538"/>
      <c r="BY2" s="766"/>
      <c r="CC2" s="453">
        <f>CC5/$CU$2</f>
        <v>122.29884124777395</v>
      </c>
      <c r="CH2" s="758" t="s">
        <v>868</v>
      </c>
      <c r="CI2" s="758"/>
      <c r="CJ2" s="766"/>
      <c r="CO2" s="453">
        <f>CO5/$CU$2</f>
        <v>75.983408588895998</v>
      </c>
      <c r="CP2" s="453"/>
      <c r="CU2" s="531">
        <v>26.5</v>
      </c>
      <c r="CV2" s="532">
        <f>140/2</f>
        <v>70</v>
      </c>
      <c r="CW2" s="532"/>
      <c r="CX2" s="532"/>
      <c r="CY2" s="758" t="s">
        <v>868</v>
      </c>
      <c r="CZ2" s="758"/>
      <c r="DA2" s="766"/>
      <c r="DD2" s="536"/>
      <c r="DE2" s="536"/>
      <c r="DF2" s="453">
        <f>DF5/$CU$2</f>
        <v>75.983408588895998</v>
      </c>
      <c r="DG2" s="453"/>
      <c r="DL2" s="531">
        <v>26.5</v>
      </c>
      <c r="DM2" s="532">
        <f>140/2</f>
        <v>70</v>
      </c>
      <c r="DN2" s="532"/>
      <c r="DO2" s="532"/>
      <c r="DP2" s="915" t="s">
        <v>664</v>
      </c>
      <c r="DR2" s="758" t="s">
        <v>874</v>
      </c>
      <c r="DS2" s="758"/>
      <c r="DT2" s="768" t="s">
        <v>872</v>
      </c>
      <c r="DU2" s="453">
        <f t="shared" si="0"/>
        <v>832.23300269281629</v>
      </c>
      <c r="DV2" s="456">
        <f t="shared" si="0"/>
        <v>597.18341139173708</v>
      </c>
      <c r="DW2" s="468">
        <f t="shared" si="0"/>
        <v>367.66381494629502</v>
      </c>
      <c r="DX2" s="468"/>
      <c r="DY2" s="468"/>
      <c r="DZ2" s="456">
        <f t="shared" si="1"/>
        <v>-12.143823158696559</v>
      </c>
      <c r="EA2" s="456">
        <f t="shared" si="1"/>
        <v>83.223300269281609</v>
      </c>
      <c r="EB2" s="468">
        <f t="shared" si="1"/>
        <v>105.54175525085849</v>
      </c>
      <c r="EC2" s="468">
        <f t="shared" si="1"/>
        <v>0</v>
      </c>
      <c r="ED2" s="468"/>
      <c r="EE2" s="486">
        <f>SUM(DU2:EC2)</f>
        <v>1973.701461392292</v>
      </c>
      <c r="EF2" s="520">
        <f>SUM(DV2:EC2)</f>
        <v>1141.4684586994756</v>
      </c>
      <c r="EG2" s="537"/>
      <c r="EI2" s="468">
        <f t="shared" si="2"/>
        <v>82</v>
      </c>
      <c r="EJ2" s="468">
        <f t="shared" si="2"/>
        <v>44</v>
      </c>
      <c r="EK2" s="468">
        <f t="shared" si="2"/>
        <v>14</v>
      </c>
      <c r="EL2" s="468">
        <f>SUM(EI2:EK2)</f>
        <v>140</v>
      </c>
      <c r="EM2" s="455"/>
      <c r="EN2" s="746">
        <f>EN1*EG1</f>
        <v>3710</v>
      </c>
      <c r="EO2" s="745">
        <f>EO6</f>
        <v>100</v>
      </c>
      <c r="EP2" s="532"/>
      <c r="ER2" s="463">
        <f>ER11</f>
        <v>598.88734347127343</v>
      </c>
      <c r="ES2" s="778">
        <f t="shared" si="3"/>
        <v>674.09761041439458</v>
      </c>
      <c r="ET2" s="778">
        <f t="shared" si="3"/>
        <v>50</v>
      </c>
      <c r="EU2" s="463">
        <f>SUM(ER2:ET2)</f>
        <v>1322.9849538856679</v>
      </c>
      <c r="EW2" s="463">
        <f t="shared" si="4"/>
        <v>15870.514601988745</v>
      </c>
      <c r="EX2" s="463">
        <f t="shared" si="4"/>
        <v>17863.586675981456</v>
      </c>
      <c r="EY2" s="463">
        <f t="shared" si="4"/>
        <v>1325</v>
      </c>
      <c r="EZ2" s="463">
        <f>SUM(EW2:EY2)</f>
        <v>35059.1012779702</v>
      </c>
      <c r="FB2" s="463">
        <f>FB11</f>
        <v>569.52103137173594</v>
      </c>
      <c r="FC2" s="463">
        <f t="shared" ref="FC2" si="12">FC11</f>
        <v>29.366312099537371</v>
      </c>
      <c r="FD2" s="778">
        <f t="shared" ref="FD2:FF2" si="13">FD11</f>
        <v>534.09761041439458</v>
      </c>
      <c r="FE2" s="778">
        <f t="shared" ref="FE2" si="14">FE11</f>
        <v>140</v>
      </c>
      <c r="FF2" s="778">
        <f t="shared" si="13"/>
        <v>50</v>
      </c>
      <c r="FG2" s="463">
        <f>SUM(FB2:FF2)</f>
        <v>1322.9849538856679</v>
      </c>
      <c r="FI2" s="463">
        <f t="shared" ref="FI2" si="15">FI11</f>
        <v>15092.307331351003</v>
      </c>
      <c r="FJ2" s="463">
        <f t="shared" ref="FJ2" si="16">FJ11</f>
        <v>778.20727063774029</v>
      </c>
      <c r="FK2" s="778">
        <f>FK11</f>
        <v>14153.586675981456</v>
      </c>
      <c r="FL2" s="778">
        <f>FL11</f>
        <v>3710</v>
      </c>
      <c r="FM2" s="778">
        <f>FM11</f>
        <v>1325</v>
      </c>
      <c r="FN2" s="463">
        <f>SUM(FI2:FM2)</f>
        <v>35059.1012779702</v>
      </c>
      <c r="FP2" s="794">
        <f>(FF2+FE2)/FG2</f>
        <v>0.14361463404550537</v>
      </c>
      <c r="FQ2" s="794">
        <f t="shared" si="11"/>
        <v>3.7793324748817206E-2</v>
      </c>
      <c r="FU2" s="384"/>
      <c r="FW2" s="532"/>
      <c r="FZ2" s="1100" t="s">
        <v>914</v>
      </c>
      <c r="GA2" s="1100"/>
      <c r="GB2" s="1100"/>
      <c r="GD2" s="1100" t="s">
        <v>916</v>
      </c>
      <c r="GE2" s="1100"/>
      <c r="GF2" s="1100"/>
      <c r="GH2" s="1100" t="s">
        <v>917</v>
      </c>
      <c r="GI2" s="1100"/>
      <c r="GJ2" s="1100"/>
      <c r="GL2" s="1100" t="s">
        <v>917</v>
      </c>
      <c r="GM2" s="1100"/>
      <c r="GN2" s="1100"/>
    </row>
    <row r="3" spans="4:196" s="532" customFormat="1" ht="60" x14ac:dyDescent="0.35">
      <c r="M3" s="532" t="s">
        <v>653</v>
      </c>
      <c r="N3" s="746">
        <f>(($E$5+$H$5)*$G$5/(1-$G$5)+$H$5)*$L$7</f>
        <v>2854.7389224870553</v>
      </c>
      <c r="O3" s="746"/>
      <c r="Q3" s="532" t="s">
        <v>857</v>
      </c>
      <c r="R3" s="532" t="s">
        <v>858</v>
      </c>
      <c r="S3" s="536" t="s">
        <v>878</v>
      </c>
      <c r="T3" s="532" t="s">
        <v>860</v>
      </c>
      <c r="W3" s="747"/>
      <c r="X3" s="747"/>
      <c r="Y3" s="747"/>
      <c r="Z3" s="532" t="s">
        <v>883</v>
      </c>
      <c r="AA3" s="532" t="s">
        <v>884</v>
      </c>
      <c r="AB3" s="536" t="s">
        <v>877</v>
      </c>
      <c r="AC3" s="532" t="s">
        <v>860</v>
      </c>
      <c r="AD3" s="747"/>
      <c r="AE3" s="747"/>
      <c r="AF3" s="747"/>
      <c r="AG3" s="747"/>
      <c r="AH3" s="532" t="s">
        <v>885</v>
      </c>
      <c r="AI3" s="532" t="s">
        <v>886</v>
      </c>
      <c r="AJ3" s="536" t="s">
        <v>879</v>
      </c>
      <c r="AK3" s="532" t="s">
        <v>860</v>
      </c>
      <c r="AL3" s="745"/>
      <c r="BA3" s="532" t="s">
        <v>887</v>
      </c>
      <c r="BB3" s="532" t="s">
        <v>867</v>
      </c>
      <c r="BC3" s="536" t="s">
        <v>880</v>
      </c>
      <c r="BD3" s="532" t="s">
        <v>860</v>
      </c>
      <c r="BH3" s="532" t="s">
        <v>846</v>
      </c>
      <c r="BL3" s="532" t="s">
        <v>362</v>
      </c>
      <c r="BM3" s="532" t="s">
        <v>850</v>
      </c>
      <c r="BO3" s="532" t="s">
        <v>853</v>
      </c>
      <c r="BP3" s="532" t="s">
        <v>851</v>
      </c>
      <c r="BQ3" s="532" t="s">
        <v>852</v>
      </c>
      <c r="BR3" s="532" t="s">
        <v>853</v>
      </c>
      <c r="BS3" s="750" t="s">
        <v>376</v>
      </c>
      <c r="BT3" s="532" t="str">
        <f>Q3</f>
        <v>PB giá trị B0 =&gt; B1</v>
      </c>
      <c r="BU3" s="536" t="str">
        <f>S3</f>
        <v>CFPL B0</v>
      </c>
      <c r="BV3" s="532" t="str">
        <f>R3</f>
        <v>HH B0 =&gt; B1</v>
      </c>
      <c r="BW3" s="750"/>
      <c r="BX3" s="750" t="s">
        <v>870</v>
      </c>
      <c r="BY3" s="766"/>
      <c r="CA3" s="532" t="str">
        <f>Z3</f>
        <v>PB giá trị B1 =&gt; Vảy A0</v>
      </c>
      <c r="CB3" s="536" t="str">
        <f>$BU$3&amp;" tới "&amp;BW2</f>
        <v>CFPL B0 tới Vảy A0</v>
      </c>
      <c r="CC3" s="536" t="s">
        <v>659</v>
      </c>
      <c r="CD3" s="532" t="s">
        <v>876</v>
      </c>
      <c r="CE3" s="532" t="str">
        <f>AA3</f>
        <v>HH B1 =&gt; Vảy A0_Băm</v>
      </c>
      <c r="CG3" s="756" t="s">
        <v>869</v>
      </c>
      <c r="CH3" s="759"/>
      <c r="CI3" s="759" t="s">
        <v>870</v>
      </c>
      <c r="CJ3" s="766"/>
      <c r="CK3" s="532" t="s">
        <v>854</v>
      </c>
      <c r="CL3" s="532" t="str">
        <f>AH3</f>
        <v>PB giá trị B1 =&gt; A1_DT</v>
      </c>
      <c r="CM3" s="536" t="str">
        <f>$BU$3&amp;" tới "&amp;CH2&amp;"_DT"</f>
        <v>CFPL B0 tới Vảy A1_DT</v>
      </c>
      <c r="CN3" s="536" t="s">
        <v>659</v>
      </c>
      <c r="CO3" s="536" t="s">
        <v>660</v>
      </c>
      <c r="CP3" s="532" t="s">
        <v>876</v>
      </c>
      <c r="CQ3" s="532" t="s">
        <v>881</v>
      </c>
      <c r="CR3" s="532" t="str">
        <f>AI3</f>
        <v>HH A0 =&gt;A1_DT</v>
      </c>
      <c r="CT3" s="537" t="s">
        <v>873</v>
      </c>
      <c r="CU3" s="748" t="s">
        <v>392</v>
      </c>
      <c r="CV3" s="744" t="s">
        <v>392</v>
      </c>
      <c r="CW3" s="744" t="s">
        <v>753</v>
      </c>
      <c r="CY3" s="759"/>
      <c r="CZ3" s="759" t="s">
        <v>870</v>
      </c>
      <c r="DA3" s="766"/>
      <c r="DB3" s="532" t="s">
        <v>854</v>
      </c>
      <c r="DC3" s="532" t="str">
        <f>AH3</f>
        <v>PB giá trị B1 =&gt; A1_DT</v>
      </c>
      <c r="DD3" s="536" t="str">
        <f>AJ3</f>
        <v>CFPL B0 tớí Vảy A1_DT</v>
      </c>
      <c r="DE3" s="536" t="s">
        <v>659</v>
      </c>
      <c r="DF3" s="536" t="s">
        <v>660</v>
      </c>
      <c r="DG3" s="532" t="s">
        <v>876</v>
      </c>
      <c r="DH3" s="532" t="s">
        <v>881</v>
      </c>
      <c r="DI3" s="532" t="str">
        <f>AI3</f>
        <v>HH A0 =&gt;A1_DT</v>
      </c>
      <c r="DK3" s="537" t="s">
        <v>873</v>
      </c>
      <c r="DL3" s="748" t="s">
        <v>392</v>
      </c>
      <c r="DM3" s="744" t="s">
        <v>392</v>
      </c>
      <c r="DN3" s="744" t="s">
        <v>753</v>
      </c>
      <c r="DR3" s="745"/>
      <c r="DS3" s="745" t="s">
        <v>870</v>
      </c>
      <c r="DU3" s="532" t="s">
        <v>663</v>
      </c>
      <c r="DV3" s="532" t="str">
        <f>BA3</f>
        <v>PB giá trị B1 =&gt;Hạt</v>
      </c>
      <c r="DW3" s="536" t="str">
        <f>BC3</f>
        <v>CFPL B0 tớí Hạt</v>
      </c>
      <c r="DX3" s="532" t="s">
        <v>876</v>
      </c>
      <c r="DY3" s="532" t="s">
        <v>881</v>
      </c>
      <c r="DZ3" s="532" t="s">
        <v>882</v>
      </c>
      <c r="EA3" s="532" t="str">
        <f>BB3</f>
        <v>HH  Vảy A1_DT =&gt;  Hạt</v>
      </c>
      <c r="EB3" s="536" t="s">
        <v>665</v>
      </c>
      <c r="EC3" s="536" t="s">
        <v>911</v>
      </c>
      <c r="ED3" s="536" t="s">
        <v>910</v>
      </c>
      <c r="EE3" s="537" t="s">
        <v>960</v>
      </c>
      <c r="EF3" s="532" t="s">
        <v>909</v>
      </c>
      <c r="EG3" s="537" t="s">
        <v>959</v>
      </c>
      <c r="EH3" s="531"/>
      <c r="EI3" s="536" t="s">
        <v>669</v>
      </c>
      <c r="EJ3" s="536" t="s">
        <v>670</v>
      </c>
      <c r="EK3" s="536" t="s">
        <v>671</v>
      </c>
      <c r="EL3" s="539" t="s">
        <v>672</v>
      </c>
      <c r="EM3" s="539" t="s">
        <v>899</v>
      </c>
      <c r="EN3" s="532" t="s">
        <v>898</v>
      </c>
      <c r="EO3" s="698" t="s">
        <v>677</v>
      </c>
      <c r="EP3" s="506" t="s">
        <v>912</v>
      </c>
      <c r="ER3" s="749" t="s">
        <v>663</v>
      </c>
      <c r="ES3" s="749" t="s">
        <v>844</v>
      </c>
      <c r="ET3" s="749" t="s">
        <v>913</v>
      </c>
      <c r="EU3" s="749" t="s">
        <v>845</v>
      </c>
      <c r="EW3" s="749" t="s">
        <v>663</v>
      </c>
      <c r="EX3" s="749" t="s">
        <v>844</v>
      </c>
      <c r="EY3" s="749" t="s">
        <v>677</v>
      </c>
      <c r="EZ3" s="749" t="s">
        <v>845</v>
      </c>
      <c r="FB3" s="749" t="s">
        <v>663</v>
      </c>
      <c r="FC3" s="749" t="s">
        <v>891</v>
      </c>
      <c r="FD3" s="749" t="s">
        <v>844</v>
      </c>
      <c r="FE3" s="749" t="s">
        <v>897</v>
      </c>
      <c r="FF3" s="749" t="s">
        <v>677</v>
      </c>
      <c r="FG3" s="791" t="s">
        <v>900</v>
      </c>
      <c r="FI3" s="749" t="s">
        <v>663</v>
      </c>
      <c r="FJ3" s="749" t="s">
        <v>891</v>
      </c>
      <c r="FK3" s="749" t="s">
        <v>844</v>
      </c>
      <c r="FL3" s="749" t="s">
        <v>897</v>
      </c>
      <c r="FM3" s="792" t="s">
        <v>677</v>
      </c>
      <c r="FN3" s="791" t="s">
        <v>900</v>
      </c>
      <c r="FP3" s="700" t="s">
        <v>693</v>
      </c>
      <c r="FQ3" s="700" t="s">
        <v>901</v>
      </c>
      <c r="FS3" s="795" t="s">
        <v>902</v>
      </c>
      <c r="FT3" s="700" t="s">
        <v>903</v>
      </c>
      <c r="FU3" s="972" t="s">
        <v>740</v>
      </c>
      <c r="FV3" s="706" t="s">
        <v>681</v>
      </c>
      <c r="FW3" s="685" t="s">
        <v>839</v>
      </c>
      <c r="FZ3" s="857" t="s">
        <v>896</v>
      </c>
      <c r="GA3" s="706" t="s">
        <v>454</v>
      </c>
      <c r="GB3" s="685" t="s">
        <v>915</v>
      </c>
      <c r="GD3" s="857" t="s">
        <v>896</v>
      </c>
      <c r="GE3" s="706" t="s">
        <v>454</v>
      </c>
      <c r="GF3" s="685" t="s">
        <v>915</v>
      </c>
      <c r="GH3" s="857" t="s">
        <v>896</v>
      </c>
      <c r="GI3" s="706" t="s">
        <v>454</v>
      </c>
      <c r="GJ3" s="685" t="s">
        <v>915</v>
      </c>
      <c r="GL3" s="857" t="s">
        <v>896</v>
      </c>
      <c r="GM3" s="706" t="s">
        <v>454</v>
      </c>
      <c r="GN3" s="685" t="s">
        <v>915</v>
      </c>
    </row>
    <row r="4" spans="4:196" x14ac:dyDescent="0.35">
      <c r="E4" s="340" t="s">
        <v>649</v>
      </c>
      <c r="G4" s="340" t="s">
        <v>651</v>
      </c>
      <c r="H4" s="340" t="s">
        <v>650</v>
      </c>
      <c r="J4" s="340" t="s">
        <v>361</v>
      </c>
      <c r="K4" s="340" t="s">
        <v>652</v>
      </c>
      <c r="L4" s="340" t="s">
        <v>712</v>
      </c>
      <c r="M4" s="340" t="s">
        <v>655</v>
      </c>
      <c r="N4" s="455">
        <f>N2+N3</f>
        <v>10107.688050911105</v>
      </c>
      <c r="O4" s="668">
        <f>(N4*(1-G5))/J7</f>
        <v>17.163998577018855</v>
      </c>
      <c r="Q4" s="453"/>
      <c r="R4" s="463"/>
      <c r="S4" s="343"/>
      <c r="Z4" s="468">
        <f>Q5/$Z$6</f>
        <v>14133.912590227163</v>
      </c>
      <c r="AA4" s="468">
        <f t="shared" ref="AA4:AB4" si="17">R5/$Z$6</f>
        <v>1969.6977997680035</v>
      </c>
      <c r="AB4" s="468">
        <f t="shared" si="17"/>
        <v>3593.3676076848715</v>
      </c>
      <c r="AC4" s="463">
        <f>Z5-Z4-AA4-AB4</f>
        <v>0</v>
      </c>
      <c r="AD4" s="342"/>
      <c r="AF4" s="342"/>
      <c r="AH4" s="753">
        <f>Z4/$AH$6</f>
        <v>15239.822067011435</v>
      </c>
      <c r="AI4" s="753">
        <f>AA4/$AH$6</f>
        <v>2123.8170112219323</v>
      </c>
      <c r="AJ4" s="753">
        <f>AB4/$AH$6</f>
        <v>3874.5310339859575</v>
      </c>
      <c r="AK4" s="463">
        <f>AH5-AH4-AI4-AJ4</f>
        <v>0</v>
      </c>
      <c r="AZ4" s="342"/>
      <c r="BA4" s="463">
        <f>AH4/$BA$6</f>
        <v>15825.360401881033</v>
      </c>
      <c r="BB4" s="463">
        <f>AI4/$BA$6</f>
        <v>2205.4174571359626</v>
      </c>
      <c r="BC4" s="463">
        <f>AJ4/$BA$6</f>
        <v>4023.3967123426346</v>
      </c>
      <c r="BD4" s="463">
        <f>BA5-BA4-BB4-BC4</f>
        <v>0</v>
      </c>
      <c r="BH4" s="470">
        <f>$E$5</f>
        <v>11800</v>
      </c>
      <c r="BS4" s="414"/>
      <c r="BU4" s="343"/>
      <c r="BW4" s="414"/>
      <c r="BX4" s="414"/>
      <c r="BY4" s="767"/>
      <c r="BZ4" s="453">
        <f>BZ5-BZ6</f>
        <v>0</v>
      </c>
      <c r="CC4" s="463">
        <f>CC6</f>
        <v>1864.9499828812825</v>
      </c>
      <c r="CG4" s="343"/>
      <c r="CH4" s="760"/>
      <c r="CI4" s="760"/>
      <c r="CJ4" s="767"/>
      <c r="CK4" s="453">
        <f>CK5-CK6</f>
        <v>0</v>
      </c>
      <c r="CO4" s="798">
        <f>CO6</f>
        <v>1273.8558498087386</v>
      </c>
      <c r="CP4" s="463"/>
      <c r="CT4" s="343"/>
      <c r="CX4" s="532"/>
      <c r="CY4" s="786"/>
      <c r="CZ4" s="786" t="s">
        <v>712</v>
      </c>
      <c r="DA4" s="767"/>
      <c r="DB4" s="453">
        <f>DB5-DB6</f>
        <v>0</v>
      </c>
      <c r="DC4" s="340"/>
      <c r="DF4" s="798">
        <f>DF6</f>
        <v>1273.8558498087386</v>
      </c>
      <c r="DG4" s="463"/>
      <c r="DH4" s="340"/>
      <c r="DI4" s="340"/>
      <c r="DK4" s="343"/>
      <c r="DL4" s="340"/>
      <c r="DO4" s="532"/>
      <c r="DR4" s="343"/>
      <c r="DS4" s="343"/>
      <c r="DT4" s="463">
        <f>BS6/DT5</f>
        <v>22054.174571359632</v>
      </c>
      <c r="DU4" s="453">
        <f>DU5-DU6</f>
        <v>3410.9335827596587</v>
      </c>
      <c r="DV4" s="453"/>
      <c r="DW4" s="453">
        <f>(DE6+DF6)/$DS$5</f>
        <v>3410.9335827596633</v>
      </c>
      <c r="DX4" s="453"/>
      <c r="DY4" s="453"/>
      <c r="DZ4" s="453"/>
      <c r="EA4" s="453"/>
      <c r="EB4" s="754">
        <f>[1]TH!$O$10</f>
        <v>2000.939404729972</v>
      </c>
      <c r="EC4" s="754">
        <f>[1]TH!$O$11</f>
        <v>1376.0623421472308</v>
      </c>
      <c r="ED4" s="754">
        <f>[1]TH!$O$12</f>
        <v>2332</v>
      </c>
      <c r="EE4" s="453"/>
      <c r="EG4" s="453"/>
      <c r="EI4" s="340">
        <v>82</v>
      </c>
      <c r="EJ4" s="340">
        <v>44</v>
      </c>
      <c r="EK4" s="340">
        <v>14</v>
      </c>
      <c r="EL4" s="453">
        <f>SUM(EI4:EK4)</f>
        <v>140</v>
      </c>
      <c r="ER4" s="409">
        <f t="shared" ref="ER4:EU5" si="18">ER1/$EU1</f>
        <v>0.50587379887261275</v>
      </c>
      <c r="ES4" s="409">
        <f t="shared" si="18"/>
        <v>0.45189173045545211</v>
      </c>
      <c r="ET4" s="409">
        <f t="shared" si="18"/>
        <v>4.2234470671935122E-2</v>
      </c>
      <c r="EU4" s="409">
        <f t="shared" si="18"/>
        <v>1</v>
      </c>
      <c r="EW4" s="409">
        <f t="shared" ref="EW4:EZ5" si="19">EW1/$EZ1</f>
        <v>0.50587379887261275</v>
      </c>
      <c r="EX4" s="409">
        <f t="shared" si="19"/>
        <v>0.45189173045545211</v>
      </c>
      <c r="EY4" s="409">
        <f t="shared" si="19"/>
        <v>4.2234470671935129E-2</v>
      </c>
      <c r="EZ4" s="409">
        <f t="shared" si="19"/>
        <v>1</v>
      </c>
      <c r="FB4" s="409">
        <f t="shared" ref="FB4:FF4" si="20">FB1/$FG1</f>
        <v>0.48106838593039658</v>
      </c>
      <c r="FC4" s="409">
        <f t="shared" si="20"/>
        <v>2.4805412942216099E-2</v>
      </c>
      <c r="FD4" s="409">
        <f t="shared" si="20"/>
        <v>0.33363521257403378</v>
      </c>
      <c r="FE4" s="409">
        <f t="shared" si="20"/>
        <v>0.11825651788141837</v>
      </c>
      <c r="FF4" s="409">
        <f t="shared" si="20"/>
        <v>4.2234470671935129E-2</v>
      </c>
      <c r="FG4" s="409">
        <f>FG1/$FG1</f>
        <v>1</v>
      </c>
      <c r="FI4" s="409">
        <f t="shared" ref="FI4:FM4" si="21">FI1/$FN1</f>
        <v>0.48106838593039664</v>
      </c>
      <c r="FJ4" s="409">
        <f t="shared" si="21"/>
        <v>2.4805412942216099E-2</v>
      </c>
      <c r="FK4" s="409">
        <f t="shared" si="21"/>
        <v>0.33363521257403378</v>
      </c>
      <c r="FL4" s="409">
        <f t="shared" si="21"/>
        <v>0.11825651788141837</v>
      </c>
      <c r="FM4" s="409">
        <f t="shared" si="21"/>
        <v>4.2234470671935136E-2</v>
      </c>
      <c r="FN4" s="409">
        <f>FN1/$FN1</f>
        <v>1</v>
      </c>
      <c r="GD4" s="453"/>
      <c r="GH4" s="453"/>
      <c r="GL4" s="453"/>
    </row>
    <row r="5" spans="4:196" ht="18.5" customHeight="1" x14ac:dyDescent="0.35">
      <c r="E5" s="455">
        <v>11800</v>
      </c>
      <c r="G5" s="458">
        <v>0.1</v>
      </c>
      <c r="H5" s="456">
        <v>3000</v>
      </c>
      <c r="M5" s="340" t="s">
        <v>654</v>
      </c>
      <c r="N5" s="455">
        <f>N4/($J$7/(1-$G$5))*1000</f>
        <v>17163.998577018858</v>
      </c>
      <c r="O5" s="453">
        <f>'Giá mua Chai-Vảy'!E14</f>
        <v>16300</v>
      </c>
      <c r="P5" s="463">
        <f>N5-O5</f>
        <v>863.99857701885776</v>
      </c>
      <c r="Q5" s="788">
        <f>'Giá mua Chai-Vảy (Giá giảm)'!I24</f>
        <v>12316.328708644613</v>
      </c>
      <c r="R5" s="788">
        <f>'Giá mua Chai-Vảy (Giá giảm)'!K24</f>
        <v>1716.3998577018854</v>
      </c>
      <c r="S5" s="569">
        <f>'Giá mua Chai-Vảy (Giá giảm)'!L24</f>
        <v>3131.2700106723587</v>
      </c>
      <c r="T5" s="463">
        <f>N5-Q5-R5-S5</f>
        <v>0</v>
      </c>
      <c r="Y5" s="463">
        <f>Z5-N5-AA12-AA30</f>
        <v>1094.9981967606445</v>
      </c>
      <c r="Z5" s="465">
        <f>N5/Z6</f>
        <v>19696.977997680038</v>
      </c>
      <c r="AA5" s="465">
        <f>Z5-AA12</f>
        <v>18997.048712591313</v>
      </c>
      <c r="AG5" s="463"/>
      <c r="AH5" s="465">
        <f>Z5/AH6</f>
        <v>21238.170112219326</v>
      </c>
      <c r="AI5" s="465">
        <f>AH5-AI20</f>
        <v>20925.052736022764</v>
      </c>
      <c r="AJ5" s="342">
        <f>V7</f>
        <v>0.53</v>
      </c>
      <c r="AK5" s="454">
        <f>N5/AK6</f>
        <v>21238.17011221933</v>
      </c>
      <c r="AZ5" s="753">
        <f>$AZ$7-$BA$5</f>
        <v>610.25864102376363</v>
      </c>
      <c r="BA5" s="465">
        <f>AH5/BA6</f>
        <v>22054.174571359632</v>
      </c>
      <c r="BB5" s="465">
        <f>BA5-BB17</f>
        <v>21732.363257654171</v>
      </c>
      <c r="BC5" s="517">
        <f>'Hảo_R&amp;D (Vảy sạch)'!BR2</f>
        <v>6.6666666666666666E-2</v>
      </c>
      <c r="BD5" s="419" t="s">
        <v>630</v>
      </c>
      <c r="BE5" s="340" t="s">
        <v>656</v>
      </c>
      <c r="BH5" s="342">
        <f>G5</f>
        <v>0.1</v>
      </c>
      <c r="BJ5" s="463">
        <f>H5</f>
        <v>3000</v>
      </c>
      <c r="BL5" s="463"/>
      <c r="BM5" s="463"/>
      <c r="BN5" s="463"/>
      <c r="BO5" s="463"/>
      <c r="BS5" s="414"/>
      <c r="BU5" s="343"/>
      <c r="BW5" s="752"/>
      <c r="BX5" s="387">
        <f>Z6</f>
        <v>0.87140263745232782</v>
      </c>
      <c r="BY5" s="768"/>
      <c r="BZ5" s="463">
        <f>CA6+CB6+CE6</f>
        <v>19696.977997680038</v>
      </c>
      <c r="CA5" s="387"/>
      <c r="CB5" s="387"/>
      <c r="CC5" s="484">
        <f>CC7</f>
        <v>3240.9192930660097</v>
      </c>
      <c r="CD5" s="453">
        <f>CE5/CU2</f>
        <v>51.923370195650079</v>
      </c>
      <c r="CE5" s="484">
        <f>CC5-CC4</f>
        <v>1375.9693101847272</v>
      </c>
      <c r="CG5" s="343"/>
      <c r="CH5" s="760"/>
      <c r="CI5" s="387">
        <f>AH6</f>
        <v>0.92743291411661843</v>
      </c>
      <c r="CJ5" s="768"/>
      <c r="CK5" s="463">
        <f>CL6+CM6+CR6</f>
        <v>21238.170112219326</v>
      </c>
      <c r="CL5" s="453"/>
      <c r="CM5" s="484"/>
      <c r="CN5" s="387"/>
      <c r="CO5" s="755">
        <f>CO7</f>
        <v>2013.5603276057439</v>
      </c>
      <c r="CP5" s="484"/>
      <c r="CQ5" s="453">
        <f>CR5/DW2</f>
        <v>2.0119044837334741</v>
      </c>
      <c r="CR5" s="484">
        <f>CO5-CO4</f>
        <v>739.70447779700521</v>
      </c>
      <c r="CT5" s="484">
        <f>CG6/CI5</f>
        <v>22494.347977011028</v>
      </c>
      <c r="CX5" s="532"/>
      <c r="CY5" s="760"/>
      <c r="CZ5" s="387">
        <f>AH6</f>
        <v>0.92743291411661843</v>
      </c>
      <c r="DA5" s="768"/>
      <c r="DB5" s="463">
        <f>DC6+DD6+DI6</f>
        <v>21238.170112219326</v>
      </c>
      <c r="DC5" s="387"/>
      <c r="DD5" s="785"/>
      <c r="DE5" s="785"/>
      <c r="DF5" s="755">
        <f>DF7</f>
        <v>2013.5603276057439</v>
      </c>
      <c r="DG5" s="484"/>
      <c r="DH5" s="453">
        <f>DI5/EN2</f>
        <v>0.19938126086172647</v>
      </c>
      <c r="DI5" s="484">
        <f>DF5-DF4</f>
        <v>739.70447779700521</v>
      </c>
      <c r="DK5" s="456"/>
      <c r="DL5" s="340"/>
      <c r="DO5" s="532"/>
      <c r="DP5" s="916" t="str">
        <f>AT11</f>
        <v>Tạo hạt iSS01084G</v>
      </c>
      <c r="DQ5" s="481"/>
      <c r="DR5" s="745"/>
      <c r="DS5" s="341">
        <f>BA6</f>
        <v>0.96300000000000008</v>
      </c>
      <c r="DT5" s="342">
        <f>BD6</f>
        <v>0.77826529038673076</v>
      </c>
      <c r="DU5" s="463">
        <f>DV6+DW6+EA6</f>
        <v>25465.108154119291</v>
      </c>
      <c r="DV5" s="342"/>
      <c r="DW5" s="342"/>
      <c r="DX5" s="342"/>
      <c r="DY5" s="342"/>
      <c r="DZ5" s="342"/>
      <c r="EA5" s="342"/>
      <c r="EB5" s="754">
        <f>[1]TH!$Q$10</f>
        <v>2796.8565141477497</v>
      </c>
      <c r="EC5" s="754">
        <f>[1]TH!$Q$11</f>
        <v>2064.9528218457522</v>
      </c>
      <c r="ED5" s="754">
        <f>[1]TH!$Q$12</f>
        <v>2634</v>
      </c>
      <c r="EE5" s="453">
        <f>DK6/DS5</f>
        <v>24413.138620074347</v>
      </c>
      <c r="EF5" s="463">
        <f>EE6-EF6</f>
        <v>4914.4142199672569</v>
      </c>
      <c r="EG5" s="342"/>
      <c r="EI5" s="453">
        <f>EI4*26.5</f>
        <v>2173</v>
      </c>
      <c r="EJ5" s="453">
        <f t="shared" ref="EJ5:EK5" si="22">EJ4*26.5</f>
        <v>1166</v>
      </c>
      <c r="EK5" s="453">
        <f t="shared" si="22"/>
        <v>371</v>
      </c>
      <c r="EL5" s="453">
        <f>SUM(EI5:EK5)</f>
        <v>3710</v>
      </c>
      <c r="ER5" s="409">
        <f t="shared" si="18"/>
        <v>0.45267887719532535</v>
      </c>
      <c r="ES5" s="409">
        <f t="shared" si="18"/>
        <v>0.50952779805585757</v>
      </c>
      <c r="ET5" s="409">
        <f t="shared" si="18"/>
        <v>3.7793324748817206E-2</v>
      </c>
      <c r="EU5" s="409">
        <f t="shared" si="18"/>
        <v>1</v>
      </c>
      <c r="EW5" s="409">
        <f t="shared" si="19"/>
        <v>0.45267887719532535</v>
      </c>
      <c r="EX5" s="409">
        <f t="shared" si="19"/>
        <v>0.50952779805585757</v>
      </c>
      <c r="EY5" s="409">
        <f t="shared" si="19"/>
        <v>3.7793324748817206E-2</v>
      </c>
      <c r="EZ5" s="409">
        <f t="shared" si="19"/>
        <v>1</v>
      </c>
      <c r="FB5" s="409">
        <f t="shared" ref="FB5:FF5" si="23">FB2/$FG2</f>
        <v>0.43048186579826653</v>
      </c>
      <c r="FC5" s="409">
        <f t="shared" si="23"/>
        <v>2.2197011397058718E-2</v>
      </c>
      <c r="FD5" s="409">
        <f t="shared" si="23"/>
        <v>0.40370648875916937</v>
      </c>
      <c r="FE5" s="409">
        <f t="shared" si="23"/>
        <v>0.10582130929668818</v>
      </c>
      <c r="FF5" s="409">
        <f t="shared" si="23"/>
        <v>3.7793324748817206E-2</v>
      </c>
      <c r="FG5" s="409">
        <f>FG2/$FG2</f>
        <v>1</v>
      </c>
      <c r="FI5" s="409">
        <f>FI2/$FN2</f>
        <v>0.43048186579826658</v>
      </c>
      <c r="FJ5" s="409">
        <f t="shared" ref="FJ5:FM5" si="24">FJ2/$FN2</f>
        <v>2.2197011397058715E-2</v>
      </c>
      <c r="FK5" s="409">
        <f t="shared" si="24"/>
        <v>0.40370648875916937</v>
      </c>
      <c r="FL5" s="409">
        <f t="shared" si="24"/>
        <v>0.10582130929668818</v>
      </c>
      <c r="FM5" s="409">
        <f t="shared" si="24"/>
        <v>3.7793324748817206E-2</v>
      </c>
      <c r="FN5" s="409">
        <f>FN2/$FN2</f>
        <v>1</v>
      </c>
      <c r="GD5" s="453"/>
      <c r="GH5" s="453"/>
      <c r="GL5" s="453"/>
    </row>
    <row r="6" spans="4:196" ht="19" customHeight="1" x14ac:dyDescent="0.35">
      <c r="N6" s="460"/>
      <c r="V6" s="343"/>
      <c r="Z6" s="389">
        <f>SUM(Z7:Z9)</f>
        <v>0.87140263745232782</v>
      </c>
      <c r="AG6" s="732"/>
      <c r="AH6" s="389">
        <f>SUM(AH7:AH16)</f>
        <v>0.92743291411661843</v>
      </c>
      <c r="AI6" s="550">
        <f>SUM(AH7*AI7,AH9*AI9,AH11*AI11,AH13*AI13,AH15*AI15)</f>
        <v>0.75153843567153134</v>
      </c>
      <c r="AK6" s="393">
        <f>Z6*AH6</f>
        <v>0.8081674874213195</v>
      </c>
      <c r="AL6" s="670">
        <f>SUM(AL7:AL16)</f>
        <v>3.3</v>
      </c>
      <c r="AZ6" s="466">
        <f>AI5/BA6</f>
        <v>21729.026724841915</v>
      </c>
      <c r="BA6" s="388">
        <f>SUM(BA7:BA13)</f>
        <v>0.96300000000000008</v>
      </c>
      <c r="BB6" s="550">
        <f>SUM(BA7*BB7,BA9*BB9,BA11*BB11,BA13*BB13)</f>
        <v>1.0994587155963305</v>
      </c>
      <c r="BC6" s="466"/>
      <c r="BD6" s="421">
        <f>AK6*BA6</f>
        <v>0.77826529038673076</v>
      </c>
      <c r="BE6" s="468">
        <f>N5/BD6</f>
        <v>22054.174571359632</v>
      </c>
      <c r="BF6" s="679">
        <f>BE6-AZ6</f>
        <v>325.14784651771697</v>
      </c>
      <c r="BG6" s="463"/>
      <c r="BH6" s="342">
        <f>V7</f>
        <v>0.53</v>
      </c>
      <c r="BI6" s="340">
        <v>530</v>
      </c>
      <c r="BJ6" s="342">
        <f>'Giá mua Chai-Vảy (Giá giảm)'!H14</f>
        <v>0.61465670579864828</v>
      </c>
      <c r="BK6" s="481" t="str">
        <f>N7</f>
        <v>Chai B1</v>
      </c>
      <c r="BL6" s="739">
        <f>BJ6*$BH$4/(1-$BH$5)-BM6</f>
        <v>7252.9491284240485</v>
      </c>
      <c r="BM6" s="739">
        <f>BJ6*$BH$4*$BH$5/(1-$BH$5)</f>
        <v>805.88323649156109</v>
      </c>
      <c r="BN6" s="739">
        <f>BL6+BM6</f>
        <v>8058.83236491561</v>
      </c>
      <c r="BO6" s="739">
        <f>BN6/(BI6/(1-$BH$5))*1000</f>
        <v>13684.809676271791</v>
      </c>
      <c r="BP6" s="741">
        <f>($BJ$5+$BJ$5*$BH$5/(1-$BH$5))*BJ6</f>
        <v>2048.8556859954942</v>
      </c>
      <c r="BQ6" s="463">
        <f>BL6+BM6+BP6</f>
        <v>10107.688050911103</v>
      </c>
      <c r="BR6" s="741">
        <f>BQ6/(BI6/(1-$BH$5))*1000</f>
        <v>17163.998577018854</v>
      </c>
      <c r="BS6" s="728">
        <f>N5</f>
        <v>17163.998577018858</v>
      </c>
      <c r="BT6" s="745">
        <f>Q5</f>
        <v>12316.328708644613</v>
      </c>
      <c r="BU6" s="743">
        <f>S5</f>
        <v>3131.2700106723587</v>
      </c>
      <c r="BV6" s="745">
        <f>R5</f>
        <v>1716.3998577018854</v>
      </c>
      <c r="BW6" s="728" t="str">
        <f>LEFT($BW$2,3)&amp;" "&amp;RIGHT(BK6,2)&amp;"_"&amp;RIGHT($BW$2,3)</f>
        <v>Vảy B1_ A0</v>
      </c>
      <c r="BX6" s="728"/>
      <c r="BY6" s="773" t="s">
        <v>871</v>
      </c>
      <c r="BZ6" s="745">
        <f>BS6/BX5</f>
        <v>19696.977997680038</v>
      </c>
      <c r="CA6" s="745">
        <f>Z4</f>
        <v>14133.912590227163</v>
      </c>
      <c r="CB6" s="745">
        <f>AB4</f>
        <v>3593.3676076848715</v>
      </c>
      <c r="CC6" s="476">
        <f>[1]TH!$O$6</f>
        <v>1864.9499828812825</v>
      </c>
      <c r="CD6" s="745">
        <f>-AA12</f>
        <v>-699.9292850887249</v>
      </c>
      <c r="CE6" s="482">
        <f>AA4</f>
        <v>1969.6977997680035</v>
      </c>
      <c r="CF6" s="280"/>
      <c r="CG6" s="817">
        <f t="shared" ref="CG6:CG15" si="25">SUM(CA6:CE6)</f>
        <v>20861.998695472597</v>
      </c>
      <c r="CH6" s="759" t="str">
        <f>LEFT($CH$2,3)&amp;" "&amp;RIGHT(BK6,2)&amp;"_"&amp;RIGHT($CH$2,3)&amp;" DT"</f>
        <v>Vảy B1_ A1 DT</v>
      </c>
      <c r="CI6" s="759"/>
      <c r="CJ6" s="773" t="s">
        <v>871</v>
      </c>
      <c r="CK6" s="482">
        <f>BZ6/CI5</f>
        <v>21238.170112219326</v>
      </c>
      <c r="CL6" s="482">
        <f>CA6/$CI$5</f>
        <v>15239.822067011435</v>
      </c>
      <c r="CM6" s="482">
        <f>CB6/$CI$5</f>
        <v>3874.5310339859575</v>
      </c>
      <c r="CN6" s="482">
        <f>CC6/$CI$5</f>
        <v>2010.8731903888172</v>
      </c>
      <c r="CO6" s="476">
        <f>[1]TH!$O$7</f>
        <v>1273.8558498087386</v>
      </c>
      <c r="CP6" s="482">
        <f>CD6</f>
        <v>-699.9292850887249</v>
      </c>
      <c r="CQ6" s="482">
        <f>-AI20</f>
        <v>-313.11737619656105</v>
      </c>
      <c r="CR6" s="482">
        <f>CE6/CI5</f>
        <v>2123.8170112219323</v>
      </c>
      <c r="CS6" s="280"/>
      <c r="CT6" s="728">
        <f>SUM(CL6:CR6)</f>
        <v>23509.852491131598</v>
      </c>
      <c r="CU6" s="476">
        <f t="shared" ref="CU6:CU15" si="26">CT6/$CU$2</f>
        <v>887.16424494836224</v>
      </c>
      <c r="CV6" s="494">
        <f t="shared" ref="CV6:CV15" si="27">$CV$2+CU6</f>
        <v>957.16424494836224</v>
      </c>
      <c r="CW6" s="835">
        <f>CV6/$CV$12</f>
        <v>1.1951036609249803</v>
      </c>
      <c r="CX6" s="532"/>
      <c r="CY6" s="759" t="str">
        <f>LEFT($CH$2,3)&amp;" "&amp;RIGHT(BK6,2)&amp;"_"&amp;RIGHT($CH$2,3)&amp;" DT"</f>
        <v>Vảy B1_ A1 DT</v>
      </c>
      <c r="CZ6" s="759"/>
      <c r="DA6" s="773" t="s">
        <v>871</v>
      </c>
      <c r="DB6" s="482">
        <f>BZ6/CZ5</f>
        <v>21238.170112219326</v>
      </c>
      <c r="DC6" s="482">
        <f>CL6</f>
        <v>15239.822067011435</v>
      </c>
      <c r="DD6" s="482">
        <f>CM6</f>
        <v>3874.5310339859575</v>
      </c>
      <c r="DE6" s="482">
        <f>CN6</f>
        <v>2010.8731903888172</v>
      </c>
      <c r="DF6" s="476">
        <f>CO6</f>
        <v>1273.8558498087386</v>
      </c>
      <c r="DG6" s="476">
        <f>CP6</f>
        <v>-699.9292850887249</v>
      </c>
      <c r="DH6" s="482">
        <f t="shared" ref="DH6:DI6" si="28">CQ6</f>
        <v>-313.11737619656105</v>
      </c>
      <c r="DI6" s="482">
        <f t="shared" si="28"/>
        <v>2123.8170112219323</v>
      </c>
      <c r="DJ6" s="280"/>
      <c r="DK6" s="728">
        <f t="shared" ref="DK6:DK13" si="29">SUM(DC6:DI6)</f>
        <v>23509.852491131598</v>
      </c>
      <c r="DL6" s="476">
        <f t="shared" ref="DL6:DL22" si="30">DK6/$CU$2</f>
        <v>887.16424494836224</v>
      </c>
      <c r="DM6" s="494">
        <f>$CV$2+DL6</f>
        <v>957.16424494836224</v>
      </c>
      <c r="DN6" s="835">
        <f>DM6/$DM$12</f>
        <v>1.8637024208265367</v>
      </c>
      <c r="DO6" s="532"/>
      <c r="DP6" s="411"/>
      <c r="DQ6" s="481" t="str">
        <f>AX11</f>
        <v>100%B1.A1,A2</v>
      </c>
      <c r="DR6" s="774" t="str">
        <f>BC7</f>
        <v>Hạt rPET iSS01084G</v>
      </c>
      <c r="DS6" s="761"/>
      <c r="DT6" s="773" t="s">
        <v>871</v>
      </c>
      <c r="DU6" s="476">
        <f>DB6/$DS$5</f>
        <v>22054.174571359632</v>
      </c>
      <c r="DV6" s="476">
        <f>DC6/$DS$5</f>
        <v>15825.360401881033</v>
      </c>
      <c r="DW6" s="476">
        <f>(DD6+DE6+DF6)/$DS$5</f>
        <v>7434.3302951022979</v>
      </c>
      <c r="DX6" s="476">
        <f>DG6/$DS$5</f>
        <v>-726.82168752723248</v>
      </c>
      <c r="DY6" s="476">
        <f>DH6/$DS$5</f>
        <v>-325.14784651771652</v>
      </c>
      <c r="DZ6" s="476">
        <f>-BB17</f>
        <v>-321.81131370545882</v>
      </c>
      <c r="EA6" s="476">
        <f>DI6/$DS$5</f>
        <v>2205.4174571359626</v>
      </c>
      <c r="EB6" s="476">
        <f>EB4</f>
        <v>2000.939404729972</v>
      </c>
      <c r="EC6" s="476"/>
      <c r="ED6" s="476">
        <f>ED4</f>
        <v>2332</v>
      </c>
      <c r="EE6" s="815">
        <f>SUM(DV6:ED6)</f>
        <v>28424.266711098855</v>
      </c>
      <c r="EF6" s="453">
        <f>CT6</f>
        <v>23509.852491131598</v>
      </c>
      <c r="EG6" s="815">
        <f>EE6/$EG$1</f>
        <v>1072.6138381546739</v>
      </c>
      <c r="EI6" s="476">
        <f>EI5</f>
        <v>2173</v>
      </c>
      <c r="EJ6" s="476">
        <f>EJ5</f>
        <v>1166</v>
      </c>
      <c r="EK6" s="476">
        <f>EK5</f>
        <v>371</v>
      </c>
      <c r="EL6" s="476">
        <f t="shared" ref="EL6:EL13" si="31">SUM(EI6:EK6)</f>
        <v>3710</v>
      </c>
      <c r="EM6" s="476">
        <f>EE6+EL6</f>
        <v>32134.266711098855</v>
      </c>
      <c r="EN6" s="816">
        <f>EG6+$EN$1</f>
        <v>1212.6138381546739</v>
      </c>
      <c r="EO6" s="728">
        <v>100</v>
      </c>
      <c r="EP6" s="728">
        <f t="shared" ref="EP6:EP13" si="32">EN6+EO6</f>
        <v>1312.6138381546739</v>
      </c>
      <c r="ER6" s="728">
        <f>SUM(DV6,EA6,DX6:DZ6)/$EG$1</f>
        <v>628.56592495345592</v>
      </c>
      <c r="ES6" s="728">
        <f>(SUM(DW6,EB6,EC6:ED6,EI6:EK6))/$EG$1</f>
        <v>584.04791320121774</v>
      </c>
      <c r="ET6" s="728">
        <f>EO6</f>
        <v>100</v>
      </c>
      <c r="EU6" s="816">
        <f>SUM(ER6:ET6)</f>
        <v>1312.6138381546737</v>
      </c>
      <c r="EW6" s="728">
        <f t="shared" ref="EW6:EW13" si="33">SUM(DV6,EA6,DX6:DZ6)</f>
        <v>16656.997011266583</v>
      </c>
      <c r="EX6" s="728">
        <f t="shared" ref="EX6:EX13" si="34">SUM(DW6,EB6,EC6,EI6:EK6)</f>
        <v>13145.26969983227</v>
      </c>
      <c r="EY6" s="728">
        <f>EO6*$EG$1</f>
        <v>2650</v>
      </c>
      <c r="EZ6" s="816">
        <f>SUM(EW6:EY6)</f>
        <v>32452.266711098855</v>
      </c>
      <c r="FB6" s="728">
        <f t="shared" ref="FB6:FB13" si="35">DV6/$EG$1</f>
        <v>597.18341139173708</v>
      </c>
      <c r="FC6" s="728">
        <f t="shared" ref="FC6:FC13" si="36">SUM(DX6:EA6)/$EG$1</f>
        <v>31.382513561719055</v>
      </c>
      <c r="FD6" s="728">
        <f>SUM(DW6,EB6,EC6:ED6)/$EG$1</f>
        <v>444.04791320121774</v>
      </c>
      <c r="FE6" s="728">
        <f t="shared" ref="FE6:FE13" si="37">SUM(EI6:EK6)/$EG$1</f>
        <v>140</v>
      </c>
      <c r="FF6" s="728">
        <f>ET6</f>
        <v>100</v>
      </c>
      <c r="FG6" s="816">
        <f>SUM(FB6:FF6)</f>
        <v>1312.6138381546739</v>
      </c>
      <c r="FH6" s="732">
        <f>FG6-EU6</f>
        <v>0</v>
      </c>
      <c r="FI6" s="728">
        <f>DV6</f>
        <v>15825.360401881033</v>
      </c>
      <c r="FJ6" s="728">
        <f t="shared" ref="FJ6:FJ13" si="38">SUM(DX6:EA6)</f>
        <v>831.63660938555495</v>
      </c>
      <c r="FK6" s="728">
        <f t="shared" ref="FK6:FK13" si="39">SUM(DW6,EB6,EC6)</f>
        <v>9435.2696998322699</v>
      </c>
      <c r="FL6" s="728">
        <f t="shared" ref="FL6:FL13" si="40">SUM(EI6:EK6)</f>
        <v>3710</v>
      </c>
      <c r="FM6" s="728">
        <f>EY6</f>
        <v>2650</v>
      </c>
      <c r="FN6" s="816">
        <f>SUM(FI6:FM6)</f>
        <v>32452.266711098855</v>
      </c>
      <c r="FO6" s="463">
        <f>FN6-EZ6</f>
        <v>0</v>
      </c>
      <c r="FP6" s="525">
        <f>(FF6+FE6)/FG6</f>
        <v>0.18284128433188074</v>
      </c>
      <c r="FQ6" s="525">
        <f t="shared" ref="FQ6:FQ13" si="41">FF6/FG6</f>
        <v>7.618386847161697E-2</v>
      </c>
      <c r="FS6" s="816">
        <f>'Hảo_R&amp;D (Vảy sạch) (-PS)'!CP2</f>
        <v>1470</v>
      </c>
      <c r="FT6" s="463">
        <f>FS6-SUM(FB6:FD6)</f>
        <v>397.38616184532611</v>
      </c>
      <c r="FU6" s="973">
        <f>FT6/FS6</f>
        <v>0.27033072234375927</v>
      </c>
      <c r="FV6" s="279">
        <f>FS6-FG6</f>
        <v>157.38616184532611</v>
      </c>
      <c r="FW6" s="281">
        <f>FV6/FS6</f>
        <v>0.10706541622131029</v>
      </c>
      <c r="FY6" s="340" t="str">
        <f>DR6</f>
        <v>Hạt rPET iSS01084G</v>
      </c>
      <c r="FZ6" s="857"/>
      <c r="GA6" s="279"/>
      <c r="GB6" s="296"/>
      <c r="GD6" s="857"/>
      <c r="GE6" s="279"/>
      <c r="GF6" s="296"/>
      <c r="GH6" s="857"/>
      <c r="GI6" s="279"/>
      <c r="GJ6" s="296"/>
      <c r="GL6" s="857"/>
      <c r="GM6" s="279"/>
      <c r="GN6" s="296"/>
    </row>
    <row r="7" spans="4:196" ht="15.75" customHeight="1" x14ac:dyDescent="0.35">
      <c r="D7" s="1101"/>
      <c r="E7" s="1011" t="s">
        <v>548</v>
      </c>
      <c r="F7" s="1012"/>
      <c r="G7" s="346"/>
      <c r="H7" s="1029" t="s">
        <v>549</v>
      </c>
      <c r="I7" s="1030"/>
      <c r="J7" s="346">
        <v>530</v>
      </c>
      <c r="K7" s="459">
        <v>0.53</v>
      </c>
      <c r="L7" s="574">
        <f>'Giá mua Chai-Vảy (Giá giảm)'!H14</f>
        <v>0.61465670579864828</v>
      </c>
      <c r="M7" s="1070"/>
      <c r="N7" s="1072" t="s">
        <v>14</v>
      </c>
      <c r="O7" s="1073"/>
      <c r="P7" s="346"/>
      <c r="Q7" s="346"/>
      <c r="R7" s="1052"/>
      <c r="S7" s="1077" t="s">
        <v>550</v>
      </c>
      <c r="T7" s="1077"/>
      <c r="U7" s="347"/>
      <c r="V7" s="408">
        <v>0.53</v>
      </c>
      <c r="W7" s="1029" t="s">
        <v>551</v>
      </c>
      <c r="X7" s="1030"/>
      <c r="Y7" s="346"/>
      <c r="Z7" s="348">
        <v>0.43017945530235618</v>
      </c>
      <c r="AA7" s="1003"/>
      <c r="AB7" s="1011" t="s">
        <v>552</v>
      </c>
      <c r="AC7" s="1012"/>
      <c r="AG7" s="672">
        <f>$AI$5*AL7</f>
        <v>20925.052736022764</v>
      </c>
      <c r="AH7" s="348">
        <v>0.46161476898244669</v>
      </c>
      <c r="AI7" s="1003" t="s">
        <v>700</v>
      </c>
      <c r="AJ7" s="1011" t="s">
        <v>553</v>
      </c>
      <c r="AK7" s="1012"/>
      <c r="AL7" s="521">
        <f>AI7/$AI$7</f>
        <v>1</v>
      </c>
      <c r="AM7" s="1029" t="s">
        <v>554</v>
      </c>
      <c r="AN7" s="1030"/>
      <c r="AO7" s="346"/>
      <c r="AP7" s="346"/>
      <c r="AQ7" s="346"/>
      <c r="AR7" s="1096" t="s">
        <v>555</v>
      </c>
      <c r="AS7" s="1097"/>
      <c r="AT7" s="349"/>
      <c r="AU7" s="349"/>
      <c r="AV7" s="349"/>
      <c r="AW7" s="349"/>
      <c r="AX7" s="349"/>
      <c r="AY7" s="757"/>
      <c r="AZ7" s="467">
        <f>$AZ$6/$BB$6*BB7</f>
        <v>22664.433212383396</v>
      </c>
      <c r="BA7" s="350">
        <v>0.90700000000000003</v>
      </c>
      <c r="BB7" s="449">
        <f>'Hảo_R&amp;D (Vảy sạch)'!$BH$2</f>
        <v>1.1467889908256881</v>
      </c>
      <c r="BC7" s="422" t="s">
        <v>556</v>
      </c>
      <c r="BD7" s="423"/>
      <c r="BE7" s="349"/>
      <c r="BF7" s="349"/>
      <c r="BG7" s="349"/>
      <c r="BH7" s="344"/>
      <c r="BJ7" s="349"/>
      <c r="BK7" s="349"/>
      <c r="BL7" s="463"/>
      <c r="BM7" s="349"/>
      <c r="BN7" s="349"/>
      <c r="BO7" s="349"/>
      <c r="BP7" s="349"/>
      <c r="BR7" s="349"/>
      <c r="BS7" s="751"/>
      <c r="BT7" s="349"/>
      <c r="BU7" s="356"/>
      <c r="BV7" s="349"/>
      <c r="BW7" s="752"/>
      <c r="BX7" s="387">
        <f>$Z42</f>
        <v>0.9093</v>
      </c>
      <c r="BY7" s="768" t="s">
        <v>872</v>
      </c>
      <c r="BZ7" s="484">
        <f t="shared" ref="BZ7:CD7" si="42">BZ6</f>
        <v>19696.977997680038</v>
      </c>
      <c r="CA7" s="484">
        <f t="shared" si="42"/>
        <v>14133.912590227163</v>
      </c>
      <c r="CB7" s="484">
        <f t="shared" si="42"/>
        <v>3593.3676076848715</v>
      </c>
      <c r="CC7" s="456">
        <f>[1]TH!$Q$6</f>
        <v>3240.9192930660097</v>
      </c>
      <c r="CD7" s="484">
        <f t="shared" si="42"/>
        <v>-699.9292850887249</v>
      </c>
      <c r="CE7" s="453">
        <f>CE6</f>
        <v>1969.6977997680035</v>
      </c>
      <c r="CG7" s="456">
        <f t="shared" si="25"/>
        <v>22237.968005657323</v>
      </c>
      <c r="CH7" s="465"/>
      <c r="CI7" s="387">
        <f>AH42</f>
        <v>0.94030000000000002</v>
      </c>
      <c r="CJ7" s="768" t="s">
        <v>872</v>
      </c>
      <c r="CK7" s="453">
        <f>CK6</f>
        <v>21238.170112219326</v>
      </c>
      <c r="CL7" s="453">
        <f>CL6</f>
        <v>15239.822067011435</v>
      </c>
      <c r="CM7" s="456">
        <f>AJ4</f>
        <v>3874.5310339859575</v>
      </c>
      <c r="CN7" s="456">
        <f>+CC7/$CI$5</f>
        <v>3494.5053639302755</v>
      </c>
      <c r="CO7" s="456">
        <f>[1]TH!$Q$7</f>
        <v>2013.5603276057439</v>
      </c>
      <c r="CP7" s="453">
        <f t="shared" ref="CP7:CP11" si="43">CD7</f>
        <v>-699.9292850887249</v>
      </c>
      <c r="CQ7" s="453">
        <f t="shared" ref="CQ7:CR7" si="44">CQ6</f>
        <v>-313.11737619656105</v>
      </c>
      <c r="CR7" s="453">
        <f t="shared" si="44"/>
        <v>2123.8170112219323</v>
      </c>
      <c r="CT7" s="727">
        <f t="shared" ref="CT7:CT15" si="45">SUM(CL7:CR7)</f>
        <v>25733.189142470059</v>
      </c>
      <c r="CU7" s="453">
        <f t="shared" si="26"/>
        <v>971.06374122528518</v>
      </c>
      <c r="CV7" s="476">
        <f t="shared" si="27"/>
        <v>1041.0637412252852</v>
      </c>
      <c r="CX7" s="532"/>
      <c r="CY7" s="465"/>
      <c r="CZ7" s="387">
        <v>1</v>
      </c>
      <c r="DA7" s="768" t="s">
        <v>872</v>
      </c>
      <c r="DB7" s="453">
        <f>DB6</f>
        <v>21238.170112219326</v>
      </c>
      <c r="DC7" s="453">
        <f>DC6</f>
        <v>15239.822067011435</v>
      </c>
      <c r="DD7" s="456">
        <f>CM7</f>
        <v>3874.5310339859575</v>
      </c>
      <c r="DE7" s="456">
        <f>CN7</f>
        <v>3494.5053639302755</v>
      </c>
      <c r="DF7" s="456">
        <f>CO7</f>
        <v>2013.5603276057439</v>
      </c>
      <c r="DG7" s="456">
        <f>CP7</f>
        <v>-699.9292850887249</v>
      </c>
      <c r="DH7" s="453">
        <f t="shared" ref="DH7:DI7" si="46">DH6</f>
        <v>-313.11737619656105</v>
      </c>
      <c r="DI7" s="453">
        <f t="shared" si="46"/>
        <v>2123.8170112219323</v>
      </c>
      <c r="DK7" s="727">
        <f t="shared" si="29"/>
        <v>25733.189142470059</v>
      </c>
      <c r="DL7" s="453">
        <f t="shared" si="30"/>
        <v>971.06374122528518</v>
      </c>
      <c r="DM7" s="476">
        <f t="shared" ref="DM7:DM22" si="47">$CV$2+DL7</f>
        <v>1041.0637412252852</v>
      </c>
      <c r="DO7" s="532"/>
      <c r="DQ7" s="481"/>
      <c r="DR7" s="553"/>
      <c r="DS7" s="387"/>
      <c r="DT7" s="768" t="s">
        <v>872</v>
      </c>
      <c r="DU7" s="482">
        <f>DU6</f>
        <v>22054.174571359632</v>
      </c>
      <c r="DV7" s="482">
        <f t="shared" ref="DV7:EA7" si="48">DV6</f>
        <v>15825.360401881033</v>
      </c>
      <c r="DW7" s="482">
        <f>(DD7+DE7+DF7)/$DS$5</f>
        <v>9743.0910960768178</v>
      </c>
      <c r="DX7" s="476">
        <f>DG7/$DS$5</f>
        <v>-726.82168752723248</v>
      </c>
      <c r="DY7" s="476">
        <f>DH7/$DS$5</f>
        <v>-325.14784651771652</v>
      </c>
      <c r="DZ7" s="482">
        <f t="shared" si="48"/>
        <v>-321.81131370545882</v>
      </c>
      <c r="EA7" s="482">
        <f t="shared" si="48"/>
        <v>2205.4174571359626</v>
      </c>
      <c r="EB7" s="476">
        <f>EB5</f>
        <v>2796.8565141477497</v>
      </c>
      <c r="EC7" s="476"/>
      <c r="ED7" s="476">
        <f>ED5</f>
        <v>2634</v>
      </c>
      <c r="EE7" s="476">
        <f t="shared" ref="EE7:EE13" si="49">SUM(DV7:ED7)</f>
        <v>31830.944621491155</v>
      </c>
      <c r="EF7" s="463">
        <f>EE8-EF8</f>
        <v>4385.6912449446791</v>
      </c>
      <c r="EG7" s="476">
        <f t="shared" ref="EG7:EG13" si="50">EE7/$EG$1</f>
        <v>1201.1677215657039</v>
      </c>
      <c r="EH7" s="476"/>
      <c r="EI7" s="476">
        <f>EI6</f>
        <v>2173</v>
      </c>
      <c r="EJ7" s="476">
        <f t="shared" ref="EJ7:EK7" si="51">EJ6</f>
        <v>1166</v>
      </c>
      <c r="EK7" s="476">
        <f t="shared" si="51"/>
        <v>371</v>
      </c>
      <c r="EL7" s="476">
        <f t="shared" si="31"/>
        <v>3710</v>
      </c>
      <c r="EM7" s="476">
        <f t="shared" ref="EM7:EM13" si="52">EE7+EL7</f>
        <v>35540.944621491159</v>
      </c>
      <c r="EN7" s="476">
        <f t="shared" ref="EN7:EN13" si="53">EG7+$EN$1</f>
        <v>1341.1677215657039</v>
      </c>
      <c r="EO7" s="733">
        <v>100</v>
      </c>
      <c r="EP7" s="733">
        <f t="shared" si="32"/>
        <v>1441.1677215657039</v>
      </c>
      <c r="EQ7" s="411"/>
      <c r="ER7" s="733">
        <f>SUM(DV7,EA7,DX7:DZ7)/$EG$1</f>
        <v>628.56592495345592</v>
      </c>
      <c r="ES7" s="733">
        <f t="shared" ref="ES7:ES13" si="54">(SUM(DW7,EB7,EC7:ED7,EI7:EK7))/$EG$1</f>
        <v>712.60179661224788</v>
      </c>
      <c r="ET7" s="733">
        <f t="shared" ref="ET7:ET13" si="55">EO7</f>
        <v>100</v>
      </c>
      <c r="EU7" s="733">
        <f t="shared" ref="EU7:EU13" si="56">SUM(ER7:ET7)</f>
        <v>1441.1677215657037</v>
      </c>
      <c r="EW7" s="733">
        <f t="shared" si="33"/>
        <v>16656.997011266583</v>
      </c>
      <c r="EX7" s="733">
        <f t="shared" si="34"/>
        <v>16249.947610224568</v>
      </c>
      <c r="EY7" s="733">
        <f t="shared" ref="EY7:EY13" si="57">EO7*$EG$1</f>
        <v>2650</v>
      </c>
      <c r="EZ7" s="733">
        <f t="shared" ref="EZ7:EZ13" si="58">SUM(EW7:EY7)</f>
        <v>35556.944621491151</v>
      </c>
      <c r="FB7" s="733">
        <f t="shared" si="35"/>
        <v>597.18341139173708</v>
      </c>
      <c r="FC7" s="733">
        <f t="shared" si="36"/>
        <v>31.382513561719055</v>
      </c>
      <c r="FD7" s="733">
        <f t="shared" ref="FD7:FD13" si="59">SUM(DW7,EB7,EC7:ED7)/$EG$1</f>
        <v>572.60179661224788</v>
      </c>
      <c r="FE7" s="733">
        <f t="shared" si="37"/>
        <v>140</v>
      </c>
      <c r="FF7" s="733">
        <f t="shared" ref="FF7:FF13" si="60">ET7</f>
        <v>100</v>
      </c>
      <c r="FG7" s="733">
        <f t="shared" ref="FG7:FG13" si="61">SUM(FB7:FF7)</f>
        <v>1441.1677215657041</v>
      </c>
      <c r="FH7" s="732">
        <f>FG7-EU7</f>
        <v>0</v>
      </c>
      <c r="FI7" s="733">
        <f t="shared" ref="FI7:FI13" si="62">DV7</f>
        <v>15825.360401881033</v>
      </c>
      <c r="FJ7" s="733">
        <f t="shared" si="38"/>
        <v>831.63660938555495</v>
      </c>
      <c r="FK7" s="733">
        <f t="shared" si="39"/>
        <v>12539.947610224568</v>
      </c>
      <c r="FL7" s="733">
        <f t="shared" si="40"/>
        <v>3710</v>
      </c>
      <c r="FM7" s="733">
        <f t="shared" ref="FM7:FM13" si="63">EY7</f>
        <v>2650</v>
      </c>
      <c r="FN7" s="733">
        <f t="shared" ref="FN7:FN13" si="64">SUM(FI7:FM7)</f>
        <v>35556.944621491159</v>
      </c>
      <c r="FO7" s="463">
        <f t="shared" ref="FO7:FO13" si="65">FN7-EZ7</f>
        <v>0</v>
      </c>
      <c r="FP7" s="958">
        <f>(FF7+FE7)/FG7</f>
        <v>0.16653162321680418</v>
      </c>
      <c r="FQ7" s="958">
        <f t="shared" si="41"/>
        <v>6.9388176340335075E-2</v>
      </c>
      <c r="FS7" s="734">
        <f>FS6</f>
        <v>1470</v>
      </c>
      <c r="FT7" s="478">
        <f t="shared" ref="FT7:FT13" si="66">FS7-SUM(FB7:FD7)</f>
        <v>268.83227843429586</v>
      </c>
      <c r="FU7" s="971">
        <f t="shared" ref="FU7:FU13" si="67">FT7/FS7</f>
        <v>0.18287910097571147</v>
      </c>
      <c r="FV7" s="796">
        <f>FS7-FG7</f>
        <v>28.832278434295858</v>
      </c>
      <c r="FW7" s="985">
        <f>FV7/FS7</f>
        <v>1.9613794853262489E-2</v>
      </c>
      <c r="FY7" s="340">
        <f t="shared" ref="FY7:FY13" si="68">DR7</f>
        <v>0</v>
      </c>
      <c r="FZ7" s="960"/>
      <c r="GA7" s="796"/>
      <c r="GB7" s="959"/>
      <c r="GD7" s="960"/>
      <c r="GE7" s="796"/>
      <c r="GF7" s="959"/>
      <c r="GH7" s="960"/>
      <c r="GI7" s="796"/>
      <c r="GJ7" s="959"/>
      <c r="GL7" s="960"/>
      <c r="GM7" s="796"/>
      <c r="GN7" s="959"/>
    </row>
    <row r="8" spans="4:196" x14ac:dyDescent="0.35">
      <c r="D8" s="1102"/>
      <c r="E8" s="1013"/>
      <c r="F8" s="1014"/>
      <c r="H8" s="1031"/>
      <c r="I8" s="1032"/>
      <c r="K8" s="353"/>
      <c r="M8" s="1071"/>
      <c r="N8" s="1074"/>
      <c r="O8" s="1075"/>
      <c r="R8" s="1052"/>
      <c r="S8" s="1077"/>
      <c r="T8" s="1077"/>
      <c r="U8" s="354"/>
      <c r="V8" s="343"/>
      <c r="W8" s="1031"/>
      <c r="X8" s="1032"/>
      <c r="Z8" s="355"/>
      <c r="AA8" s="1004"/>
      <c r="AB8" s="1013"/>
      <c r="AC8" s="1014"/>
      <c r="AD8" s="346"/>
      <c r="AE8" s="1029" t="s">
        <v>557</v>
      </c>
      <c r="AF8" s="1030"/>
      <c r="AG8" s="779"/>
      <c r="AH8" s="353"/>
      <c r="AI8" s="1004"/>
      <c r="AJ8" s="1013"/>
      <c r="AK8" s="1014"/>
      <c r="AL8" s="545"/>
      <c r="AM8" s="1031"/>
      <c r="AN8" s="1032"/>
      <c r="AR8" s="1098"/>
      <c r="AS8" s="1099"/>
      <c r="AT8" s="349"/>
      <c r="AU8" s="349"/>
      <c r="AV8" s="349"/>
      <c r="AW8" s="349"/>
      <c r="AX8" s="349"/>
      <c r="AY8" s="349"/>
      <c r="AZ8" s="753">
        <f>$AZ$9-$BA$5</f>
        <v>-477.63415317063846</v>
      </c>
      <c r="BA8" s="356"/>
      <c r="BB8" s="356"/>
      <c r="BC8" s="424"/>
      <c r="BD8" s="425"/>
      <c r="BE8" s="349"/>
      <c r="BF8" s="349"/>
      <c r="BG8" s="349"/>
      <c r="BH8" s="344">
        <f>V43</f>
        <v>0.03</v>
      </c>
      <c r="BI8" s="340">
        <v>30</v>
      </c>
      <c r="BJ8" s="342">
        <f>'Giá mua Chai-Vảy (Giá giảm)'!H15</f>
        <v>3.1590181430096058E-2</v>
      </c>
      <c r="BK8" s="437" t="str">
        <f>N43</f>
        <v xml:space="preserve">Chai B2.2 </v>
      </c>
      <c r="BL8" s="740">
        <f>BJ8*$BH$4/(1-$BH$5)-BM8</f>
        <v>372.76414087513348</v>
      </c>
      <c r="BM8" s="740">
        <f>BJ8*$BH$4*$BH$5/(1-$BH$5)</f>
        <v>41.418237875014832</v>
      </c>
      <c r="BN8" s="739">
        <f>BL8+BM8</f>
        <v>414.1823787501483</v>
      </c>
      <c r="BO8" s="739">
        <f>BN8/(BI8/(1-$BH$5))*1000</f>
        <v>12425.471362504448</v>
      </c>
      <c r="BP8" s="741">
        <f>($BJ$5+$BJ$5*$BH$5/(1-$BH$5))*BJ8</f>
        <v>105.30060476698687</v>
      </c>
      <c r="BQ8" s="463">
        <f>BL8+BM8+BP8</f>
        <v>519.48298351713515</v>
      </c>
      <c r="BR8" s="741">
        <f>BQ8/(BI8/(1-$BH$5))*1000</f>
        <v>15584.489505514053</v>
      </c>
      <c r="BS8" s="519">
        <f>N41</f>
        <v>15584.489505514053</v>
      </c>
      <c r="BT8" s="463">
        <f>Q41</f>
        <v>11182.924226254003</v>
      </c>
      <c r="BU8" s="484">
        <f>S41</f>
        <v>2843.1163287086442</v>
      </c>
      <c r="BV8" s="463">
        <f>R41</f>
        <v>1558.448950551405</v>
      </c>
      <c r="BW8" s="729" t="str">
        <f>LEFT($BW$2,3)&amp;" "&amp;RIGHT(BK8,5)&amp;"_"&amp;RIGHT($BW$2,3)</f>
        <v>Vảy B2.2 _ A0</v>
      </c>
      <c r="BX8" s="729"/>
      <c r="BY8" s="818" t="s">
        <v>871</v>
      </c>
      <c r="BZ8" s="819">
        <f>BS8/BX7</f>
        <v>17138.996486873479</v>
      </c>
      <c r="CA8" s="819">
        <f>Z40</f>
        <v>12298.388019634887</v>
      </c>
      <c r="CB8" s="819">
        <f>AB40</f>
        <v>3126.7088185512421</v>
      </c>
      <c r="CC8" s="820">
        <f>CC6</f>
        <v>1864.9499828812825</v>
      </c>
      <c r="CD8" s="819">
        <f>-AA48</f>
        <v>-707.44547994627874</v>
      </c>
      <c r="CE8" s="478">
        <f>AA40</f>
        <v>1713.8996486873475</v>
      </c>
      <c r="CF8" s="821"/>
      <c r="CG8" s="822">
        <f t="shared" si="25"/>
        <v>18296.500989808479</v>
      </c>
      <c r="CH8" s="836" t="str">
        <f>LEFT($CH$2,3)&amp;" "&amp;RIGHT(BK8,5)&amp;"_"&amp;RIGHT($CH$2,3)&amp;" DT"</f>
        <v>Vảy B2.2 _ A1 DT</v>
      </c>
      <c r="CI8" s="836"/>
      <c r="CJ8" s="818" t="s">
        <v>871</v>
      </c>
      <c r="CK8" s="478">
        <f>BZ8/CI7</f>
        <v>18227.157808011783</v>
      </c>
      <c r="CL8" s="478">
        <f>AH40</f>
        <v>13079.217291965209</v>
      </c>
      <c r="CM8" s="478">
        <f>AJ40</f>
        <v>3325.2247352453919</v>
      </c>
      <c r="CN8" s="477">
        <f>+CC8/$CI$7</f>
        <v>1983.3563574192092</v>
      </c>
      <c r="CO8" s="820">
        <f>CO6</f>
        <v>1273.8558498087386</v>
      </c>
      <c r="CP8" s="478">
        <f t="shared" si="43"/>
        <v>-707.44547994627874</v>
      </c>
      <c r="CQ8" s="478">
        <f>-AI50</f>
        <v>-45.990237210778169</v>
      </c>
      <c r="CR8" s="478">
        <f>AI40</f>
        <v>1822.7157808011777</v>
      </c>
      <c r="CS8" s="821"/>
      <c r="CT8" s="729">
        <f>SUM(CL8:CR8)</f>
        <v>20730.934298082662</v>
      </c>
      <c r="CU8" s="477">
        <f t="shared" si="26"/>
        <v>782.29940747481749</v>
      </c>
      <c r="CV8" s="837">
        <f t="shared" si="27"/>
        <v>852.29940747481749</v>
      </c>
      <c r="CW8" s="838">
        <f>CV8/$CV$12</f>
        <v>1.0641706974044953</v>
      </c>
      <c r="CX8" s="839"/>
      <c r="CY8" s="840" t="str">
        <f>LEFT($CH$2,3)&amp;" "&amp;RIGHT($BK$6,2)&amp;"_"&amp;"A"&amp;"2.1"&amp;" DT"</f>
        <v>Vảy B1_A2.1 DT</v>
      </c>
      <c r="CZ8" s="841"/>
      <c r="DA8" s="818" t="s">
        <v>871</v>
      </c>
      <c r="DB8" s="477">
        <f>DB6*$CZ$9</f>
        <v>16990.536089775462</v>
      </c>
      <c r="DC8" s="478">
        <f t="shared" ref="DC8:DE8" si="69">DC6*$CZ$9</f>
        <v>12191.85765360915</v>
      </c>
      <c r="DD8" s="478">
        <f t="shared" si="69"/>
        <v>3099.6248271887662</v>
      </c>
      <c r="DE8" s="478">
        <f t="shared" si="69"/>
        <v>1608.6985523110538</v>
      </c>
      <c r="DF8" s="477">
        <f>DF6*$CZ$9</f>
        <v>1019.084679846991</v>
      </c>
      <c r="DG8" s="477">
        <f>DG6*$CZ$9</f>
        <v>-559.94342807097996</v>
      </c>
      <c r="DH8" s="478">
        <f t="shared" ref="DH8" si="70">DH6*$CZ$9</f>
        <v>-250.49390095724885</v>
      </c>
      <c r="DI8" s="478">
        <f t="shared" ref="DI8" si="71">DI6*$CZ$9</f>
        <v>1699.053608977546</v>
      </c>
      <c r="DJ8" s="821"/>
      <c r="DK8" s="729">
        <f t="shared" si="29"/>
        <v>18807.881992905277</v>
      </c>
      <c r="DL8" s="477">
        <f t="shared" si="30"/>
        <v>709.73139595868975</v>
      </c>
      <c r="DM8" s="837">
        <f t="shared" si="47"/>
        <v>779.73139595868975</v>
      </c>
      <c r="DN8" s="838">
        <f>DM8/$DM$12</f>
        <v>1.5182214524959219</v>
      </c>
      <c r="DO8" s="532"/>
      <c r="DQ8" s="490" t="str">
        <f>DQ6</f>
        <v>100%B1.A1,A2</v>
      </c>
      <c r="DR8" s="775" t="str">
        <f>BC9</f>
        <v>Hạt rPET iSS01G</v>
      </c>
      <c r="DS8" s="762"/>
      <c r="DT8" s="773" t="s">
        <v>871</v>
      </c>
      <c r="DU8" s="477">
        <f>AZ9</f>
        <v>21576.540418188993</v>
      </c>
      <c r="DV8" s="477">
        <f>DV$6/$DU$6*$DU8</f>
        <v>15482.625624403183</v>
      </c>
      <c r="DW8" s="477">
        <f>DW$6/$DU$6*$DU8</f>
        <v>7273.3226798137466</v>
      </c>
      <c r="DX8" s="477">
        <f>DX$6/$DU$6*$DU8</f>
        <v>-711.08068302466768</v>
      </c>
      <c r="DY8" s="477">
        <f t="shared" ref="DY8" si="72">DY$6/$DU$6*$DU8</f>
        <v>-318.10601795939783</v>
      </c>
      <c r="DZ8" s="477">
        <f>DZ6</f>
        <v>-321.81131370545882</v>
      </c>
      <c r="EA8" s="477">
        <f>EA$6/$DU$6*$DU8</f>
        <v>2157.6540418188988</v>
      </c>
      <c r="EB8" s="477">
        <f t="shared" ref="EB8:EB12" si="73">EB6</f>
        <v>2000.939404729972</v>
      </c>
      <c r="EC8" s="477"/>
      <c r="ED8" s="477">
        <f>ED4</f>
        <v>2332</v>
      </c>
      <c r="EE8" s="477">
        <f t="shared" si="49"/>
        <v>27895.543736076277</v>
      </c>
      <c r="EF8" s="453">
        <f>EF6</f>
        <v>23509.852491131598</v>
      </c>
      <c r="EG8" s="477">
        <f t="shared" si="50"/>
        <v>1052.6620277764632</v>
      </c>
      <c r="EI8" s="478">
        <f>EI6</f>
        <v>2173</v>
      </c>
      <c r="EJ8" s="478">
        <f t="shared" ref="EJ8:EK9" si="74">EJ6</f>
        <v>1166</v>
      </c>
      <c r="EK8" s="478">
        <f t="shared" si="74"/>
        <v>371</v>
      </c>
      <c r="EL8" s="477">
        <f t="shared" si="31"/>
        <v>3710</v>
      </c>
      <c r="EM8" s="477">
        <f t="shared" si="52"/>
        <v>31605.543736076277</v>
      </c>
      <c r="EN8" s="478">
        <f t="shared" si="53"/>
        <v>1192.6620277764632</v>
      </c>
      <c r="EO8" s="729">
        <v>70</v>
      </c>
      <c r="EP8" s="729">
        <f t="shared" si="32"/>
        <v>1262.6620277764632</v>
      </c>
      <c r="ER8" s="729">
        <f t="shared" ref="ER8:ER13" si="75">SUM(DV8,EA8,DX8:DZ8)/$EG$1</f>
        <v>614.68987364273801</v>
      </c>
      <c r="ES8" s="729">
        <f t="shared" si="54"/>
        <v>577.97215413372521</v>
      </c>
      <c r="ET8" s="729">
        <f t="shared" si="55"/>
        <v>70</v>
      </c>
      <c r="EU8" s="729">
        <f t="shared" si="56"/>
        <v>1262.6620277764632</v>
      </c>
      <c r="EW8" s="729">
        <f t="shared" si="33"/>
        <v>16289.281651532556</v>
      </c>
      <c r="EX8" s="729">
        <f t="shared" si="34"/>
        <v>12984.26208454372</v>
      </c>
      <c r="EY8" s="729">
        <f t="shared" si="57"/>
        <v>1855</v>
      </c>
      <c r="EZ8" s="729">
        <f t="shared" si="58"/>
        <v>31128.543736076273</v>
      </c>
      <c r="FB8" s="729">
        <f t="shared" si="35"/>
        <v>584.25002356238429</v>
      </c>
      <c r="FC8" s="729">
        <f t="shared" si="36"/>
        <v>30.439850080353754</v>
      </c>
      <c r="FD8" s="729">
        <f t="shared" si="59"/>
        <v>437.97215413372527</v>
      </c>
      <c r="FE8" s="729">
        <f t="shared" si="37"/>
        <v>140</v>
      </c>
      <c r="FF8" s="729">
        <f t="shared" si="60"/>
        <v>70</v>
      </c>
      <c r="FG8" s="729">
        <f t="shared" si="61"/>
        <v>1262.6620277764632</v>
      </c>
      <c r="FH8" s="732">
        <f t="shared" ref="FH8:FH13" si="76">FG8-EU8</f>
        <v>0</v>
      </c>
      <c r="FI8" s="729">
        <f t="shared" si="62"/>
        <v>15482.625624403183</v>
      </c>
      <c r="FJ8" s="729">
        <f t="shared" si="38"/>
        <v>806.65602712937448</v>
      </c>
      <c r="FK8" s="729">
        <f t="shared" si="39"/>
        <v>9274.2620845437195</v>
      </c>
      <c r="FL8" s="729">
        <f t="shared" si="40"/>
        <v>3710</v>
      </c>
      <c r="FM8" s="729">
        <f t="shared" si="63"/>
        <v>1855</v>
      </c>
      <c r="FN8" s="729">
        <f t="shared" si="64"/>
        <v>31128.543736076277</v>
      </c>
      <c r="FO8" s="463">
        <f t="shared" si="65"/>
        <v>0</v>
      </c>
      <c r="FP8" s="525">
        <f t="shared" ref="FP8:FP13" si="77">(FF8+FE8)/FG8</f>
        <v>0.16631528895329825</v>
      </c>
      <c r="FQ8" s="525">
        <f t="shared" si="41"/>
        <v>5.5438429651099422E-2</v>
      </c>
      <c r="FS8" s="729">
        <f>'Hảo_R&amp;D (Vảy sạch) (-PS)'!DN3</f>
        <v>1410</v>
      </c>
      <c r="FT8" s="478">
        <f t="shared" si="66"/>
        <v>357.33797222353678</v>
      </c>
      <c r="FU8" s="914">
        <f t="shared" si="67"/>
        <v>0.25343118597413955</v>
      </c>
      <c r="FV8" s="796">
        <f t="shared" ref="FV8:FV13" si="78">FS8-FG8</f>
        <v>147.33797222353678</v>
      </c>
      <c r="FW8" s="281">
        <f t="shared" ref="FW8:FW13" si="79">FV8/FS8</f>
        <v>0.1044950157613736</v>
      </c>
      <c r="FY8" s="340" t="str">
        <f t="shared" si="68"/>
        <v>Hạt rPET iSS01G</v>
      </c>
      <c r="FZ8" s="858"/>
      <c r="GA8" s="796"/>
      <c r="GB8" s="296"/>
      <c r="GD8" s="858"/>
      <c r="GE8" s="796"/>
      <c r="GF8" s="296"/>
      <c r="GH8" s="858"/>
      <c r="GI8" s="796"/>
      <c r="GJ8" s="296"/>
      <c r="GL8" s="858"/>
      <c r="GM8" s="796"/>
      <c r="GN8" s="296"/>
    </row>
    <row r="9" spans="4:196" x14ac:dyDescent="0.35">
      <c r="K9" s="353"/>
      <c r="V9" s="343"/>
      <c r="Z9" s="357">
        <v>0.44122318214997169</v>
      </c>
      <c r="AA9" s="1003"/>
      <c r="AB9" s="1011" t="s">
        <v>558</v>
      </c>
      <c r="AC9" s="1012"/>
      <c r="AE9" s="1031"/>
      <c r="AF9" s="1032"/>
      <c r="AG9" s="672">
        <f>$AI$5*AL9</f>
        <v>16740.042188818214</v>
      </c>
      <c r="AH9" s="357">
        <v>9.5080368552020983E-2</v>
      </c>
      <c r="AI9" s="1003" t="s">
        <v>701</v>
      </c>
      <c r="AJ9" s="1011" t="s">
        <v>559</v>
      </c>
      <c r="AK9" s="1012"/>
      <c r="AL9" s="521">
        <f>AI9/$AI$7</f>
        <v>0.8</v>
      </c>
      <c r="AS9" s="353"/>
      <c r="AZ9" s="467">
        <f>$AZ$6/$BB$6*BB9</f>
        <v>21576.540418188993</v>
      </c>
      <c r="BA9" s="350">
        <v>2.3E-2</v>
      </c>
      <c r="BB9" s="449">
        <f>'Hảo_R&amp;D (Vảy sạch)'!BH3</f>
        <v>1.0917431192660549</v>
      </c>
      <c r="BC9" s="422" t="s">
        <v>560</v>
      </c>
      <c r="BD9" s="423"/>
      <c r="BH9" s="344"/>
      <c r="BL9" s="463"/>
      <c r="BM9" s="453"/>
      <c r="BN9" s="453"/>
      <c r="BO9" s="453"/>
      <c r="BS9" s="414"/>
      <c r="BU9" s="343"/>
      <c r="BW9" s="752"/>
      <c r="BX9" s="387">
        <f>$Z71</f>
        <v>0.873</v>
      </c>
      <c r="BY9" s="768" t="s">
        <v>872</v>
      </c>
      <c r="BZ9" s="484">
        <f t="shared" ref="BZ9" si="80">BZ8</f>
        <v>17138.996486873479</v>
      </c>
      <c r="CA9" s="484">
        <f t="shared" ref="CA9" si="81">CA8</f>
        <v>12298.388019634887</v>
      </c>
      <c r="CB9" s="484">
        <f t="shared" ref="CB9" si="82">CB8</f>
        <v>3126.7088185512421</v>
      </c>
      <c r="CC9" s="485">
        <f>CC7</f>
        <v>3240.9192930660097</v>
      </c>
      <c r="CD9" s="484">
        <f t="shared" ref="CD9" si="83">CD8</f>
        <v>-707.44547994627874</v>
      </c>
      <c r="CE9" s="453">
        <f>CE8</f>
        <v>1713.8996486873475</v>
      </c>
      <c r="CG9" s="485">
        <f t="shared" si="25"/>
        <v>19672.470299993205</v>
      </c>
      <c r="CH9" s="763"/>
      <c r="CI9" s="387">
        <f>AH71</f>
        <v>0.88600000000000001</v>
      </c>
      <c r="CJ9" s="768" t="s">
        <v>872</v>
      </c>
      <c r="CK9" s="453">
        <f t="shared" ref="CK9:CR9" si="84">CK8</f>
        <v>18227.157808011783</v>
      </c>
      <c r="CL9" s="453">
        <f t="shared" si="84"/>
        <v>13079.217291965209</v>
      </c>
      <c r="CM9" s="456">
        <f>AJ40</f>
        <v>3325.2247352453919</v>
      </c>
      <c r="CN9" s="456">
        <f>+CC9/$CI$7</f>
        <v>3446.6864756630966</v>
      </c>
      <c r="CO9" s="485">
        <f>CO7</f>
        <v>2013.5603276057439</v>
      </c>
      <c r="CP9" s="453">
        <f t="shared" si="43"/>
        <v>-707.44547994627874</v>
      </c>
      <c r="CQ9" s="453">
        <f t="shared" si="84"/>
        <v>-45.990237210778169</v>
      </c>
      <c r="CR9" s="453">
        <f t="shared" si="84"/>
        <v>1822.7157808011777</v>
      </c>
      <c r="CT9" s="727">
        <f t="shared" si="45"/>
        <v>22933.968894123558</v>
      </c>
      <c r="CU9" s="453">
        <f t="shared" si="26"/>
        <v>865.43278845749273</v>
      </c>
      <c r="CV9" s="476">
        <f t="shared" si="27"/>
        <v>935.43278845749273</v>
      </c>
      <c r="CW9" s="340"/>
      <c r="CX9" s="532"/>
      <c r="CY9" s="465"/>
      <c r="CZ9" s="387">
        <v>0.8</v>
      </c>
      <c r="DA9" s="768" t="s">
        <v>872</v>
      </c>
      <c r="DB9" s="453">
        <f>DB7*$CZ$9</f>
        <v>16990.536089775462</v>
      </c>
      <c r="DC9" s="453">
        <f t="shared" ref="DC9:DE9" si="85">DC7*$CZ$9</f>
        <v>12191.85765360915</v>
      </c>
      <c r="DD9" s="456">
        <f t="shared" si="85"/>
        <v>3099.6248271887662</v>
      </c>
      <c r="DE9" s="456">
        <f t="shared" si="85"/>
        <v>2795.6042911442205</v>
      </c>
      <c r="DF9" s="456">
        <f>DF7*$CZ$9</f>
        <v>1610.8482620845953</v>
      </c>
      <c r="DG9" s="456">
        <f>DG7*$CZ$9</f>
        <v>-559.94342807097996</v>
      </c>
      <c r="DH9" s="453">
        <f t="shared" ref="DH9" si="86">DH7*$CZ$9</f>
        <v>-250.49390095724885</v>
      </c>
      <c r="DI9" s="453">
        <f t="shared" ref="DI9" si="87">DI7*$CZ$9</f>
        <v>1699.053608977546</v>
      </c>
      <c r="DK9" s="727">
        <f t="shared" si="29"/>
        <v>20586.551313976051</v>
      </c>
      <c r="DL9" s="453">
        <f t="shared" si="30"/>
        <v>776.8509929802284</v>
      </c>
      <c r="DM9" s="476">
        <f t="shared" si="47"/>
        <v>846.8509929802284</v>
      </c>
      <c r="DO9" s="532"/>
      <c r="DQ9" s="489"/>
      <c r="DR9" s="553"/>
      <c r="DS9" s="387"/>
      <c r="DT9" s="768" t="s">
        <v>872</v>
      </c>
      <c r="DU9" s="478">
        <f>DU8</f>
        <v>21576.540418188993</v>
      </c>
      <c r="DV9" s="477">
        <f>DV7/$DU$7*$DU9</f>
        <v>15482.625624403183</v>
      </c>
      <c r="DW9" s="477">
        <f>DW7/$DU$7*$DU9</f>
        <v>9532.0819263669528</v>
      </c>
      <c r="DX9" s="477">
        <f t="shared" ref="DX9:DY9" si="88">DX7/$DU$7*$DU9</f>
        <v>-711.08068302466768</v>
      </c>
      <c r="DY9" s="477">
        <f t="shared" si="88"/>
        <v>-318.10601795939783</v>
      </c>
      <c r="DZ9" s="477">
        <f>DZ8</f>
        <v>-321.81131370545882</v>
      </c>
      <c r="EA9" s="477">
        <f>EA8</f>
        <v>2157.6540418188988</v>
      </c>
      <c r="EB9" s="477">
        <f>EB7</f>
        <v>2796.8565141477497</v>
      </c>
      <c r="EC9" s="477"/>
      <c r="ED9" s="477">
        <f>ED5</f>
        <v>2634</v>
      </c>
      <c r="EE9" s="477">
        <f t="shared" si="49"/>
        <v>31252.220092047261</v>
      </c>
      <c r="EF9" s="463">
        <f>EE10-EF10</f>
        <v>2827.6254615864054</v>
      </c>
      <c r="EG9" s="477">
        <f t="shared" si="50"/>
        <v>1179.329060077255</v>
      </c>
      <c r="EH9" s="477"/>
      <c r="EI9" s="477">
        <f>EI7</f>
        <v>2173</v>
      </c>
      <c r="EJ9" s="477">
        <f t="shared" si="74"/>
        <v>1166</v>
      </c>
      <c r="EK9" s="477">
        <f t="shared" si="74"/>
        <v>371</v>
      </c>
      <c r="EL9" s="477">
        <f t="shared" si="31"/>
        <v>3710</v>
      </c>
      <c r="EM9" s="477">
        <f t="shared" si="52"/>
        <v>34962.220092047261</v>
      </c>
      <c r="EN9" s="477">
        <f t="shared" si="53"/>
        <v>1319.329060077255</v>
      </c>
      <c r="EO9" s="734">
        <v>70</v>
      </c>
      <c r="EP9" s="734">
        <f t="shared" si="32"/>
        <v>1389.329060077255</v>
      </c>
      <c r="EQ9" s="472"/>
      <c r="ER9" s="734">
        <f t="shared" si="75"/>
        <v>614.68987364273801</v>
      </c>
      <c r="ES9" s="734">
        <f t="shared" si="54"/>
        <v>704.63918643451711</v>
      </c>
      <c r="ET9" s="734">
        <f t="shared" si="55"/>
        <v>70</v>
      </c>
      <c r="EU9" s="734">
        <f t="shared" si="56"/>
        <v>1389.3290600772552</v>
      </c>
      <c r="EW9" s="734">
        <f t="shared" si="33"/>
        <v>16289.281651532556</v>
      </c>
      <c r="EX9" s="734">
        <f t="shared" si="34"/>
        <v>16038.938440514703</v>
      </c>
      <c r="EY9" s="734">
        <f t="shared" si="57"/>
        <v>1855</v>
      </c>
      <c r="EZ9" s="734">
        <f t="shared" si="58"/>
        <v>34183.220092047261</v>
      </c>
      <c r="FB9" s="734">
        <f t="shared" si="35"/>
        <v>584.25002356238429</v>
      </c>
      <c r="FC9" s="734">
        <f t="shared" si="36"/>
        <v>30.439850080353754</v>
      </c>
      <c r="FD9" s="734">
        <f t="shared" si="59"/>
        <v>564.63918643451711</v>
      </c>
      <c r="FE9" s="734">
        <f t="shared" si="37"/>
        <v>140</v>
      </c>
      <c r="FF9" s="734">
        <f t="shared" si="60"/>
        <v>70</v>
      </c>
      <c r="FG9" s="734">
        <f t="shared" si="61"/>
        <v>1389.3290600772552</v>
      </c>
      <c r="FH9" s="732">
        <f t="shared" si="76"/>
        <v>0</v>
      </c>
      <c r="FI9" s="734">
        <f t="shared" si="62"/>
        <v>15482.625624403183</v>
      </c>
      <c r="FJ9" s="734">
        <f t="shared" si="38"/>
        <v>806.65602712937448</v>
      </c>
      <c r="FK9" s="734">
        <f t="shared" si="39"/>
        <v>12328.938440514703</v>
      </c>
      <c r="FL9" s="734">
        <f t="shared" si="40"/>
        <v>3710</v>
      </c>
      <c r="FM9" s="734">
        <f t="shared" si="63"/>
        <v>1855</v>
      </c>
      <c r="FN9" s="734">
        <f t="shared" si="64"/>
        <v>34183.220092047261</v>
      </c>
      <c r="FO9" s="463">
        <f t="shared" si="65"/>
        <v>0</v>
      </c>
      <c r="FP9" s="958">
        <f t="shared" si="77"/>
        <v>0.15115209638551913</v>
      </c>
      <c r="FQ9" s="958">
        <f t="shared" si="41"/>
        <v>5.0384032128506381E-2</v>
      </c>
      <c r="FS9" s="734">
        <f>FS8</f>
        <v>1410</v>
      </c>
      <c r="FT9" s="478">
        <f t="shared" si="66"/>
        <v>230.67093992274476</v>
      </c>
      <c r="FU9" s="971">
        <f t="shared" si="67"/>
        <v>0.16359641129272678</v>
      </c>
      <c r="FV9" s="796">
        <f t="shared" si="78"/>
        <v>20.670939922744765</v>
      </c>
      <c r="FW9" s="985">
        <f t="shared" si="79"/>
        <v>1.4660241079960825E-2</v>
      </c>
      <c r="FY9" s="340">
        <f t="shared" si="68"/>
        <v>0</v>
      </c>
      <c r="FZ9" s="960"/>
      <c r="GA9" s="796"/>
      <c r="GB9" s="959"/>
      <c r="GD9" s="960"/>
      <c r="GE9" s="796"/>
      <c r="GF9" s="959"/>
      <c r="GH9" s="960"/>
      <c r="GI9" s="796"/>
      <c r="GJ9" s="959"/>
      <c r="GL9" s="960"/>
      <c r="GM9" s="796"/>
      <c r="GN9" s="959"/>
    </row>
    <row r="10" spans="4:196" x14ac:dyDescent="0.35">
      <c r="K10" s="353"/>
      <c r="V10" s="343"/>
      <c r="Z10" s="353"/>
      <c r="AA10" s="1004"/>
      <c r="AB10" s="1013"/>
      <c r="AC10" s="1014"/>
      <c r="AG10" s="411"/>
      <c r="AH10" s="353"/>
      <c r="AI10" s="1004"/>
      <c r="AJ10" s="1013"/>
      <c r="AK10" s="1014"/>
      <c r="AS10" s="353"/>
      <c r="AZ10" s="463">
        <f>$AZ$11-$BA$5</f>
        <v>-1021.5805502678377</v>
      </c>
      <c r="BA10" s="343"/>
      <c r="BB10" s="343"/>
      <c r="BC10" s="424"/>
      <c r="BD10" s="425"/>
      <c r="BH10" s="344">
        <f>V71</f>
        <v>0.02</v>
      </c>
      <c r="BI10" s="340">
        <v>20</v>
      </c>
      <c r="BJ10" s="342">
        <f>'Giá mua Chai-Vảy (Giá giảm)'!H16</f>
        <v>1.8925649235147637E-2</v>
      </c>
      <c r="BK10" s="340" t="str">
        <f>N71</f>
        <v>Chai B4</v>
      </c>
      <c r="BL10" s="453">
        <f>BJ10*$BH$4/(1-$BH$5)-BM10</f>
        <v>223.32266097474212</v>
      </c>
      <c r="BM10" s="739">
        <f>BJ10*$BH$4*$BH$5/(1-$BH$5)</f>
        <v>24.813628997193572</v>
      </c>
      <c r="BN10" s="739">
        <f>BL10+BM10</f>
        <v>248.1362899719357</v>
      </c>
      <c r="BO10" s="739">
        <f>BN10/(BI10/(1-$BH$5))*1000</f>
        <v>11166.133048737107</v>
      </c>
      <c r="BP10" s="741">
        <f>($BJ$5+$BJ$5*$BH$5/(1-$BH$5))*BJ10</f>
        <v>63.085497450492127</v>
      </c>
      <c r="BQ10" s="463">
        <f>BL10+BM10+BP10</f>
        <v>311.22178742242784</v>
      </c>
      <c r="BR10" s="741">
        <f>BQ10/(BI10/(1-$BH$5))*1000</f>
        <v>14004.980434009252</v>
      </c>
      <c r="BS10" s="519">
        <f>N69</f>
        <v>14004.980434009252</v>
      </c>
      <c r="BT10" s="463">
        <f>Q69</f>
        <v>10049.519743863397</v>
      </c>
      <c r="BU10" s="484">
        <f>S69</f>
        <v>2554.9626467449307</v>
      </c>
      <c r="BV10" s="463">
        <f>R69</f>
        <v>1400.4980434009249</v>
      </c>
      <c r="BW10" s="823" t="str">
        <f>LEFT($BW$2,3)&amp;" "&amp;RIGHT(BK10,2)&amp;"_"&amp;RIGHT($BW$2,3)</f>
        <v>Vảy B4_ A0</v>
      </c>
      <c r="BX10" s="823"/>
      <c r="BY10" s="824" t="s">
        <v>871</v>
      </c>
      <c r="BZ10" s="825">
        <f>BS10/BX9</f>
        <v>16042.360176413806</v>
      </c>
      <c r="CA10" s="825">
        <f>Z68</f>
        <v>11511.47736983207</v>
      </c>
      <c r="CB10" s="825">
        <f>AB68</f>
        <v>2926.6467889403557</v>
      </c>
      <c r="CC10" s="826">
        <f>CC6</f>
        <v>1864.9499828812825</v>
      </c>
      <c r="CD10" s="825">
        <f>-AA73</f>
        <v>-673.19999999999993</v>
      </c>
      <c r="CE10" s="826">
        <f>AA68</f>
        <v>1604.2360176413802</v>
      </c>
      <c r="CF10" s="827"/>
      <c r="CG10" s="828">
        <f t="shared" si="25"/>
        <v>17234.110159295087</v>
      </c>
      <c r="CH10" s="842" t="str">
        <f>LEFT($CH$2,3)&amp;" "&amp;RIGHT(BK10,2)&amp;"_"&amp;RIGHT($CH$2,3)&amp;" DT"</f>
        <v>Vảy B4_ A1 DT</v>
      </c>
      <c r="CI10" s="842"/>
      <c r="CJ10" s="843" t="s">
        <v>871</v>
      </c>
      <c r="CK10" s="530">
        <f>BZ10/CI9</f>
        <v>18106.501327780818</v>
      </c>
      <c r="CL10" s="530">
        <f>AH68</f>
        <v>12992.638114934616</v>
      </c>
      <c r="CM10" s="530">
        <f>AJ68</f>
        <v>3303.2130800681216</v>
      </c>
      <c r="CN10" s="530">
        <f>+CC10/$CI$9</f>
        <v>2104.9096872249238</v>
      </c>
      <c r="CO10" s="530">
        <f>CO6</f>
        <v>1273.8558498087386</v>
      </c>
      <c r="CP10" s="530">
        <f t="shared" si="43"/>
        <v>-673.19999999999993</v>
      </c>
      <c r="CQ10" s="530">
        <f>-AI74</f>
        <v>-453</v>
      </c>
      <c r="CR10" s="530">
        <f>AI68</f>
        <v>1810.6501327780813</v>
      </c>
      <c r="CS10" s="284"/>
      <c r="CT10" s="844">
        <f t="shared" si="45"/>
        <v>20359.066864814486</v>
      </c>
      <c r="CU10" s="529">
        <f t="shared" si="26"/>
        <v>768.26667414394285</v>
      </c>
      <c r="CV10" s="845">
        <f t="shared" si="27"/>
        <v>838.26667414394285</v>
      </c>
      <c r="CW10" s="846">
        <f>CV10/$CV$12</f>
        <v>1.0466495968566818</v>
      </c>
      <c r="CX10" s="847"/>
      <c r="CY10" s="848" t="str">
        <f>LEFT($CH$2,3)&amp;" "&amp;RIGHT($BK$6,2)&amp;"_"&amp;"A"&amp;"2.2"&amp;" DT"</f>
        <v>Vảy B1_A2.2 DT</v>
      </c>
      <c r="CZ10" s="849"/>
      <c r="DA10" s="843" t="s">
        <v>871</v>
      </c>
      <c r="DB10" s="529">
        <f>DB6*$CZ$11</f>
        <v>12742.902067331595</v>
      </c>
      <c r="DC10" s="529">
        <f t="shared" ref="DC10:DI10" si="89">DC6*$CZ$11</f>
        <v>9143.8932402068604</v>
      </c>
      <c r="DD10" s="529">
        <f t="shared" si="89"/>
        <v>2324.7186203915744</v>
      </c>
      <c r="DE10" s="529">
        <f t="shared" ref="DE10" si="90">DE6*$CZ$11</f>
        <v>1206.5239142332903</v>
      </c>
      <c r="DF10" s="529">
        <f>DF6*$CZ$11</f>
        <v>764.31350988524321</v>
      </c>
      <c r="DG10" s="529">
        <f>DG6*$CZ$11</f>
        <v>-419.95757105323491</v>
      </c>
      <c r="DH10" s="529">
        <f t="shared" si="89"/>
        <v>-187.87042571793663</v>
      </c>
      <c r="DI10" s="529">
        <f t="shared" si="89"/>
        <v>1274.2902067331593</v>
      </c>
      <c r="DJ10" s="284"/>
      <c r="DK10" s="844">
        <f t="shared" si="29"/>
        <v>14105.911494678956</v>
      </c>
      <c r="DL10" s="529">
        <f t="shared" si="30"/>
        <v>532.29854696901725</v>
      </c>
      <c r="DM10" s="845">
        <f t="shared" si="47"/>
        <v>602.29854696901725</v>
      </c>
      <c r="DN10" s="846">
        <f>DM10/$DM$12</f>
        <v>1.1727404841653071</v>
      </c>
      <c r="DO10" s="847"/>
      <c r="DQ10" s="491" t="str">
        <f>DQ8</f>
        <v>100%B1.A1,A2</v>
      </c>
      <c r="DR10" s="776" t="str">
        <f>BC11</f>
        <v>Hạt rPET WSS01G</v>
      </c>
      <c r="DS10" s="764"/>
      <c r="DT10" s="773" t="s">
        <v>871</v>
      </c>
      <c r="DU10" s="480">
        <f>AZ11</f>
        <v>21032.594021091794</v>
      </c>
      <c r="DV10" s="480">
        <f>DV$6/$DU$6*$DU10</f>
        <v>15092.307331351003</v>
      </c>
      <c r="DW10" s="480">
        <f>DW$6/$DU$6*$DU10</f>
        <v>7089.9616038520562</v>
      </c>
      <c r="DX10" s="480">
        <f t="shared" ref="DX10:DY10" si="91">DX$6/$DU$6*$DU10</f>
        <v>-693.15427925093661</v>
      </c>
      <c r="DY10" s="480">
        <f t="shared" si="91"/>
        <v>-310.08653851504329</v>
      </c>
      <c r="DZ10" s="480">
        <f>DZ6</f>
        <v>-321.81131370545882</v>
      </c>
      <c r="EA10" s="480">
        <f>EA$6/$DU$6*$DU10</f>
        <v>2103.2594021091791</v>
      </c>
      <c r="EB10" s="480">
        <f>EB8</f>
        <v>2000.939404729972</v>
      </c>
      <c r="EC10" s="480">
        <f>EC4</f>
        <v>1376.0623421472308</v>
      </c>
      <c r="ED10" s="480"/>
      <c r="EE10" s="569">
        <f t="shared" si="49"/>
        <v>26337.477952718004</v>
      </c>
      <c r="EF10" s="453">
        <f>EF6</f>
        <v>23509.852491131598</v>
      </c>
      <c r="EG10" s="569">
        <f t="shared" si="50"/>
        <v>993.86709255539631</v>
      </c>
      <c r="EI10" s="479">
        <f>EI6</f>
        <v>2173</v>
      </c>
      <c r="EJ10" s="479">
        <f t="shared" ref="EJ10:EK11" si="92">EJ6</f>
        <v>1166</v>
      </c>
      <c r="EK10" s="479">
        <f t="shared" si="92"/>
        <v>371</v>
      </c>
      <c r="EL10" s="480">
        <f t="shared" si="31"/>
        <v>3710</v>
      </c>
      <c r="EM10" s="480">
        <f t="shared" si="52"/>
        <v>30047.477952718004</v>
      </c>
      <c r="EN10" s="520">
        <f t="shared" si="53"/>
        <v>1133.8670925553963</v>
      </c>
      <c r="EO10" s="730">
        <v>50</v>
      </c>
      <c r="EP10" s="730">
        <f t="shared" si="32"/>
        <v>1183.8670925553963</v>
      </c>
      <c r="ER10" s="730">
        <f t="shared" si="75"/>
        <v>598.88734347127343</v>
      </c>
      <c r="ES10" s="730">
        <f t="shared" si="54"/>
        <v>534.979749084123</v>
      </c>
      <c r="ET10" s="730">
        <f t="shared" si="55"/>
        <v>50</v>
      </c>
      <c r="EU10" s="520">
        <f t="shared" si="56"/>
        <v>1183.8670925553965</v>
      </c>
      <c r="EV10" s="463"/>
      <c r="EW10" s="730">
        <f t="shared" si="33"/>
        <v>15870.514601988745</v>
      </c>
      <c r="EX10" s="730">
        <f t="shared" si="34"/>
        <v>14176.963350729258</v>
      </c>
      <c r="EY10" s="730">
        <f t="shared" si="57"/>
        <v>1325</v>
      </c>
      <c r="EZ10" s="520">
        <f t="shared" si="58"/>
        <v>31372.477952718004</v>
      </c>
      <c r="FB10" s="730">
        <f t="shared" si="35"/>
        <v>569.52103137173594</v>
      </c>
      <c r="FC10" s="730">
        <f t="shared" si="36"/>
        <v>29.366312099537371</v>
      </c>
      <c r="FD10" s="730">
        <f t="shared" si="59"/>
        <v>394.97974908412294</v>
      </c>
      <c r="FE10" s="730">
        <f t="shared" si="37"/>
        <v>140</v>
      </c>
      <c r="FF10" s="730">
        <f t="shared" si="60"/>
        <v>50</v>
      </c>
      <c r="FG10" s="520">
        <f>SUM(FB10:FF10)</f>
        <v>1183.8670925553963</v>
      </c>
      <c r="FH10" s="732">
        <f t="shared" si="76"/>
        <v>0</v>
      </c>
      <c r="FI10" s="730">
        <f t="shared" si="62"/>
        <v>15092.307331351003</v>
      </c>
      <c r="FJ10" s="730">
        <f t="shared" si="38"/>
        <v>778.20727063774029</v>
      </c>
      <c r="FK10" s="730">
        <f t="shared" si="39"/>
        <v>10466.963350729258</v>
      </c>
      <c r="FL10" s="730">
        <f t="shared" si="40"/>
        <v>3710</v>
      </c>
      <c r="FM10" s="730">
        <f t="shared" si="63"/>
        <v>1325</v>
      </c>
      <c r="FN10" s="520">
        <f t="shared" si="64"/>
        <v>31372.477952718</v>
      </c>
      <c r="FO10" s="463">
        <f t="shared" si="65"/>
        <v>0</v>
      </c>
      <c r="FP10" s="525">
        <f>(FF10+FE10)/FG10</f>
        <v>0.1604909885533535</v>
      </c>
      <c r="FQ10" s="525">
        <f t="shared" si="41"/>
        <v>4.2234470671935129E-2</v>
      </c>
      <c r="FS10" s="520">
        <f>'Hảo_R&amp;D (Vảy sạch) (-PS)'!DN4</f>
        <v>1380</v>
      </c>
      <c r="FT10" s="479">
        <f>FS10-SUM(FB10:FD10)</f>
        <v>386.13290744460369</v>
      </c>
      <c r="FU10" s="913">
        <f>FT10/FS10</f>
        <v>0.27980645467000265</v>
      </c>
      <c r="FV10" s="295">
        <f t="shared" si="78"/>
        <v>196.13290744460369</v>
      </c>
      <c r="FW10" s="281">
        <f t="shared" si="79"/>
        <v>0.14212529524971282</v>
      </c>
      <c r="FY10" s="340" t="str">
        <f t="shared" si="68"/>
        <v>Hạt rPET WSS01G</v>
      </c>
      <c r="FZ10" s="859">
        <v>1350</v>
      </c>
      <c r="GA10" s="295">
        <f>FZ10-EN10</f>
        <v>216.13290744460369</v>
      </c>
      <c r="GB10" s="296">
        <f>GA10/FZ10</f>
        <v>0.16009844995896569</v>
      </c>
      <c r="GC10" s="453">
        <f>1470-55-1470*5%</f>
        <v>1341.5</v>
      </c>
      <c r="GD10" s="859">
        <f>GC10</f>
        <v>1341.5</v>
      </c>
      <c r="GE10" s="295">
        <f>GD10-EN10</f>
        <v>207.63290744460369</v>
      </c>
      <c r="GF10" s="296">
        <f>GE10/GD10</f>
        <v>0.15477667345851934</v>
      </c>
      <c r="GH10" s="859">
        <v>1350</v>
      </c>
      <c r="GI10" s="295">
        <f>GH10-EN10</f>
        <v>216.13290744460369</v>
      </c>
      <c r="GJ10" s="296">
        <f>GI10/GH10</f>
        <v>0.16009844995896569</v>
      </c>
      <c r="GL10" s="859">
        <v>1350</v>
      </c>
      <c r="GM10" s="295">
        <f>GL10-ER10</f>
        <v>751.11265652872657</v>
      </c>
      <c r="GN10" s="296">
        <f>GM10/GL10</f>
        <v>0.55637974557683445</v>
      </c>
    </row>
    <row r="11" spans="4:196" ht="15.75" customHeight="1" x14ac:dyDescent="0.35">
      <c r="K11" s="353"/>
      <c r="V11" s="343"/>
      <c r="X11" s="342"/>
      <c r="Z11" s="353"/>
      <c r="AG11" s="672">
        <f>$AI$5*AL11</f>
        <v>12555.031641613657</v>
      </c>
      <c r="AH11" s="357">
        <v>0.29600174860447914</v>
      </c>
      <c r="AI11" s="1003" t="s">
        <v>702</v>
      </c>
      <c r="AJ11" s="1011" t="s">
        <v>561</v>
      </c>
      <c r="AK11" s="1012"/>
      <c r="AL11" s="521">
        <f>AI11/$AI$7</f>
        <v>0.6</v>
      </c>
      <c r="AS11" s="358"/>
      <c r="AT11" s="1029" t="s">
        <v>562</v>
      </c>
      <c r="AU11" s="1030"/>
      <c r="AV11" s="359"/>
      <c r="AW11" s="359"/>
      <c r="AX11" s="1019" t="s">
        <v>563</v>
      </c>
      <c r="AY11" s="1020"/>
      <c r="AZ11" s="467">
        <f>$AZ$6/$BB$6*BB11</f>
        <v>21032.594021091794</v>
      </c>
      <c r="BA11" s="348">
        <v>0</v>
      </c>
      <c r="BB11" s="449">
        <f>'Hảo_R&amp;D (Vảy sạch)'!BH4</f>
        <v>1.0642201834862386</v>
      </c>
      <c r="BC11" s="422" t="s">
        <v>564</v>
      </c>
      <c r="BD11" s="423"/>
      <c r="BH11" s="344"/>
      <c r="BL11" s="463"/>
      <c r="BM11" s="453"/>
      <c r="BN11" s="453"/>
      <c r="BO11" s="453"/>
      <c r="BS11" s="414"/>
      <c r="BU11" s="343"/>
      <c r="BW11" s="752"/>
      <c r="BX11" s="387">
        <f>$Z95</f>
        <v>0.89880000000000004</v>
      </c>
      <c r="BY11" s="768" t="s">
        <v>872</v>
      </c>
      <c r="BZ11" s="484">
        <f>BZ10</f>
        <v>16042.360176413806</v>
      </c>
      <c r="CA11" s="484">
        <f t="shared" ref="CA11" si="93">CA10</f>
        <v>11511.47736983207</v>
      </c>
      <c r="CB11" s="484">
        <f t="shared" ref="CB11" si="94">CB10</f>
        <v>2926.6467889403557</v>
      </c>
      <c r="CC11" s="484">
        <f>CC7</f>
        <v>3240.9192930660097</v>
      </c>
      <c r="CD11" s="484">
        <f t="shared" ref="CD11" si="95">CD10</f>
        <v>-673.19999999999993</v>
      </c>
      <c r="CE11" s="453">
        <f>CE10</f>
        <v>1604.2360176413802</v>
      </c>
      <c r="CG11" s="484">
        <f t="shared" si="25"/>
        <v>18610.079469479813</v>
      </c>
      <c r="CH11" s="764"/>
      <c r="CI11" s="387">
        <f>AH95</f>
        <v>0.91300000000000003</v>
      </c>
      <c r="CJ11" s="768" t="s">
        <v>872</v>
      </c>
      <c r="CK11" s="453">
        <f t="shared" ref="CK11:CR11" si="96">CK10</f>
        <v>18106.501327780818</v>
      </c>
      <c r="CL11" s="453">
        <f t="shared" si="96"/>
        <v>12992.638114934616</v>
      </c>
      <c r="CM11" s="456">
        <f>AJ68</f>
        <v>3303.2130800681216</v>
      </c>
      <c r="CN11" s="484">
        <f>+CC11/$CI$9</f>
        <v>3657.9224526704397</v>
      </c>
      <c r="CO11" s="484">
        <f>CO7</f>
        <v>2013.5603276057439</v>
      </c>
      <c r="CP11" s="453">
        <f t="shared" si="43"/>
        <v>-673.19999999999993</v>
      </c>
      <c r="CQ11" s="453">
        <f t="shared" si="96"/>
        <v>-453</v>
      </c>
      <c r="CR11" s="453">
        <f t="shared" si="96"/>
        <v>1810.6501327780813</v>
      </c>
      <c r="CT11" s="727">
        <f t="shared" si="45"/>
        <v>22651.784108057003</v>
      </c>
      <c r="CU11" s="453">
        <f t="shared" si="26"/>
        <v>854.78430596441524</v>
      </c>
      <c r="CV11" s="476">
        <f t="shared" si="27"/>
        <v>924.78430596441524</v>
      </c>
      <c r="CW11" s="340"/>
      <c r="CX11" s="532"/>
      <c r="CY11" s="465"/>
      <c r="CZ11" s="387">
        <v>0.6</v>
      </c>
      <c r="DA11" s="768" t="s">
        <v>872</v>
      </c>
      <c r="DB11" s="453">
        <f>DB7*$CZ$11</f>
        <v>12742.902067331595</v>
      </c>
      <c r="DC11" s="453">
        <f t="shared" ref="DC11:DI11" si="97">DC7*$CZ$11</f>
        <v>9143.8932402068604</v>
      </c>
      <c r="DD11" s="456">
        <f t="shared" si="97"/>
        <v>2324.7186203915744</v>
      </c>
      <c r="DE11" s="456">
        <f t="shared" ref="DE11" si="98">DE7*$CZ$11</f>
        <v>2096.703218358165</v>
      </c>
      <c r="DF11" s="456">
        <f>DF7*$CZ$11</f>
        <v>1208.1361965634462</v>
      </c>
      <c r="DG11" s="456">
        <f>DG7*$CZ$11</f>
        <v>-419.95757105323491</v>
      </c>
      <c r="DH11" s="453">
        <f t="shared" si="97"/>
        <v>-187.87042571793663</v>
      </c>
      <c r="DI11" s="453">
        <f t="shared" si="97"/>
        <v>1274.2902067331593</v>
      </c>
      <c r="DK11" s="727">
        <f t="shared" si="29"/>
        <v>15439.913485482033</v>
      </c>
      <c r="DL11" s="453">
        <f t="shared" si="30"/>
        <v>582.63824473517104</v>
      </c>
      <c r="DM11" s="476">
        <f t="shared" si="47"/>
        <v>652.63824473517104</v>
      </c>
      <c r="DO11" s="532"/>
      <c r="DQ11" s="489"/>
      <c r="DR11" s="553"/>
      <c r="DS11" s="387"/>
      <c r="DT11" s="768" t="s">
        <v>872</v>
      </c>
      <c r="DU11" s="479">
        <f>DU10</f>
        <v>21032.594021091794</v>
      </c>
      <c r="DV11" s="480">
        <f>DV$7/$DU$7*$DU11</f>
        <v>15092.307331351003</v>
      </c>
      <c r="DW11" s="480">
        <f>DW$7/$DU$7*$DU11</f>
        <v>9291.7773399879534</v>
      </c>
      <c r="DX11" s="480">
        <f t="shared" ref="DX11:DY11" si="99">DX$7/$DU$7*$DU11</f>
        <v>-693.15427925093661</v>
      </c>
      <c r="DY11" s="480">
        <f t="shared" si="99"/>
        <v>-310.08653851504329</v>
      </c>
      <c r="DZ11" s="480">
        <f t="shared" ref="DZ11:EA11" si="100">DZ10</f>
        <v>-321.81131370545882</v>
      </c>
      <c r="EA11" s="480">
        <f t="shared" si="100"/>
        <v>2103.2594021091791</v>
      </c>
      <c r="EB11" s="480">
        <f t="shared" si="73"/>
        <v>2796.8565141477497</v>
      </c>
      <c r="EC11" s="480">
        <f>EC5</f>
        <v>2064.9528218457522</v>
      </c>
      <c r="ED11" s="480"/>
      <c r="EE11" s="480">
        <f t="shared" si="49"/>
        <v>30024.1012779702</v>
      </c>
      <c r="EF11" s="463">
        <f>EE12-EF12</f>
        <v>2225.4973360808945</v>
      </c>
      <c r="EG11" s="735">
        <f t="shared" si="50"/>
        <v>1132.9849538856679</v>
      </c>
      <c r="EH11" s="480"/>
      <c r="EI11" s="480">
        <f>EI7</f>
        <v>2173</v>
      </c>
      <c r="EJ11" s="480">
        <f t="shared" si="92"/>
        <v>1166</v>
      </c>
      <c r="EK11" s="480">
        <f t="shared" si="92"/>
        <v>371</v>
      </c>
      <c r="EL11" s="480">
        <f t="shared" si="31"/>
        <v>3710</v>
      </c>
      <c r="EM11" s="480">
        <f t="shared" si="52"/>
        <v>33734.1012779702</v>
      </c>
      <c r="EN11" s="735">
        <f t="shared" si="53"/>
        <v>1272.9849538856679</v>
      </c>
      <c r="EO11" s="735">
        <v>50</v>
      </c>
      <c r="EP11" s="735">
        <f t="shared" si="32"/>
        <v>1322.9849538856679</v>
      </c>
      <c r="EQ11" s="473"/>
      <c r="ER11" s="735">
        <f t="shared" si="75"/>
        <v>598.88734347127343</v>
      </c>
      <c r="ES11" s="735">
        <f t="shared" si="54"/>
        <v>674.09761041439458</v>
      </c>
      <c r="ET11" s="735">
        <f t="shared" si="55"/>
        <v>50</v>
      </c>
      <c r="EU11" s="735">
        <f t="shared" si="56"/>
        <v>1322.9849538856679</v>
      </c>
      <c r="EW11" s="735">
        <f t="shared" si="33"/>
        <v>15870.514601988745</v>
      </c>
      <c r="EX11" s="735">
        <f t="shared" si="34"/>
        <v>17863.586675981456</v>
      </c>
      <c r="EY11" s="735">
        <f t="shared" si="57"/>
        <v>1325</v>
      </c>
      <c r="EZ11" s="735">
        <f t="shared" si="58"/>
        <v>35059.1012779702</v>
      </c>
      <c r="FB11" s="735">
        <f t="shared" si="35"/>
        <v>569.52103137173594</v>
      </c>
      <c r="FC11" s="735">
        <f t="shared" si="36"/>
        <v>29.366312099537371</v>
      </c>
      <c r="FD11" s="735">
        <f t="shared" si="59"/>
        <v>534.09761041439458</v>
      </c>
      <c r="FE11" s="735">
        <f t="shared" si="37"/>
        <v>140</v>
      </c>
      <c r="FF11" s="735">
        <f t="shared" si="60"/>
        <v>50</v>
      </c>
      <c r="FG11" s="735">
        <f t="shared" si="61"/>
        <v>1322.9849538856679</v>
      </c>
      <c r="FH11" s="732">
        <f t="shared" si="76"/>
        <v>0</v>
      </c>
      <c r="FI11" s="735">
        <f t="shared" si="62"/>
        <v>15092.307331351003</v>
      </c>
      <c r="FJ11" s="735">
        <f t="shared" si="38"/>
        <v>778.20727063774029</v>
      </c>
      <c r="FK11" s="735">
        <f t="shared" si="39"/>
        <v>14153.586675981456</v>
      </c>
      <c r="FL11" s="735">
        <f t="shared" si="40"/>
        <v>3710</v>
      </c>
      <c r="FM11" s="735">
        <f t="shared" si="63"/>
        <v>1325</v>
      </c>
      <c r="FN11" s="735">
        <f t="shared" si="64"/>
        <v>35059.1012779702</v>
      </c>
      <c r="FO11" s="463">
        <f t="shared" si="65"/>
        <v>0</v>
      </c>
      <c r="FP11" s="958">
        <f t="shared" si="77"/>
        <v>0.14361463404550537</v>
      </c>
      <c r="FQ11" s="958">
        <f t="shared" si="41"/>
        <v>3.7793324748817206E-2</v>
      </c>
      <c r="FS11" s="734">
        <f>FS10</f>
        <v>1380</v>
      </c>
      <c r="FT11" s="478">
        <f t="shared" si="66"/>
        <v>247.01504611433211</v>
      </c>
      <c r="FU11" s="971">
        <f t="shared" si="67"/>
        <v>0.1789964102277769</v>
      </c>
      <c r="FV11" s="796">
        <f t="shared" si="78"/>
        <v>57.015046114332108</v>
      </c>
      <c r="FW11" s="985">
        <f t="shared" si="79"/>
        <v>4.1315250807487033E-2</v>
      </c>
      <c r="FY11" s="340">
        <f t="shared" si="68"/>
        <v>0</v>
      </c>
      <c r="FZ11" s="960"/>
      <c r="GA11" s="796"/>
      <c r="GB11" s="959"/>
      <c r="GD11" s="960">
        <v>1221</v>
      </c>
      <c r="GE11" s="796"/>
      <c r="GF11" s="959"/>
      <c r="GH11" s="960"/>
      <c r="GI11" s="796"/>
      <c r="GJ11" s="959"/>
      <c r="GL11" s="960"/>
      <c r="GM11" s="796"/>
      <c r="GN11" s="959"/>
    </row>
    <row r="12" spans="4:196" x14ac:dyDescent="0.35">
      <c r="K12" s="353"/>
      <c r="V12" s="343"/>
      <c r="Z12" s="390">
        <f>SUM(Z13:Z27)</f>
        <v>8.5635161543429192E-2</v>
      </c>
      <c r="AA12" s="563">
        <f>SUM(AA13:AA27)</f>
        <v>699.9292850887249</v>
      </c>
      <c r="AH12" s="360"/>
      <c r="AI12" s="1004"/>
      <c r="AJ12" s="1013"/>
      <c r="AK12" s="1014"/>
      <c r="AS12" s="353"/>
      <c r="AT12" s="1031"/>
      <c r="AU12" s="1032"/>
      <c r="AV12" s="349"/>
      <c r="AW12" s="349"/>
      <c r="AX12" s="1021"/>
      <c r="AY12" s="1022"/>
      <c r="AZ12" s="463">
        <f>$AZ$13-$BA$5</f>
        <v>-1565.5269473650405</v>
      </c>
      <c r="BA12" s="361"/>
      <c r="BB12" s="361"/>
      <c r="BC12" s="424"/>
      <c r="BD12" s="425"/>
      <c r="BH12" s="344">
        <f>V96</f>
        <v>0.02</v>
      </c>
      <c r="BI12" s="340">
        <v>20</v>
      </c>
      <c r="BJ12" s="342">
        <f>'Giá mua Chai-Vảy (Giá giảm)'!G17</f>
        <v>2.2222222222222223E-2</v>
      </c>
      <c r="BK12" s="340" t="str">
        <f>N96</f>
        <v>Chai B5</v>
      </c>
      <c r="BL12" s="453">
        <f>BJ12*$BH$4/(1-$BH$5)-BM12</f>
        <v>262.22222222222223</v>
      </c>
      <c r="BM12" s="453">
        <f>BJ12*$BH$4*$BH$5/(1-$BH$5)</f>
        <v>29.135802469135804</v>
      </c>
      <c r="BN12" s="739">
        <f>BL12+BM12</f>
        <v>291.35802469135803</v>
      </c>
      <c r="BO12" s="739">
        <f>BN12/(BI12/(1-$BH$5))*1000</f>
        <v>13111.111111111113</v>
      </c>
      <c r="BP12" s="741">
        <f>($BJ$5+$BJ$5*$BH$5/(1-$BH$5))*BJ12</f>
        <v>74.074074074074076</v>
      </c>
      <c r="BQ12" s="463">
        <f>BL12+BM12+BP12</f>
        <v>365.4320987654321</v>
      </c>
      <c r="BR12" s="741">
        <f>BQ12/(BI12/(1-$BH$5))*1000</f>
        <v>16444.444444444445</v>
      </c>
      <c r="BS12" s="519">
        <f>N94</f>
        <v>14004.980434009252</v>
      </c>
      <c r="BT12" s="463">
        <f>Q94</f>
        <v>10049.519743863397</v>
      </c>
      <c r="BU12" s="484">
        <f>S94</f>
        <v>2554.9626467449307</v>
      </c>
      <c r="BV12" s="463">
        <f>R94</f>
        <v>1400.4980434009249</v>
      </c>
      <c r="BW12" s="730" t="str">
        <f>LEFT($BW$2,3)&amp;" "&amp;RIGHT(BK12,2)&amp;"_"&amp;RIGHT($BW$2,3)</f>
        <v>Vảy B5_ A0</v>
      </c>
      <c r="BX12" s="730"/>
      <c r="BY12" s="803" t="s">
        <v>871</v>
      </c>
      <c r="BZ12" s="829">
        <f>BS12/BX11</f>
        <v>15581.865191376559</v>
      </c>
      <c r="CA12" s="829">
        <f>Z93</f>
        <v>11181.041103541829</v>
      </c>
      <c r="CB12" s="829">
        <f>AB93</f>
        <v>2842.6375686970746</v>
      </c>
      <c r="CC12" s="479">
        <f>CC8</f>
        <v>1864.9499828812825</v>
      </c>
      <c r="CD12" s="829">
        <f>-AA101</f>
        <v>-479.05615653759764</v>
      </c>
      <c r="CE12" s="479">
        <f>AA93</f>
        <v>1558.1865191376555</v>
      </c>
      <c r="CF12" s="294"/>
      <c r="CG12" s="830">
        <f t="shared" si="25"/>
        <v>16967.759017720244</v>
      </c>
      <c r="CH12" s="850" t="str">
        <f>LEFT($CH$2,3)&amp;" "&amp;RIGHT(BK12,2)&amp;"_"&amp;RIGHT($CH$2,3)&amp;" DT"</f>
        <v>Vảy B5_ A1 DT</v>
      </c>
      <c r="CI12" s="850"/>
      <c r="CJ12" s="803" t="s">
        <v>871</v>
      </c>
      <c r="CK12" s="479">
        <f>BZ12/CI11</f>
        <v>17066.665050795793</v>
      </c>
      <c r="CL12" s="479">
        <f>AH93</f>
        <v>12246.485326989954</v>
      </c>
      <c r="CM12" s="479">
        <f>AJ93</f>
        <v>3113.5132187262589</v>
      </c>
      <c r="CN12" s="479">
        <f>+CC12/$CI$11</f>
        <v>2042.6615365621933</v>
      </c>
      <c r="CO12" s="479">
        <f>CO8</f>
        <v>1273.8558498087386</v>
      </c>
      <c r="CP12" s="479">
        <f>CD12/$CI$11</f>
        <v>-524.70553837633918</v>
      </c>
      <c r="CQ12" s="479">
        <f>-AI103</f>
        <v>-489.5</v>
      </c>
      <c r="CR12" s="479">
        <f>AI93</f>
        <v>1706.6665050795789</v>
      </c>
      <c r="CS12" s="294"/>
      <c r="CT12" s="730">
        <f t="shared" si="45"/>
        <v>19368.976898790384</v>
      </c>
      <c r="CU12" s="480">
        <f t="shared" si="26"/>
        <v>730.90478863359942</v>
      </c>
      <c r="CV12" s="737">
        <f t="shared" si="27"/>
        <v>800.90478863359942</v>
      </c>
      <c r="CW12" s="851">
        <f>CV12/$CV$12</f>
        <v>1</v>
      </c>
      <c r="CX12" s="852"/>
      <c r="CY12" s="853" t="str">
        <f>LEFT($CH$2,3)&amp;" "&amp;RIGHT($BK$6,2)&amp;"_"&amp;"A"&amp;"3"&amp;" DT"</f>
        <v>Vảy B1_A3 DT</v>
      </c>
      <c r="CZ12" s="854"/>
      <c r="DA12" s="803" t="s">
        <v>871</v>
      </c>
      <c r="DB12" s="480">
        <f>DB6*$CZ$13</f>
        <v>10619.085056109663</v>
      </c>
      <c r="DC12" s="480">
        <f t="shared" ref="DC12:DI12" si="101">DC6*$CZ$13</f>
        <v>7619.9110335057176</v>
      </c>
      <c r="DD12" s="480">
        <f t="shared" si="101"/>
        <v>1937.2655169929787</v>
      </c>
      <c r="DE12" s="480">
        <f t="shared" ref="DE12" si="102">DE6*$CZ$13</f>
        <v>1005.4365951944086</v>
      </c>
      <c r="DF12" s="480">
        <f>DF6*$CZ$13</f>
        <v>636.92792490436932</v>
      </c>
      <c r="DG12" s="480">
        <f>DG6*$CZ$13</f>
        <v>-349.96464254436245</v>
      </c>
      <c r="DH12" s="480">
        <f t="shared" si="101"/>
        <v>-156.55868809828053</v>
      </c>
      <c r="DI12" s="480">
        <f t="shared" si="101"/>
        <v>1061.9085056109661</v>
      </c>
      <c r="DJ12" s="294"/>
      <c r="DK12" s="730">
        <f t="shared" si="29"/>
        <v>11754.926245565799</v>
      </c>
      <c r="DL12" s="480">
        <f t="shared" si="30"/>
        <v>443.58212247418112</v>
      </c>
      <c r="DM12" s="737">
        <f t="shared" si="47"/>
        <v>513.58212247418112</v>
      </c>
      <c r="DN12" s="851">
        <f>DM12/$DM$12</f>
        <v>1</v>
      </c>
      <c r="DO12" s="532"/>
      <c r="DQ12" s="489" t="str">
        <f>DQ10</f>
        <v>100%B1.A1,A2</v>
      </c>
      <c r="DR12" s="777" t="str">
        <f>BC13</f>
        <v>Hạt rPET WSS03G</v>
      </c>
      <c r="DS12" s="764"/>
      <c r="DT12" s="773" t="s">
        <v>871</v>
      </c>
      <c r="DU12" s="475">
        <f>AZ13</f>
        <v>20488.647623994591</v>
      </c>
      <c r="DV12" s="475">
        <f>DV$6/$DU$6*$DU12</f>
        <v>14701.989038298821</v>
      </c>
      <c r="DW12" s="475">
        <f>DW$6/$DU$6*$DU12</f>
        <v>6906.6005278903649</v>
      </c>
      <c r="DX12" s="475">
        <f t="shared" ref="DX12:DY12" si="103">DX$6/$DU$6*$DU12</f>
        <v>-675.22787547720543</v>
      </c>
      <c r="DY12" s="475">
        <f t="shared" si="103"/>
        <v>-302.06705907068869</v>
      </c>
      <c r="DZ12" s="475">
        <f>DZ6</f>
        <v>-321.81131370545882</v>
      </c>
      <c r="EA12" s="475">
        <f>EA$6/$DU$6*$DU12</f>
        <v>2048.8647623994589</v>
      </c>
      <c r="EB12" s="475">
        <f t="shared" si="73"/>
        <v>2000.939404729972</v>
      </c>
      <c r="EC12" s="475">
        <f>EC4</f>
        <v>1376.0623421472308</v>
      </c>
      <c r="ED12" s="475"/>
      <c r="EE12" s="475">
        <f t="shared" si="49"/>
        <v>25735.349827212493</v>
      </c>
      <c r="EF12" s="453">
        <f>EF6</f>
        <v>23509.852491131598</v>
      </c>
      <c r="EG12" s="475">
        <f t="shared" si="50"/>
        <v>971.14527649858462</v>
      </c>
      <c r="EI12" s="474">
        <f>EI6</f>
        <v>2173</v>
      </c>
      <c r="EJ12" s="474">
        <f t="shared" ref="EJ12:EK13" si="104">EJ6</f>
        <v>1166</v>
      </c>
      <c r="EK12" s="474">
        <f t="shared" si="104"/>
        <v>371</v>
      </c>
      <c r="EL12" s="475">
        <f t="shared" si="31"/>
        <v>3710</v>
      </c>
      <c r="EM12" s="475">
        <f t="shared" si="52"/>
        <v>29445.349827212493</v>
      </c>
      <c r="EN12" s="474">
        <f t="shared" si="53"/>
        <v>1111.1452764985847</v>
      </c>
      <c r="EO12" s="731">
        <v>50</v>
      </c>
      <c r="EP12" s="731">
        <f t="shared" si="32"/>
        <v>1161.1452764985847</v>
      </c>
      <c r="ER12" s="731">
        <f t="shared" si="75"/>
        <v>583.08481329980862</v>
      </c>
      <c r="ES12" s="731">
        <f t="shared" si="54"/>
        <v>528.06046319877612</v>
      </c>
      <c r="ET12" s="731">
        <f t="shared" si="55"/>
        <v>50</v>
      </c>
      <c r="EU12" s="731">
        <f t="shared" si="56"/>
        <v>1161.1452764985847</v>
      </c>
      <c r="EW12" s="731">
        <f t="shared" si="33"/>
        <v>15451.747552444929</v>
      </c>
      <c r="EX12" s="731">
        <f t="shared" si="34"/>
        <v>13993.602274767567</v>
      </c>
      <c r="EY12" s="731">
        <f t="shared" si="57"/>
        <v>1325</v>
      </c>
      <c r="EZ12" s="731">
        <f t="shared" si="58"/>
        <v>30770.349827212496</v>
      </c>
      <c r="FB12" s="731">
        <f t="shared" si="35"/>
        <v>554.7920391810876</v>
      </c>
      <c r="FC12" s="731">
        <f t="shared" si="36"/>
        <v>28.292774118720978</v>
      </c>
      <c r="FD12" s="731">
        <f t="shared" si="59"/>
        <v>388.06046319877612</v>
      </c>
      <c r="FE12" s="731">
        <f t="shared" si="37"/>
        <v>140</v>
      </c>
      <c r="FF12" s="731">
        <f t="shared" si="60"/>
        <v>50</v>
      </c>
      <c r="FG12" s="731">
        <f t="shared" si="61"/>
        <v>1161.1452764985847</v>
      </c>
      <c r="FH12" s="732">
        <f t="shared" si="76"/>
        <v>0</v>
      </c>
      <c r="FI12" s="731">
        <f t="shared" si="62"/>
        <v>14701.989038298821</v>
      </c>
      <c r="FJ12" s="731">
        <f t="shared" si="38"/>
        <v>749.75851414610588</v>
      </c>
      <c r="FK12" s="731">
        <f t="shared" si="39"/>
        <v>10283.602274767567</v>
      </c>
      <c r="FL12" s="731">
        <f t="shared" si="40"/>
        <v>3710</v>
      </c>
      <c r="FM12" s="731">
        <f t="shared" si="63"/>
        <v>1325</v>
      </c>
      <c r="FN12" s="731">
        <f t="shared" si="64"/>
        <v>30770.349827212493</v>
      </c>
      <c r="FO12" s="463">
        <f t="shared" si="65"/>
        <v>0</v>
      </c>
      <c r="FP12" s="525">
        <f t="shared" si="77"/>
        <v>0.16363154882129996</v>
      </c>
      <c r="FQ12" s="525">
        <f t="shared" si="41"/>
        <v>4.3060933900342095E-2</v>
      </c>
      <c r="FS12" s="731">
        <f>'Hảo_R&amp;D (Vảy sạch) (-PS)'!DN5</f>
        <v>1310</v>
      </c>
      <c r="FT12" s="474">
        <f t="shared" si="66"/>
        <v>338.85472350141526</v>
      </c>
      <c r="FU12" s="957">
        <f t="shared" si="67"/>
        <v>0.25866772786367576</v>
      </c>
      <c r="FV12" s="797">
        <f t="shared" si="78"/>
        <v>148.85472350141526</v>
      </c>
      <c r="FW12" s="281">
        <f t="shared" si="79"/>
        <v>0.11362955992474448</v>
      </c>
      <c r="FY12" s="340" t="str">
        <f t="shared" si="68"/>
        <v>Hạt rPET WSS03G</v>
      </c>
      <c r="FZ12" s="860"/>
      <c r="GA12" s="797"/>
      <c r="GB12" s="296"/>
      <c r="GD12" s="860"/>
      <c r="GE12" s="797"/>
      <c r="GF12" s="296"/>
      <c r="GH12" s="860"/>
      <c r="GI12" s="797"/>
      <c r="GJ12" s="296"/>
      <c r="GL12" s="860"/>
      <c r="GM12" s="797"/>
      <c r="GN12" s="296"/>
    </row>
    <row r="13" spans="4:196" ht="19" customHeight="1" x14ac:dyDescent="0.35">
      <c r="K13" s="353"/>
      <c r="V13" s="343"/>
      <c r="X13" s="342"/>
      <c r="Y13" s="453">
        <v>10000</v>
      </c>
      <c r="Z13" s="362">
        <v>4.6699187812774122E-2</v>
      </c>
      <c r="AA13" s="1009">
        <f>Y13*Z13</f>
        <v>466.99187812774124</v>
      </c>
      <c r="AB13" s="1027" t="s">
        <v>565</v>
      </c>
      <c r="AC13" s="1012"/>
      <c r="AG13" s="672">
        <f>$AI$5*AI13</f>
        <v>10462.526368011382</v>
      </c>
      <c r="AH13" s="357">
        <v>6.3639114937117491E-2</v>
      </c>
      <c r="AI13" s="1003" t="s">
        <v>703</v>
      </c>
      <c r="AJ13" s="1011" t="s">
        <v>566</v>
      </c>
      <c r="AK13" s="1012"/>
      <c r="AL13" s="521">
        <f>AI13/$AI$7</f>
        <v>0.5</v>
      </c>
      <c r="AS13" s="353"/>
      <c r="AZ13" s="467">
        <f>$AZ$6/$BB$6*BB13</f>
        <v>20488.647623994591</v>
      </c>
      <c r="BA13" s="357">
        <v>3.3000000000000002E-2</v>
      </c>
      <c r="BB13" s="449">
        <f>'Hảo_R&amp;D (Vảy sạch)'!BH5</f>
        <v>1.036697247706422</v>
      </c>
      <c r="BC13" s="422" t="s">
        <v>567</v>
      </c>
      <c r="BD13" s="423"/>
      <c r="BL13" s="463"/>
      <c r="BM13" s="453"/>
      <c r="BN13" s="453"/>
      <c r="BO13" s="453"/>
      <c r="BS13" s="414"/>
      <c r="BU13" s="343"/>
      <c r="BW13" s="752"/>
      <c r="BX13" s="387">
        <f>$Z124</f>
        <v>0.84436654203297834</v>
      </c>
      <c r="BY13" s="768" t="s">
        <v>872</v>
      </c>
      <c r="BZ13" s="484">
        <f t="shared" ref="BZ13" si="105">BZ12</f>
        <v>15581.865191376559</v>
      </c>
      <c r="CA13" s="484">
        <f t="shared" ref="CA13" si="106">CA12</f>
        <v>11181.041103541829</v>
      </c>
      <c r="CB13" s="484">
        <f t="shared" ref="CB13" si="107">CB12</f>
        <v>2842.6375686970746</v>
      </c>
      <c r="CC13" s="484">
        <f>CC9</f>
        <v>3240.9192930660097</v>
      </c>
      <c r="CD13" s="484">
        <f t="shared" ref="CD13" si="108">CD12</f>
        <v>-479.05615653759764</v>
      </c>
      <c r="CE13" s="453">
        <f>CE12</f>
        <v>1558.1865191376555</v>
      </c>
      <c r="CG13" s="484">
        <f t="shared" si="25"/>
        <v>18343.728327904973</v>
      </c>
      <c r="CH13" s="764"/>
      <c r="CI13" s="387">
        <f>AH124</f>
        <v>0.92119999999999991</v>
      </c>
      <c r="CJ13" s="768" t="s">
        <v>872</v>
      </c>
      <c r="CK13" s="453">
        <f t="shared" ref="CK13:CR13" si="109">CK12</f>
        <v>17066.665050795793</v>
      </c>
      <c r="CL13" s="453">
        <f t="shared" si="109"/>
        <v>12246.485326989954</v>
      </c>
      <c r="CM13" s="456">
        <f>AJ93</f>
        <v>3113.5132187262589</v>
      </c>
      <c r="CN13" s="484">
        <f>+CC13/$CI$11</f>
        <v>3549.7473089441505</v>
      </c>
      <c r="CO13" s="484">
        <f>CO9</f>
        <v>2013.5603276057439</v>
      </c>
      <c r="CP13" s="453">
        <f>CD13</f>
        <v>-479.05615653759764</v>
      </c>
      <c r="CQ13" s="453">
        <f t="shared" si="109"/>
        <v>-489.5</v>
      </c>
      <c r="CR13" s="453">
        <f t="shared" si="109"/>
        <v>1706.6665050795789</v>
      </c>
      <c r="CT13" s="727">
        <f t="shared" si="45"/>
        <v>21661.416530808088</v>
      </c>
      <c r="CU13" s="453">
        <f t="shared" si="26"/>
        <v>817.41194455879577</v>
      </c>
      <c r="CV13" s="476">
        <f t="shared" si="27"/>
        <v>887.41194455879577</v>
      </c>
      <c r="CW13" s="340"/>
      <c r="CX13" s="532"/>
      <c r="CY13" s="465"/>
      <c r="CZ13" s="387">
        <v>0.5</v>
      </c>
      <c r="DA13" s="768" t="s">
        <v>872</v>
      </c>
      <c r="DB13" s="453">
        <f>DB7*$CZ$13</f>
        <v>10619.085056109663</v>
      </c>
      <c r="DC13" s="453">
        <f t="shared" ref="DC13:DI13" si="110">DC7*$CZ$13</f>
        <v>7619.9110335057176</v>
      </c>
      <c r="DD13" s="456">
        <f t="shared" si="110"/>
        <v>1937.2655169929787</v>
      </c>
      <c r="DE13" s="456">
        <f t="shared" ref="DE13" si="111">DE7*$CZ$13</f>
        <v>1747.2526819651378</v>
      </c>
      <c r="DF13" s="456">
        <f>DF7*$CZ$13</f>
        <v>1006.7801638028719</v>
      </c>
      <c r="DG13" s="456">
        <f>DG7*$CZ$13</f>
        <v>-349.96464254436245</v>
      </c>
      <c r="DH13" s="453">
        <f t="shared" si="110"/>
        <v>-156.55868809828053</v>
      </c>
      <c r="DI13" s="453">
        <f t="shared" si="110"/>
        <v>1061.9085056109661</v>
      </c>
      <c r="DK13" s="727">
        <f t="shared" si="29"/>
        <v>12866.594571235029</v>
      </c>
      <c r="DL13" s="453">
        <f t="shared" si="30"/>
        <v>485.53187061264259</v>
      </c>
      <c r="DM13" s="476">
        <f t="shared" si="47"/>
        <v>555.53187061264259</v>
      </c>
      <c r="DO13" s="532"/>
      <c r="DQ13" s="489"/>
      <c r="DR13" s="553"/>
      <c r="DS13" s="387"/>
      <c r="DT13" s="768" t="s">
        <v>872</v>
      </c>
      <c r="DU13" s="474">
        <f>DU12</f>
        <v>20488.647623994591</v>
      </c>
      <c r="DV13" s="475">
        <f>DV11/$DU$7*$DU13</f>
        <v>14020.972117752559</v>
      </c>
      <c r="DW13" s="475">
        <f>DW11/$DU$7*$DU13</f>
        <v>8632.195737076474</v>
      </c>
      <c r="DX13" s="475">
        <f t="shared" ref="DX13:DY13" si="112">DX11/$DU$7*$DU13</f>
        <v>-643.95036552759325</v>
      </c>
      <c r="DY13" s="475">
        <f t="shared" si="112"/>
        <v>-288.07488577829253</v>
      </c>
      <c r="DZ13" s="475">
        <f t="shared" ref="DZ13" si="113">DZ12</f>
        <v>-321.81131370545882</v>
      </c>
      <c r="EA13" s="475">
        <f>EA12</f>
        <v>2048.8647623994589</v>
      </c>
      <c r="EB13" s="475">
        <f>EB11</f>
        <v>2796.8565141477497</v>
      </c>
      <c r="EC13" s="475">
        <f>EC5</f>
        <v>2064.9528218457522</v>
      </c>
      <c r="ED13" s="475"/>
      <c r="EE13" s="475">
        <f t="shared" si="49"/>
        <v>28310.005388210648</v>
      </c>
      <c r="EF13" s="471"/>
      <c r="EG13" s="475">
        <f t="shared" si="50"/>
        <v>1068.3020901211564</v>
      </c>
      <c r="EH13" s="475"/>
      <c r="EI13" s="475">
        <f>EI7</f>
        <v>2173</v>
      </c>
      <c r="EJ13" s="475">
        <f t="shared" si="104"/>
        <v>1166</v>
      </c>
      <c r="EK13" s="475">
        <f t="shared" si="104"/>
        <v>371</v>
      </c>
      <c r="EL13" s="475">
        <f t="shared" si="31"/>
        <v>3710</v>
      </c>
      <c r="EM13" s="475">
        <f t="shared" si="52"/>
        <v>32020.005388210648</v>
      </c>
      <c r="EN13" s="475">
        <f t="shared" si="53"/>
        <v>1208.3020901211564</v>
      </c>
      <c r="EO13" s="736">
        <v>50</v>
      </c>
      <c r="EP13" s="736">
        <f t="shared" si="32"/>
        <v>1258.3020901211564</v>
      </c>
      <c r="EQ13" s="471"/>
      <c r="ER13" s="736">
        <f t="shared" si="75"/>
        <v>559.09435151474236</v>
      </c>
      <c r="ES13" s="736">
        <f t="shared" si="54"/>
        <v>649.20773860641418</v>
      </c>
      <c r="ET13" s="736">
        <f t="shared" si="55"/>
        <v>50</v>
      </c>
      <c r="EU13" s="736">
        <f t="shared" si="56"/>
        <v>1258.3020901211567</v>
      </c>
      <c r="EW13" s="736">
        <f t="shared" si="33"/>
        <v>14816.000315140673</v>
      </c>
      <c r="EX13" s="736">
        <f t="shared" si="34"/>
        <v>17204.005073069977</v>
      </c>
      <c r="EY13" s="736">
        <f t="shared" si="57"/>
        <v>1325</v>
      </c>
      <c r="EZ13" s="736">
        <f t="shared" si="58"/>
        <v>33345.005388210651</v>
      </c>
      <c r="FB13" s="736">
        <f t="shared" si="35"/>
        <v>529.09328746236076</v>
      </c>
      <c r="FC13" s="736">
        <f t="shared" si="36"/>
        <v>30.001064052381668</v>
      </c>
      <c r="FD13" s="736">
        <f t="shared" si="59"/>
        <v>509.20773860641424</v>
      </c>
      <c r="FE13" s="736">
        <f t="shared" si="37"/>
        <v>140</v>
      </c>
      <c r="FF13" s="736">
        <f t="shared" si="60"/>
        <v>50</v>
      </c>
      <c r="FG13" s="736">
        <f t="shared" si="61"/>
        <v>1258.3020901211567</v>
      </c>
      <c r="FH13" s="732">
        <f t="shared" si="76"/>
        <v>0</v>
      </c>
      <c r="FI13" s="736">
        <f t="shared" si="62"/>
        <v>14020.972117752559</v>
      </c>
      <c r="FJ13" s="736">
        <f t="shared" si="38"/>
        <v>795.02819738811422</v>
      </c>
      <c r="FK13" s="736">
        <f t="shared" si="39"/>
        <v>13494.005073069977</v>
      </c>
      <c r="FL13" s="736">
        <f t="shared" si="40"/>
        <v>3710</v>
      </c>
      <c r="FM13" s="736">
        <f t="shared" si="63"/>
        <v>1325</v>
      </c>
      <c r="FN13" s="736">
        <f t="shared" si="64"/>
        <v>33345.005388210651</v>
      </c>
      <c r="FO13" s="463">
        <f t="shared" si="65"/>
        <v>0</v>
      </c>
      <c r="FP13" s="958">
        <f t="shared" si="77"/>
        <v>0.15099712659756107</v>
      </c>
      <c r="FQ13" s="958">
        <f t="shared" si="41"/>
        <v>3.9736085946726597E-2</v>
      </c>
      <c r="FS13" s="734">
        <f>FS12</f>
        <v>1310</v>
      </c>
      <c r="FT13" s="478">
        <f t="shared" si="66"/>
        <v>241.69790987884335</v>
      </c>
      <c r="FU13" s="971">
        <f t="shared" si="67"/>
        <v>0.1845022212815598</v>
      </c>
      <c r="FV13" s="796">
        <f t="shared" si="78"/>
        <v>51.697909878843348</v>
      </c>
      <c r="FW13" s="985">
        <f t="shared" si="79"/>
        <v>3.9464053342628508E-2</v>
      </c>
      <c r="FY13" s="340">
        <f t="shared" si="68"/>
        <v>0</v>
      </c>
      <c r="FZ13" s="960"/>
      <c r="GA13" s="796"/>
      <c r="GB13" s="959"/>
      <c r="GD13" s="960"/>
      <c r="GE13" s="796"/>
      <c r="GF13" s="959"/>
      <c r="GH13" s="960"/>
      <c r="GI13" s="796"/>
      <c r="GJ13" s="959"/>
      <c r="GL13" s="960"/>
      <c r="GM13" s="796"/>
      <c r="GN13" s="959"/>
    </row>
    <row r="14" spans="4:196" x14ac:dyDescent="0.35">
      <c r="K14" s="353"/>
      <c r="V14" s="343"/>
      <c r="X14" s="342"/>
      <c r="Y14" s="453"/>
      <c r="Z14" s="341"/>
      <c r="AA14" s="1010"/>
      <c r="AB14" s="1028"/>
      <c r="AC14" s="1014"/>
      <c r="AG14" s="411"/>
      <c r="AH14" s="363"/>
      <c r="AI14" s="1004"/>
      <c r="AJ14" s="1013"/>
      <c r="AK14" s="1014"/>
      <c r="AS14" s="353"/>
      <c r="BA14" s="361"/>
      <c r="BB14" s="361"/>
      <c r="BC14" s="424"/>
      <c r="BD14" s="425"/>
      <c r="BH14" s="341">
        <f>V125</f>
        <v>0.3</v>
      </c>
      <c r="BI14" s="340">
        <v>300</v>
      </c>
      <c r="BJ14" s="342">
        <f>'Giá mua Chai-Vảy (Giá giảm)'!H18</f>
        <v>0.31590181430096054</v>
      </c>
      <c r="BK14" s="483" t="str">
        <f>N125</f>
        <v>Chai B6.2</v>
      </c>
      <c r="BL14" s="475">
        <f>BJ14*$BH$4/(1-$BH$5)-BM14</f>
        <v>3727.6414087513344</v>
      </c>
      <c r="BM14" s="475">
        <f>BJ14*$BH$4*$BH$5/(1-$BH$5)</f>
        <v>414.1823787501483</v>
      </c>
      <c r="BN14" s="739">
        <f>BL14+BM14</f>
        <v>4141.8237875014829</v>
      </c>
      <c r="BO14" s="739">
        <f>BN14/(BI14/(1-$BH$5))*1000</f>
        <v>12425.47136250445</v>
      </c>
      <c r="BP14" s="741">
        <f>($BJ$5+$BJ$5*$BH$5/(1-$BH$5))*BJ14</f>
        <v>1053.0060476698684</v>
      </c>
      <c r="BQ14" s="463">
        <f>BL14+BM14+BP14</f>
        <v>5194.8298351713511</v>
      </c>
      <c r="BR14" s="741">
        <f>BQ14/(BI14/(1-$BH$5))*1000</f>
        <v>15584.489505514053</v>
      </c>
      <c r="BS14" s="731">
        <f>N123</f>
        <v>15584.489505514053</v>
      </c>
      <c r="BT14" s="474">
        <f>Q123</f>
        <v>11182.924226254003</v>
      </c>
      <c r="BU14" s="484">
        <f>S123</f>
        <v>2843.1163287086442</v>
      </c>
      <c r="BV14" s="474">
        <f>R123</f>
        <v>1558.448950551405</v>
      </c>
      <c r="BW14" s="731" t="str">
        <f>LEFT($BW$2,3)&amp;" "&amp;RIGHT(BK14,5)&amp;"_"&amp;RIGHT($BW$2,3)</f>
        <v>Vảy  B6.2_ A0</v>
      </c>
      <c r="BX14" s="731"/>
      <c r="BY14" s="831" t="s">
        <v>871</v>
      </c>
      <c r="BZ14" s="832">
        <f>BS14/BX13</f>
        <v>18457.01923241929</v>
      </c>
      <c r="CA14" s="832">
        <f>Z122</f>
        <v>13244.158395154924</v>
      </c>
      <c r="CB14" s="832">
        <f>AB122</f>
        <v>3367.1589140224378</v>
      </c>
      <c r="CC14" s="474">
        <f>CC6</f>
        <v>1864.9499828812825</v>
      </c>
      <c r="CD14" s="832">
        <f>-AA130</f>
        <v>-855.64166666666654</v>
      </c>
      <c r="CE14" s="474">
        <f>AA122</f>
        <v>1845.7019232419289</v>
      </c>
      <c r="CF14" s="833"/>
      <c r="CG14" s="834">
        <f t="shared" si="25"/>
        <v>19466.327548633908</v>
      </c>
      <c r="CH14" s="855" t="str">
        <f>LEFT($CH$2,3)&amp;" "&amp;RIGHT(BK14,5)&amp;"_"&amp;RIGHT($CH$2,3)&amp;" DT"</f>
        <v>Vảy  B6.2_ A1 DT</v>
      </c>
      <c r="CI14" s="855"/>
      <c r="CJ14" s="831" t="s">
        <v>871</v>
      </c>
      <c r="CK14" s="474">
        <f>BZ14/CI13</f>
        <v>20035.843717346172</v>
      </c>
      <c r="CL14" s="474">
        <f>AH122</f>
        <v>14377.071640420023</v>
      </c>
      <c r="CM14" s="474">
        <f>AJ122</f>
        <v>3655.1877051915308</v>
      </c>
      <c r="CN14" s="474">
        <f>+CC14/$CI$13</f>
        <v>2024.4789219293125</v>
      </c>
      <c r="CO14" s="474">
        <f>CO6</f>
        <v>1273.8558498087386</v>
      </c>
      <c r="CP14" s="474">
        <f>CD14</f>
        <v>-855.64166666666654</v>
      </c>
      <c r="CQ14" s="474">
        <f>-AI138</f>
        <v>-330.66666666666669</v>
      </c>
      <c r="CR14" s="474">
        <f>AI122</f>
        <v>2003.5843717346168</v>
      </c>
      <c r="CS14" s="833"/>
      <c r="CT14" s="731">
        <f t="shared" si="45"/>
        <v>22147.870155750887</v>
      </c>
      <c r="CU14" s="475">
        <f t="shared" si="26"/>
        <v>835.76868512267492</v>
      </c>
      <c r="CV14" s="802">
        <f t="shared" si="27"/>
        <v>905.76868512267492</v>
      </c>
      <c r="CW14" s="856">
        <f>CV14/$CV$12</f>
        <v>1.1309317886186956</v>
      </c>
      <c r="CX14" s="532"/>
      <c r="CY14" s="387"/>
      <c r="CZ14" s="387"/>
      <c r="DA14" s="768"/>
      <c r="DB14" s="453"/>
      <c r="DC14" s="453"/>
      <c r="DD14" s="456"/>
      <c r="DE14" s="456"/>
      <c r="DF14" s="456"/>
      <c r="DG14" s="456"/>
      <c r="DH14" s="453"/>
      <c r="DI14" s="453"/>
      <c r="DK14" s="727"/>
      <c r="DL14" s="453"/>
      <c r="DM14" s="476"/>
      <c r="DO14" s="532"/>
      <c r="DS14" s="484"/>
      <c r="DV14" s="342"/>
      <c r="DW14" s="342"/>
      <c r="DX14" s="342"/>
      <c r="DY14" s="342"/>
      <c r="DZ14" s="342"/>
      <c r="EA14" s="342"/>
      <c r="EB14" s="342"/>
      <c r="EC14" s="342"/>
      <c r="ED14" s="342"/>
      <c r="EE14" s="342"/>
      <c r="EG14" s="342"/>
      <c r="GD14" s="453"/>
      <c r="GH14" s="453"/>
      <c r="GL14" s="453"/>
    </row>
    <row r="15" spans="4:196" x14ac:dyDescent="0.35">
      <c r="K15" s="353"/>
      <c r="V15" s="343"/>
      <c r="X15" s="342"/>
      <c r="Y15" s="453">
        <v>2000</v>
      </c>
      <c r="Z15" s="350">
        <v>6.7787447174173249E-3</v>
      </c>
      <c r="AA15" s="1009">
        <f>Y15*Z15</f>
        <v>13.55748943483465</v>
      </c>
      <c r="AB15" s="1027" t="s">
        <v>568</v>
      </c>
      <c r="AC15" s="1012"/>
      <c r="AF15" s="343"/>
      <c r="AG15" s="672">
        <f>$AI$5*AI15</f>
        <v>8370.0210944091068</v>
      </c>
      <c r="AH15" s="364">
        <v>1.1096913040554173E-2</v>
      </c>
      <c r="AI15" s="1003" t="s">
        <v>809</v>
      </c>
      <c r="AJ15" s="1011" t="s">
        <v>569</v>
      </c>
      <c r="AK15" s="1012"/>
      <c r="AL15" s="521">
        <f>AI15/$AI$7</f>
        <v>0.4</v>
      </c>
      <c r="AM15" s="340" t="s">
        <v>704</v>
      </c>
      <c r="AS15" s="353"/>
      <c r="AZ15" s="467">
        <f>$BC$6*BA15*BB15</f>
        <v>0</v>
      </c>
      <c r="BA15" s="663">
        <v>1.4E-2</v>
      </c>
      <c r="BB15" s="449"/>
      <c r="BC15" s="426" t="s">
        <v>570</v>
      </c>
      <c r="BD15" s="427"/>
      <c r="BH15" s="341"/>
      <c r="BI15" s="341"/>
      <c r="BY15" s="768" t="s">
        <v>872</v>
      </c>
      <c r="BZ15" s="484">
        <f t="shared" ref="BZ15" si="114">BZ14</f>
        <v>18457.01923241929</v>
      </c>
      <c r="CA15" s="484">
        <f t="shared" ref="CA15" si="115">CA14</f>
        <v>13244.158395154924</v>
      </c>
      <c r="CB15" s="484">
        <f t="shared" ref="CB15" si="116">CB14</f>
        <v>3367.1589140224378</v>
      </c>
      <c r="CC15" s="484">
        <f>CC7</f>
        <v>3240.9192930660097</v>
      </c>
      <c r="CD15" s="484">
        <f t="shared" ref="CD15" si="117">CD14</f>
        <v>-855.64166666666654</v>
      </c>
      <c r="CE15" s="453">
        <f>CE14</f>
        <v>1845.7019232419289</v>
      </c>
      <c r="CF15" s="181"/>
      <c r="CG15" s="484">
        <f t="shared" si="25"/>
        <v>20842.296858818634</v>
      </c>
      <c r="CH15" s="343"/>
      <c r="CI15" s="343"/>
      <c r="CJ15" s="768" t="s">
        <v>872</v>
      </c>
      <c r="CK15" s="484">
        <f>CK14</f>
        <v>20035.843717346172</v>
      </c>
      <c r="CL15" s="453">
        <f t="shared" ref="CL15" si="118">CL14</f>
        <v>14377.071640420023</v>
      </c>
      <c r="CM15" s="456">
        <f>AJ122</f>
        <v>3655.1877051915308</v>
      </c>
      <c r="CN15" s="484">
        <f>+CC15/$CI$13</f>
        <v>3518.1494714133846</v>
      </c>
      <c r="CO15" s="484">
        <f>CO11</f>
        <v>2013.5603276057439</v>
      </c>
      <c r="CP15" s="453">
        <f>CD15</f>
        <v>-855.64166666666654</v>
      </c>
      <c r="CQ15" s="453">
        <f t="shared" ref="CQ15" si="119">CQ14</f>
        <v>-330.66666666666669</v>
      </c>
      <c r="CR15" s="453">
        <f t="shared" ref="CR15" si="120">CR14</f>
        <v>2003.5843717346168</v>
      </c>
      <c r="CT15" s="727">
        <f t="shared" si="45"/>
        <v>24381.245183031966</v>
      </c>
      <c r="CU15" s="453">
        <f t="shared" si="26"/>
        <v>920.04698803894212</v>
      </c>
      <c r="CV15" s="476">
        <f t="shared" si="27"/>
        <v>990.04698803894212</v>
      </c>
      <c r="CX15" s="532"/>
      <c r="CY15" s="787"/>
      <c r="CZ15" s="786" t="s">
        <v>712</v>
      </c>
      <c r="DA15" s="768"/>
      <c r="DB15" s="453"/>
      <c r="DC15" s="453"/>
      <c r="DD15" s="456"/>
      <c r="DE15" s="456"/>
      <c r="DF15" s="456"/>
      <c r="DG15" s="456"/>
      <c r="DH15" s="453"/>
      <c r="DI15" s="453"/>
      <c r="DK15" s="727"/>
      <c r="DL15" s="453"/>
      <c r="DM15" s="476"/>
      <c r="DO15" s="532"/>
      <c r="DP15" s="917" t="str">
        <f>AT28</f>
        <v xml:space="preserve">Tạo hạt iSS01G </v>
      </c>
      <c r="DS15" s="387">
        <f>BA25</f>
        <v>0.94070114023266149</v>
      </c>
      <c r="DT15" s="773"/>
      <c r="DU15" s="342">
        <f>BD25</f>
        <v>0.75310955749669795</v>
      </c>
      <c r="DV15" s="453">
        <f>0.75*DC12+0.25*DC48+0.5*DV12</f>
        <v>15222.488540341703</v>
      </c>
      <c r="DW15" s="342"/>
      <c r="DX15" s="342"/>
      <c r="DY15" s="342"/>
      <c r="DZ15" s="342"/>
      <c r="EA15" s="342"/>
      <c r="EB15" s="342"/>
      <c r="EC15" s="342"/>
      <c r="ED15" s="342"/>
      <c r="EE15" s="342"/>
      <c r="EG15" s="342"/>
      <c r="GD15" s="453"/>
      <c r="GH15" s="453"/>
      <c r="GL15" s="453"/>
    </row>
    <row r="16" spans="4:196" x14ac:dyDescent="0.35">
      <c r="K16" s="353"/>
      <c r="V16" s="343"/>
      <c r="X16" s="342"/>
      <c r="Y16" s="453"/>
      <c r="Z16" s="341"/>
      <c r="AA16" s="1010"/>
      <c r="AB16" s="1028"/>
      <c r="AC16" s="1014"/>
      <c r="AH16" s="353"/>
      <c r="AI16" s="1004"/>
      <c r="AJ16" s="1013"/>
      <c r="AK16" s="1014"/>
      <c r="AS16" s="353"/>
      <c r="BA16" s="361"/>
      <c r="BB16" s="361"/>
      <c r="BC16" s="428"/>
      <c r="BD16" s="429"/>
      <c r="BH16" s="341"/>
      <c r="BI16" s="341"/>
      <c r="BL16" s="453">
        <f>SUM(BL6:BL15)</f>
        <v>11838.899561247481</v>
      </c>
      <c r="BM16" s="453">
        <f>SUM(BM6:BM15)</f>
        <v>1315.4332845830536</v>
      </c>
      <c r="BN16" s="453"/>
      <c r="BO16" s="453"/>
      <c r="BP16" s="453">
        <f>SUM(BP6:BP15)</f>
        <v>3344.321909956916</v>
      </c>
      <c r="BQ16" s="453">
        <f>SUM(BQ6:BQ15)</f>
        <v>16498.654755787451</v>
      </c>
      <c r="BR16" s="463">
        <f>AVERAGE(BR6,BR8,BR10,BR12,BR14)</f>
        <v>15756.480493300132</v>
      </c>
      <c r="BS16" s="463">
        <f>BL16+BM16+BP16</f>
        <v>16498.654755787451</v>
      </c>
      <c r="BT16" s="463"/>
      <c r="BU16" s="463"/>
      <c r="BV16" s="463"/>
      <c r="BW16" s="463"/>
      <c r="BX16" s="463"/>
      <c r="BY16" s="769"/>
      <c r="CK16" s="387">
        <f>$AK6</f>
        <v>0.8081674874213195</v>
      </c>
      <c r="CL16" s="387"/>
      <c r="CM16" s="387"/>
      <c r="CN16" s="387"/>
      <c r="CY16" s="465"/>
      <c r="CZ16" s="387">
        <f>AH42</f>
        <v>0.94030000000000002</v>
      </c>
      <c r="DC16" s="453"/>
      <c r="DD16" s="456"/>
      <c r="DE16" s="456"/>
      <c r="DF16" s="456"/>
      <c r="DG16" s="456"/>
      <c r="DH16" s="453"/>
      <c r="DI16" s="453"/>
      <c r="DK16" s="727"/>
      <c r="DL16" s="453"/>
      <c r="DM16" s="476"/>
      <c r="DQ16" s="490"/>
      <c r="DR16" s="472" t="str">
        <f>BC26</f>
        <v>Hạt nhựa rPET iSS01G 2</v>
      </c>
      <c r="DS16" s="764"/>
      <c r="DT16" s="773" t="s">
        <v>871</v>
      </c>
      <c r="DU16" s="478">
        <f>AZ26</f>
        <v>23311.793653131866</v>
      </c>
      <c r="DV16" s="478">
        <f>(0.7*$DC$6+0.25*$DC$44+0.05*$DC$6)/$DS$15</f>
        <v>15971.208939587013</v>
      </c>
      <c r="DW16" s="478">
        <f>(0.7*($DD$6+$DE$6+$DF$6)+0.25*($DD$44+$DE$44+$DF$44)+0.05*($DD$6+$DE$6+$DF$6))/$DS$15</f>
        <v>7555.8807902710387</v>
      </c>
      <c r="DX16" s="478">
        <f>(0.7*$DG$6+0.25*$DG$44+0.05*$DG$6)/$DS$15</f>
        <v>-785.43264048821106</v>
      </c>
      <c r="DY16" s="478">
        <f>(0.7*$DH$6+0.25*$DH$44+0.05*$DH$6)/$DS$15</f>
        <v>-337.51920268275614</v>
      </c>
      <c r="DZ16" s="478">
        <f>DZ6</f>
        <v>-321.81131370545882</v>
      </c>
      <c r="EA16" s="478">
        <f>(0.15*$DI$6+0.65*$DI$44+0.2*$DI$35)/$DS$15</f>
        <v>2085.9288996305363</v>
      </c>
      <c r="EB16" s="478">
        <f>EB6</f>
        <v>2000.939404729972</v>
      </c>
      <c r="EC16" s="478"/>
      <c r="ED16" s="478">
        <f>ED8</f>
        <v>2332</v>
      </c>
      <c r="EE16" s="478">
        <f t="shared" ref="EE16:EE20" si="121">SUM(DV16:ED16)</f>
        <v>28501.194877342135</v>
      </c>
      <c r="EF16" s="478">
        <f>$EF$6</f>
        <v>23509.852491131598</v>
      </c>
      <c r="EG16" s="478">
        <f t="shared" ref="EG16:EG21" si="122">EE16/$EG$1</f>
        <v>1075.5167878242314</v>
      </c>
      <c r="EI16" s="478">
        <f t="shared" ref="EI16:EK17" si="123">EI6</f>
        <v>2173</v>
      </c>
      <c r="EJ16" s="478">
        <f t="shared" si="123"/>
        <v>1166</v>
      </c>
      <c r="EK16" s="478">
        <f t="shared" si="123"/>
        <v>371</v>
      </c>
      <c r="EL16" s="477">
        <f t="shared" ref="EL16:EL21" si="124">SUM(EI16:EK16)</f>
        <v>3710</v>
      </c>
      <c r="EM16" s="477">
        <f t="shared" ref="EM16:EM17" si="125">EE16+EL16</f>
        <v>32211.194877342135</v>
      </c>
      <c r="EN16" s="478">
        <f t="shared" ref="EN16:EN17" si="126">EG16+$EN$1</f>
        <v>1215.5167878242314</v>
      </c>
      <c r="EO16" s="478">
        <f>EO9</f>
        <v>70</v>
      </c>
      <c r="EP16" s="734">
        <f t="shared" ref="EP16:EP17" si="127">EN16+EO16</f>
        <v>1285.5167878242314</v>
      </c>
      <c r="EQ16" s="472"/>
      <c r="ER16" s="734">
        <f t="shared" ref="ER16:ER17" si="128">SUM(DV16,EA16,DX16:DZ16)/$EG$1</f>
        <v>626.88206348457061</v>
      </c>
      <c r="ES16" s="734">
        <f t="shared" ref="ES16:ES21" si="129">(SUM(DW16,EB16,EC16:ED16,EI16:EK16))/$EG$1</f>
        <v>588.63472433966081</v>
      </c>
      <c r="ET16" s="734">
        <f t="shared" ref="ET16:ET17" si="130">EO16</f>
        <v>70</v>
      </c>
      <c r="EU16" s="734">
        <f t="shared" ref="EU16:EU17" si="131">SUM(ER16:ET16)</f>
        <v>1285.5167878242314</v>
      </c>
      <c r="EV16" s="472"/>
      <c r="EW16" s="734">
        <f t="shared" ref="EW16:EW21" si="132">SUM(DV16,EA16,DX16:DZ16)</f>
        <v>16612.37468234112</v>
      </c>
      <c r="EX16" s="734">
        <f t="shared" ref="EX16:EX21" si="133">SUM(DW16,EB16,EC16,EI16:EK16)</f>
        <v>13266.820195001012</v>
      </c>
      <c r="EY16" s="734">
        <f t="shared" ref="EY16:EY17" si="134">EO16*$EG$1</f>
        <v>1855</v>
      </c>
      <c r="EZ16" s="734">
        <f t="shared" ref="EZ16:EZ17" si="135">SUM(EW16:EY16)</f>
        <v>31734.194877342132</v>
      </c>
      <c r="FA16" s="472"/>
      <c r="FB16" s="734">
        <f t="shared" ref="FB16:FB18" si="136">DV16/$EG$1</f>
        <v>602.68712979573638</v>
      </c>
      <c r="FC16" s="734">
        <f t="shared" ref="FC16:FC18" si="137">SUM(DX16:EA16)/$EG$1</f>
        <v>24.194933688834354</v>
      </c>
      <c r="FD16" s="734">
        <f t="shared" ref="FD16:FD18" si="138">SUM(DW16,EB16,EC16:ED16)/$EG$1</f>
        <v>448.63472433966081</v>
      </c>
      <c r="FE16" s="734">
        <f t="shared" ref="FE16:FE18" si="139">SUM(EI16:EK16)/$EG$1</f>
        <v>140</v>
      </c>
      <c r="FF16" s="734">
        <f t="shared" ref="FF16:FF18" si="140">ET16</f>
        <v>70</v>
      </c>
      <c r="FG16" s="734">
        <f t="shared" ref="FG16:FG20" si="141">SUM(FB16:FF16)</f>
        <v>1285.5167878242314</v>
      </c>
      <c r="FH16" s="814">
        <f t="shared" ref="FH16:FH18" si="142">FG16-EU16</f>
        <v>0</v>
      </c>
      <c r="FI16" s="734">
        <f t="shared" ref="FI16:FI18" si="143">DV16</f>
        <v>15971.208939587013</v>
      </c>
      <c r="FJ16" s="734">
        <f t="shared" ref="FJ16:FJ18" si="144">SUM(DX16:EA16)</f>
        <v>641.1657427541104</v>
      </c>
      <c r="FK16" s="734">
        <f t="shared" ref="FK16:FK18" si="145">SUM(DW16,EB16,EC16)</f>
        <v>9556.8201950010116</v>
      </c>
      <c r="FL16" s="734">
        <f t="shared" ref="FL16:FL18" si="146">SUM(EI16:EK16)</f>
        <v>3710</v>
      </c>
      <c r="FM16" s="734">
        <f t="shared" ref="FM16:FM18" si="147">EY16</f>
        <v>1855</v>
      </c>
      <c r="FN16" s="734">
        <f t="shared" ref="FN16:FN18" si="148">SUM(FI16:FM16)</f>
        <v>31734.194877342135</v>
      </c>
      <c r="FO16" s="478">
        <f t="shared" ref="FO16:FO18" si="149">FN16-EZ16</f>
        <v>0</v>
      </c>
      <c r="FP16" s="525">
        <f t="shared" ref="FP16:FP21" si="150">(FF16+FE16)/FG16</f>
        <v>0.16335842673469098</v>
      </c>
      <c r="FQ16" s="525">
        <f t="shared" ref="FQ16:FQ21" si="151">FF16/FG16</f>
        <v>5.4452808911563663E-2</v>
      </c>
      <c r="FR16" s="472"/>
      <c r="FS16" s="734">
        <f t="shared" ref="FS16:FS20" si="152">FS8</f>
        <v>1410</v>
      </c>
      <c r="FT16" s="478">
        <f t="shared" ref="FT16:FT17" si="153">FS16-SUM(FB16:FD16)</f>
        <v>334.48321217576859</v>
      </c>
      <c r="FU16" s="914">
        <f t="shared" ref="FU16:FU17" si="154">FT16/FS16</f>
        <v>0.23722213629487135</v>
      </c>
      <c r="FV16" s="796">
        <f t="shared" ref="FV16" si="155">FS16-FG16</f>
        <v>124.48321217576859</v>
      </c>
      <c r="FW16" s="281">
        <f t="shared" ref="FW16:FW17" si="156">FV16/FS16</f>
        <v>8.8285966082105385E-2</v>
      </c>
      <c r="FY16" s="340" t="str">
        <f t="shared" ref="FY16:FY71" si="157">DR16</f>
        <v>Hạt nhựa rPET iSS01G 2</v>
      </c>
      <c r="FZ16" s="858"/>
      <c r="GA16" s="796"/>
      <c r="GB16" s="296"/>
      <c r="GD16" s="858"/>
      <c r="GE16" s="796"/>
      <c r="GF16" s="296"/>
      <c r="GH16" s="858"/>
      <c r="GI16" s="796"/>
      <c r="GJ16" s="296"/>
      <c r="GL16" s="858"/>
      <c r="GM16" s="796"/>
      <c r="GN16" s="296"/>
    </row>
    <row r="17" spans="11:196" ht="30.5" x14ac:dyDescent="0.35">
      <c r="K17" s="353"/>
      <c r="V17" s="343"/>
      <c r="X17" s="342"/>
      <c r="Y17" s="453">
        <v>4166.6666666666661</v>
      </c>
      <c r="Z17" s="350">
        <v>5.1852927008328017E-4</v>
      </c>
      <c r="AA17" s="1009">
        <f>Y17*Z17</f>
        <v>2.1605386253470003</v>
      </c>
      <c r="AB17" s="1027" t="s">
        <v>571</v>
      </c>
      <c r="AC17" s="1012"/>
      <c r="AH17" s="353"/>
      <c r="AI17" s="409"/>
      <c r="AS17" s="353"/>
      <c r="BA17" s="391">
        <f>SUM(BA18:BA23)</f>
        <v>4.0976414213182349E-2</v>
      </c>
      <c r="BB17" s="681">
        <f>SUM(BB18:BB22)</f>
        <v>321.81131370545882</v>
      </c>
      <c r="BH17" s="341"/>
      <c r="BI17" s="341"/>
      <c r="BM17" s="453"/>
      <c r="BN17" s="453"/>
      <c r="BO17" s="453"/>
      <c r="BR17" s="463">
        <f>BR16-BQ16</f>
        <v>-742.17426248731863</v>
      </c>
      <c r="CK17" s="482">
        <f>BS6/CK16</f>
        <v>21238.17011221933</v>
      </c>
      <c r="CL17" s="482"/>
      <c r="CM17" s="482"/>
      <c r="CN17" s="482"/>
      <c r="CY17" s="761" t="str">
        <f>LEFT($CH$2,3)&amp;" "&amp;RIGHT(BK8,5)&amp;"_"&amp;RIGHT($CH$2,3)&amp;" DT"</f>
        <v>Vảy B2.2 _ A1 DT</v>
      </c>
      <c r="CZ17" s="761"/>
      <c r="DA17" s="773" t="s">
        <v>871</v>
      </c>
      <c r="DB17" s="482">
        <f>BZ8/CZ16</f>
        <v>18227.157808011783</v>
      </c>
      <c r="DC17" s="482">
        <f>CL8</f>
        <v>13079.217291965209</v>
      </c>
      <c r="DD17" s="484">
        <f t="shared" ref="DD17:DF17" si="158">CM8</f>
        <v>3325.2247352453919</v>
      </c>
      <c r="DE17" s="484">
        <f t="shared" si="158"/>
        <v>1983.3563574192092</v>
      </c>
      <c r="DF17" s="476">
        <f t="shared" si="158"/>
        <v>1273.8558498087386</v>
      </c>
      <c r="DG17" s="476">
        <f t="shared" ref="DG17" si="159">CP8</f>
        <v>-707.44547994627874</v>
      </c>
      <c r="DH17" s="482">
        <f t="shared" ref="DH17" si="160">CQ8</f>
        <v>-45.990237210778169</v>
      </c>
      <c r="DI17" s="482">
        <f t="shared" ref="DI17" si="161">CR8</f>
        <v>1822.7157808011777</v>
      </c>
      <c r="DK17" s="728">
        <f>SUM(DC17:DI17)</f>
        <v>20730.934298082662</v>
      </c>
      <c r="DL17" s="453">
        <f>DK17/$CU$2</f>
        <v>782.29940747481749</v>
      </c>
      <c r="DM17" s="494">
        <f>$CV$2+DL17</f>
        <v>852.29940747481749</v>
      </c>
      <c r="DN17" s="585">
        <f>DM17/$DM$21</f>
        <v>1.5801475198211574</v>
      </c>
      <c r="DQ17" s="490" t="str">
        <f>AX28</f>
        <v>70% B1-A3 DT/MN + 25% B6.2-A3.1/Nạp Star + 5% Hạt WSS03G PL</v>
      </c>
      <c r="DS17" s="387">
        <f>BA46</f>
        <v>0.95235331388965472</v>
      </c>
      <c r="DT17" s="768" t="s">
        <v>872</v>
      </c>
      <c r="DU17" s="482">
        <f>DU16</f>
        <v>23311.793653131866</v>
      </c>
      <c r="DV17" s="478">
        <f>(0.7*$DC$7+0.25*$DC$45+0.05*$DC$7)/$DS$15</f>
        <v>15971.208939587013</v>
      </c>
      <c r="DW17" s="478">
        <f>(0.7*($DD$7+$DE$7+$DF$7)+0.25*($DD$45+$DE$45+$DF$45)+0.05*($DD$7+$DE$7+$DF$7))/$DS$15</f>
        <v>9741.336506683283</v>
      </c>
      <c r="DX17" s="478">
        <f>(0.7*$DG$7+0.25*$DG$44+0.05*$DG$7)/$DS$15</f>
        <v>-785.43264048821106</v>
      </c>
      <c r="DY17" s="478">
        <f>(0.7*$DH$7+0.25*$DH$44+0.05*$DH$7)/$DS$15</f>
        <v>-337.51920268275614</v>
      </c>
      <c r="DZ17" s="478">
        <f>DZ16</f>
        <v>-321.81131370545882</v>
      </c>
      <c r="EA17" s="478">
        <f>(0.15*$DI$7+0.65*$DI$44+0.2*$DI$35)/$DS$15</f>
        <v>2085.9288996305363</v>
      </c>
      <c r="EB17" s="478">
        <f>EB7</f>
        <v>2796.8565141477497</v>
      </c>
      <c r="EC17" s="478"/>
      <c r="ED17" s="478">
        <f>ED9</f>
        <v>2634</v>
      </c>
      <c r="EE17" s="478">
        <f t="shared" si="121"/>
        <v>31784.567703172157</v>
      </c>
      <c r="EF17" s="478"/>
      <c r="EG17" s="478">
        <f t="shared" si="122"/>
        <v>1199.4176491763078</v>
      </c>
      <c r="EI17" s="478">
        <f t="shared" si="123"/>
        <v>2173</v>
      </c>
      <c r="EJ17" s="478">
        <f t="shared" si="123"/>
        <v>1166</v>
      </c>
      <c r="EK17" s="478">
        <f t="shared" si="123"/>
        <v>371</v>
      </c>
      <c r="EL17" s="477">
        <f t="shared" si="124"/>
        <v>3710</v>
      </c>
      <c r="EM17" s="477">
        <f t="shared" si="125"/>
        <v>35494.567703172157</v>
      </c>
      <c r="EN17" s="477">
        <f t="shared" si="126"/>
        <v>1339.4176491763078</v>
      </c>
      <c r="EO17" s="478">
        <f>EO16</f>
        <v>70</v>
      </c>
      <c r="EP17" s="734">
        <f t="shared" si="127"/>
        <v>1409.4176491763078</v>
      </c>
      <c r="EQ17" s="734"/>
      <c r="ER17" s="734">
        <f t="shared" si="128"/>
        <v>626.88206348457061</v>
      </c>
      <c r="ES17" s="734">
        <f t="shared" si="129"/>
        <v>712.53558569173708</v>
      </c>
      <c r="ET17" s="734">
        <f t="shared" si="130"/>
        <v>70</v>
      </c>
      <c r="EU17" s="734">
        <f t="shared" si="131"/>
        <v>1409.4176491763078</v>
      </c>
      <c r="EV17" s="734"/>
      <c r="EW17" s="734">
        <f t="shared" si="132"/>
        <v>16612.37468234112</v>
      </c>
      <c r="EX17" s="734">
        <f t="shared" si="133"/>
        <v>16248.193020831033</v>
      </c>
      <c r="EY17" s="734">
        <f t="shared" si="134"/>
        <v>1855</v>
      </c>
      <c r="EZ17" s="734">
        <f t="shared" si="135"/>
        <v>34715.567703172157</v>
      </c>
      <c r="FA17" s="734"/>
      <c r="FB17" s="734">
        <f t="shared" si="136"/>
        <v>602.68712979573638</v>
      </c>
      <c r="FC17" s="734">
        <f t="shared" si="137"/>
        <v>24.194933688834354</v>
      </c>
      <c r="FD17" s="734">
        <f t="shared" si="138"/>
        <v>572.53558569173708</v>
      </c>
      <c r="FE17" s="734">
        <f t="shared" si="139"/>
        <v>140</v>
      </c>
      <c r="FF17" s="734">
        <f t="shared" si="140"/>
        <v>70</v>
      </c>
      <c r="FG17" s="734">
        <f t="shared" si="141"/>
        <v>1409.4176491763078</v>
      </c>
      <c r="FH17" s="814">
        <f t="shared" si="142"/>
        <v>0</v>
      </c>
      <c r="FI17" s="734">
        <f t="shared" si="143"/>
        <v>15971.208939587013</v>
      </c>
      <c r="FJ17" s="734">
        <f t="shared" si="144"/>
        <v>641.1657427541104</v>
      </c>
      <c r="FK17" s="734">
        <f t="shared" si="145"/>
        <v>12538.193020831033</v>
      </c>
      <c r="FL17" s="734">
        <f t="shared" si="146"/>
        <v>3710</v>
      </c>
      <c r="FM17" s="734">
        <f t="shared" si="147"/>
        <v>1855</v>
      </c>
      <c r="FN17" s="734">
        <f>SUM(FI17:FM17)</f>
        <v>34715.567703172157</v>
      </c>
      <c r="FO17" s="478">
        <f t="shared" si="149"/>
        <v>0</v>
      </c>
      <c r="FP17" s="958">
        <f t="shared" si="150"/>
        <v>0.14899770846684676</v>
      </c>
      <c r="FQ17" s="958">
        <f t="shared" si="151"/>
        <v>4.9665902822282247E-2</v>
      </c>
      <c r="FS17" s="734">
        <f>FS16</f>
        <v>1410</v>
      </c>
      <c r="FT17" s="478">
        <f t="shared" si="153"/>
        <v>210.5823508236922</v>
      </c>
      <c r="FU17" s="971">
        <f t="shared" si="154"/>
        <v>0.14934918498134198</v>
      </c>
      <c r="FV17" s="796">
        <f t="shared" ref="FV17:FV18" si="162">FS17-FG17</f>
        <v>0.58235082369219526</v>
      </c>
      <c r="FW17" s="985">
        <f t="shared" si="156"/>
        <v>4.1301476857602499E-4</v>
      </c>
      <c r="FY17" s="340">
        <f t="shared" si="157"/>
        <v>0</v>
      </c>
      <c r="FZ17" s="960"/>
      <c r="GA17" s="796"/>
      <c r="GB17" s="959"/>
      <c r="GD17" s="960"/>
      <c r="GE17" s="796"/>
      <c r="GF17" s="959"/>
      <c r="GH17" s="960"/>
      <c r="GI17" s="796"/>
      <c r="GJ17" s="959"/>
      <c r="GL17" s="960"/>
      <c r="GM17" s="796"/>
      <c r="GN17" s="959"/>
    </row>
    <row r="18" spans="11:196" ht="20.5" customHeight="1" x14ac:dyDescent="0.35">
      <c r="K18" s="353"/>
      <c r="V18" s="343"/>
      <c r="X18" s="342"/>
      <c r="Y18" s="453"/>
      <c r="Z18" s="341"/>
      <c r="AA18" s="1010"/>
      <c r="AB18" s="1028"/>
      <c r="AC18" s="1014"/>
      <c r="AH18" s="360"/>
      <c r="AS18" s="353"/>
      <c r="AZ18" s="453">
        <v>14000</v>
      </c>
      <c r="BA18" s="362">
        <v>4.0000000000000001E-3</v>
      </c>
      <c r="BB18" s="680">
        <f>AZ18*BA18</f>
        <v>56</v>
      </c>
      <c r="BC18" s="431" t="s">
        <v>573</v>
      </c>
      <c r="BD18" s="430"/>
      <c r="BH18" s="341"/>
      <c r="BI18" s="341"/>
      <c r="CK18" s="387">
        <f>$AK42</f>
        <v>0.85501479000000002</v>
      </c>
      <c r="CL18" s="387"/>
      <c r="CM18" s="387"/>
      <c r="CN18" s="387"/>
      <c r="CY18" s="465"/>
      <c r="CZ18" s="387">
        <v>1</v>
      </c>
      <c r="DA18" s="768" t="s">
        <v>872</v>
      </c>
      <c r="DB18" s="453">
        <f>DB17</f>
        <v>18227.157808011783</v>
      </c>
      <c r="DC18" s="453">
        <f>DC17</f>
        <v>13079.217291965209</v>
      </c>
      <c r="DD18" s="484">
        <f t="shared" ref="DD18" si="163">CM9</f>
        <v>3325.2247352453919</v>
      </c>
      <c r="DE18" s="484">
        <f t="shared" ref="DE18" si="164">CN9</f>
        <v>3446.6864756630966</v>
      </c>
      <c r="DF18" s="456">
        <f t="shared" ref="DF18" si="165">CO9</f>
        <v>2013.5603276057439</v>
      </c>
      <c r="DG18" s="456">
        <f>CP9</f>
        <v>-707.44547994627874</v>
      </c>
      <c r="DH18" s="453">
        <f t="shared" ref="DH18:DI18" si="166">DH17</f>
        <v>-45.990237210778169</v>
      </c>
      <c r="DI18" s="453">
        <f t="shared" si="166"/>
        <v>1822.7157808011777</v>
      </c>
      <c r="DK18" s="727">
        <f t="shared" ref="DK18:DK22" si="167">SUM(DC18:DI18)</f>
        <v>22933.968894123558</v>
      </c>
      <c r="DL18" s="453">
        <f t="shared" si="30"/>
        <v>865.43278845749273</v>
      </c>
      <c r="DM18" s="476">
        <f t="shared" si="47"/>
        <v>935.43278845749273</v>
      </c>
      <c r="DR18" s="473" t="str">
        <f>BC30</f>
        <v>Hạt nhựa rPET WSS01G 2</v>
      </c>
      <c r="DS18" s="764"/>
      <c r="DT18" s="773" t="s">
        <v>871</v>
      </c>
      <c r="DU18" s="479">
        <f>AZ30</f>
        <v>22724.101376162162</v>
      </c>
      <c r="DV18" s="479">
        <f>(0.855*$DC$6+0.095*$DC$17+0.05*$DC$6)/$DS$15</f>
        <v>15982.296576852856</v>
      </c>
      <c r="DW18" s="479">
        <f>(0.855*($DD$6+$DE$6+$DF$6)+0.095*($DD$17+$DE$17+$DF$17)+0.05*($DD$6+$DE$6+$DF$6))/$DS$15</f>
        <v>7552.3049487469698</v>
      </c>
      <c r="DX18" s="479">
        <f>(0.855*$DG$6+0.095*$DG$44+0.05*$DG$6)/$DS$15</f>
        <v>-759.77579995476435</v>
      </c>
      <c r="DY18" s="479">
        <f>(0.855*$DH$6+0.095*$DH$44+0.05*$DH$6)/$DS$15</f>
        <v>-334.62759353450571</v>
      </c>
      <c r="DZ18" s="479">
        <f>DZ10</f>
        <v>-321.81131370545882</v>
      </c>
      <c r="EA18" s="479">
        <f>EA6</f>
        <v>2205.4174571359626</v>
      </c>
      <c r="EB18" s="479">
        <f>EB6</f>
        <v>2000.939404729972</v>
      </c>
      <c r="EC18" s="479">
        <f>EC10</f>
        <v>1376.0623421472308</v>
      </c>
      <c r="ED18" s="479"/>
      <c r="EE18" s="520">
        <f t="shared" si="121"/>
        <v>27700.806022418259</v>
      </c>
      <c r="EF18" s="479">
        <f t="shared" ref="EF18" si="168">$EF$6</f>
        <v>23509.852491131598</v>
      </c>
      <c r="EG18" s="487">
        <f t="shared" si="122"/>
        <v>1045.3134348082363</v>
      </c>
      <c r="EI18" s="479">
        <f t="shared" ref="EI18:EK19" si="169">EI6</f>
        <v>2173</v>
      </c>
      <c r="EJ18" s="479">
        <f t="shared" si="169"/>
        <v>1166</v>
      </c>
      <c r="EK18" s="479">
        <f t="shared" si="169"/>
        <v>371</v>
      </c>
      <c r="EL18" s="480">
        <f t="shared" si="124"/>
        <v>3710</v>
      </c>
      <c r="EM18" s="480">
        <f t="shared" ref="EM18" si="170">EE18+EL18</f>
        <v>31410.806022418259</v>
      </c>
      <c r="EN18" s="520">
        <f>EG18+$EN$1</f>
        <v>1185.3134348082363</v>
      </c>
      <c r="EO18" s="479">
        <f>EO11</f>
        <v>50</v>
      </c>
      <c r="EP18" s="736">
        <f t="shared" ref="EP18" si="171">EN18+EO18</f>
        <v>1235.3134348082363</v>
      </c>
      <c r="EQ18" s="471"/>
      <c r="ER18" s="736">
        <f t="shared" ref="ER18" si="172">SUM(DV18,EA18,DX18:DZ18)/$EG$1</f>
        <v>632.88676704883346</v>
      </c>
      <c r="ES18" s="736">
        <f t="shared" si="129"/>
        <v>552.42666775940268</v>
      </c>
      <c r="ET18" s="736">
        <f t="shared" ref="ET18" si="173">EO18</f>
        <v>50</v>
      </c>
      <c r="EU18" s="569">
        <f t="shared" ref="EU18" si="174">SUM(ER18:ET18)</f>
        <v>1235.3134348082363</v>
      </c>
      <c r="EW18" s="736">
        <f t="shared" si="132"/>
        <v>16771.499326794088</v>
      </c>
      <c r="EX18" s="736">
        <f t="shared" si="133"/>
        <v>14639.306695624171</v>
      </c>
      <c r="EY18" s="736">
        <f t="shared" ref="EY18" si="175">EO18*$EG$1</f>
        <v>1325</v>
      </c>
      <c r="EZ18" s="569">
        <f t="shared" ref="EZ18" si="176">SUM(EW18:EY18)</f>
        <v>32735.806022418259</v>
      </c>
      <c r="FB18" s="736">
        <f t="shared" si="136"/>
        <v>603.10553120199461</v>
      </c>
      <c r="FC18" s="736">
        <f t="shared" si="137"/>
        <v>29.781235846839014</v>
      </c>
      <c r="FD18" s="736">
        <f t="shared" si="138"/>
        <v>412.42666775940268</v>
      </c>
      <c r="FE18" s="736">
        <f t="shared" si="139"/>
        <v>140</v>
      </c>
      <c r="FF18" s="736">
        <f t="shared" si="140"/>
        <v>50</v>
      </c>
      <c r="FG18" s="569">
        <f t="shared" si="141"/>
        <v>1235.3134348082363</v>
      </c>
      <c r="FH18" s="814">
        <f t="shared" si="142"/>
        <v>0</v>
      </c>
      <c r="FI18" s="736">
        <f t="shared" si="143"/>
        <v>15982.296576852856</v>
      </c>
      <c r="FJ18" s="736">
        <f t="shared" si="144"/>
        <v>789.20274994123383</v>
      </c>
      <c r="FK18" s="736">
        <f t="shared" si="145"/>
        <v>10929.306695624171</v>
      </c>
      <c r="FL18" s="736">
        <f t="shared" si="146"/>
        <v>3710</v>
      </c>
      <c r="FM18" s="736">
        <f t="shared" si="147"/>
        <v>1325</v>
      </c>
      <c r="FN18" s="569">
        <f t="shared" si="148"/>
        <v>32735.806022418259</v>
      </c>
      <c r="FO18" s="478">
        <f t="shared" si="149"/>
        <v>0</v>
      </c>
      <c r="FP18" s="525">
        <f t="shared" si="150"/>
        <v>0.15380711861965188</v>
      </c>
      <c r="FQ18" s="525">
        <f t="shared" si="151"/>
        <v>4.0475557531487336E-2</v>
      </c>
      <c r="FS18" s="569">
        <f t="shared" si="152"/>
        <v>1380</v>
      </c>
      <c r="FT18" s="474">
        <f t="shared" ref="FT18" si="177">FS18-SUM(FB18:FD18)</f>
        <v>334.68656519176375</v>
      </c>
      <c r="FU18" s="957">
        <f t="shared" ref="FU18" si="178">FT18/FS18</f>
        <v>0.24252649651577082</v>
      </c>
      <c r="FV18" s="797">
        <f t="shared" si="162"/>
        <v>144.68656519176375</v>
      </c>
      <c r="FW18" s="281">
        <f t="shared" ref="FW18" si="179">FV18/FS18</f>
        <v>0.10484533709548098</v>
      </c>
      <c r="FY18" s="340" t="str">
        <f t="shared" si="157"/>
        <v>Hạt nhựa rPET WSS01G 2</v>
      </c>
      <c r="FZ18" s="860"/>
      <c r="GA18" s="797"/>
      <c r="GB18" s="296"/>
      <c r="GD18" s="860"/>
      <c r="GE18" s="797"/>
      <c r="GF18" s="296"/>
      <c r="GH18" s="860"/>
      <c r="GI18" s="797"/>
      <c r="GJ18" s="296"/>
      <c r="GL18" s="860"/>
      <c r="GM18" s="797"/>
      <c r="GN18" s="296"/>
    </row>
    <row r="19" spans="11:196" ht="30.5" customHeight="1" x14ac:dyDescent="0.35">
      <c r="K19" s="353"/>
      <c r="V19" s="343"/>
      <c r="X19" s="342"/>
      <c r="Y19" s="453">
        <v>7000</v>
      </c>
      <c r="Z19" s="350">
        <v>2.6484960547600567E-2</v>
      </c>
      <c r="AA19" s="1009">
        <f>Y19*Z19</f>
        <v>185.39472383320398</v>
      </c>
      <c r="AB19" s="1027" t="s">
        <v>572</v>
      </c>
      <c r="AC19" s="1012"/>
      <c r="AH19" s="353"/>
      <c r="AS19" s="353"/>
      <c r="AZ19" s="453"/>
      <c r="BA19" s="343"/>
      <c r="BB19" s="343"/>
      <c r="BC19" s="430"/>
      <c r="BD19" s="430"/>
      <c r="BH19" s="341"/>
      <c r="BI19" s="341"/>
      <c r="BR19" s="463"/>
      <c r="CK19" s="482">
        <f>BS8/CK18</f>
        <v>18227.15780801178</v>
      </c>
      <c r="CL19" s="482"/>
      <c r="CM19" s="482"/>
      <c r="CN19" s="482"/>
      <c r="CY19" s="465" t="str">
        <f>LEFT($CH$2,3)&amp;" "&amp;RIGHT($BK$8,5)&amp;"_"&amp;"A"&amp;"2"&amp;" DT"</f>
        <v>Vảy B2.2 _A2 DT</v>
      </c>
      <c r="CZ19" s="761"/>
      <c r="DA19" s="773" t="s">
        <v>871</v>
      </c>
      <c r="DB19" s="476">
        <f t="shared" ref="DB19:DI20" si="180">DB17*$CZ$20</f>
        <v>14581.726246409427</v>
      </c>
      <c r="DC19" s="482">
        <f t="shared" si="180"/>
        <v>10463.373833572168</v>
      </c>
      <c r="DD19" s="484">
        <f>DD17*$CZ$20</f>
        <v>2660.1797881963139</v>
      </c>
      <c r="DE19" s="484">
        <f t="shared" ref="DE19" si="181">DE17*$CZ$20</f>
        <v>1586.6850859353674</v>
      </c>
      <c r="DF19" s="476">
        <f>DF17*$CZ$20</f>
        <v>1019.084679846991</v>
      </c>
      <c r="DG19" s="476">
        <f>DG17*$CZ$20</f>
        <v>-565.95638395702304</v>
      </c>
      <c r="DH19" s="482">
        <f t="shared" si="180"/>
        <v>-36.792189768622535</v>
      </c>
      <c r="DI19" s="482">
        <f t="shared" si="180"/>
        <v>1458.1726246409423</v>
      </c>
      <c r="DK19" s="728">
        <f t="shared" si="167"/>
        <v>16584.747438466136</v>
      </c>
      <c r="DL19" s="453">
        <f t="shared" si="30"/>
        <v>625.83952597985422</v>
      </c>
      <c r="DM19" s="494">
        <f t="shared" si="47"/>
        <v>695.83952597985422</v>
      </c>
      <c r="DN19" s="585">
        <f>DM19/$DM$21</f>
        <v>1.2900737599105789</v>
      </c>
      <c r="DQ19" s="491" t="str">
        <f>AX49</f>
        <v>85.5% B1-A1/A2 MN + 9.5% B2.2-A1/A2 + 5% Hạt WSS03G PL</v>
      </c>
      <c r="DS19" s="387">
        <f>BA65</f>
        <v>0.91300000000000003</v>
      </c>
      <c r="DT19" s="768" t="s">
        <v>872</v>
      </c>
      <c r="DU19" s="479">
        <f>DU18</f>
        <v>22724.101376162162</v>
      </c>
      <c r="DV19" s="479">
        <f>(0.855*$DC$7+0.095*$DC$17+0.05*$DC$7)/$DS$15</f>
        <v>15982.296576852856</v>
      </c>
      <c r="DW19" s="479">
        <f>(0.855*($DD$7+$DE$7+$DF$7)+0.095*($DD$18+$DE$18+$DF$18)+0.05*($DD$7+$DE$7+$DF$7))/$DS$15</f>
        <v>9913.7435194877035</v>
      </c>
      <c r="DX19" s="479">
        <f>(0.855*$DG$7+0.095*$DG$45+0.05*$DG$7)/$DS$15</f>
        <v>-759.77579995476435</v>
      </c>
      <c r="DY19" s="479">
        <f>(0.855*$DH$7+0.095*$DH$45+0.05*$DH$7)/$DS$15</f>
        <v>-334.62759353450571</v>
      </c>
      <c r="DZ19" s="479">
        <f>DZ11</f>
        <v>-321.81131370545882</v>
      </c>
      <c r="EA19" s="479">
        <f>EA7</f>
        <v>2205.4174571359626</v>
      </c>
      <c r="EB19" s="479">
        <f>EB7</f>
        <v>2796.8565141477497</v>
      </c>
      <c r="EC19" s="479">
        <f>EC11</f>
        <v>2064.9528218457522</v>
      </c>
      <c r="EE19" s="480">
        <f t="shared" ref="EE19" si="182">SUM(DV19:ED19)</f>
        <v>31547.052182275293</v>
      </c>
      <c r="EF19" s="480"/>
      <c r="EG19" s="480">
        <f t="shared" si="122"/>
        <v>1190.454799331143</v>
      </c>
      <c r="EH19" s="480"/>
      <c r="EI19" s="480">
        <f t="shared" si="169"/>
        <v>2173</v>
      </c>
      <c r="EJ19" s="480">
        <f t="shared" si="169"/>
        <v>1166</v>
      </c>
      <c r="EK19" s="480">
        <f t="shared" si="169"/>
        <v>371</v>
      </c>
      <c r="EL19" s="480">
        <f t="shared" si="124"/>
        <v>3710</v>
      </c>
      <c r="EM19" s="480">
        <f t="shared" ref="EM19" si="183">EE19+EL19</f>
        <v>35257.052182275293</v>
      </c>
      <c r="EN19" s="480">
        <f>EG19+$EN$1</f>
        <v>1330.454799331143</v>
      </c>
      <c r="EO19" s="480">
        <f>EO12</f>
        <v>50</v>
      </c>
      <c r="EP19" s="480">
        <f t="shared" ref="EP19" si="184">EN19+EO19</f>
        <v>1380.454799331143</v>
      </c>
      <c r="EQ19" s="480"/>
      <c r="ER19" s="480">
        <f t="shared" ref="ER19" si="185">SUM(DV19,EA19,DX19:DZ19)/$EG$1</f>
        <v>632.88676704883346</v>
      </c>
      <c r="ES19" s="480">
        <f t="shared" si="129"/>
        <v>697.56803228230956</v>
      </c>
      <c r="ET19" s="480">
        <f t="shared" ref="ET19" si="186">EO19</f>
        <v>50</v>
      </c>
      <c r="EU19" s="480">
        <f t="shared" ref="EU19" si="187">SUM(ER19:ET19)</f>
        <v>1380.454799331143</v>
      </c>
      <c r="EV19" s="480"/>
      <c r="EW19" s="480">
        <f t="shared" si="132"/>
        <v>16771.499326794088</v>
      </c>
      <c r="EX19" s="480">
        <f t="shared" si="133"/>
        <v>18485.552855481204</v>
      </c>
      <c r="EY19" s="480">
        <f t="shared" ref="EY19" si="188">EO19*$EG$1</f>
        <v>1325</v>
      </c>
      <c r="EZ19" s="480">
        <f t="shared" ref="EZ19:EZ21" si="189">SUM(EW19:EY19)</f>
        <v>36582.052182275293</v>
      </c>
      <c r="FA19" s="480"/>
      <c r="FB19" s="480">
        <f t="shared" ref="FB19" si="190">DV19/$EG$1</f>
        <v>603.10553120199461</v>
      </c>
      <c r="FC19" s="480">
        <f t="shared" ref="FC19" si="191">SUM(DX19:EA19)/$EG$1</f>
        <v>29.781235846839014</v>
      </c>
      <c r="FD19" s="480">
        <f t="shared" ref="FD19" si="192">SUM(DW19,EB19,EC19:ED19)/$EG$1</f>
        <v>557.56803228230967</v>
      </c>
      <c r="FE19" s="480">
        <f t="shared" ref="FE19" si="193">SUM(EI19:EK19)/$EG$1</f>
        <v>140</v>
      </c>
      <c r="FF19" s="480">
        <f t="shared" ref="FF19" si="194">ET19</f>
        <v>50</v>
      </c>
      <c r="FG19" s="480">
        <f t="shared" ref="FG19" si="195">SUM(FB19:FF19)</f>
        <v>1380.4547993311432</v>
      </c>
      <c r="FH19" s="480">
        <f t="shared" ref="FH19" si="196">FG19-EU19</f>
        <v>0</v>
      </c>
      <c r="FI19" s="480">
        <f t="shared" ref="FI19" si="197">DV19</f>
        <v>15982.296576852856</v>
      </c>
      <c r="FJ19" s="480">
        <f t="shared" ref="FJ19" si="198">SUM(DX19:EA19)</f>
        <v>789.20274994123383</v>
      </c>
      <c r="FK19" s="480">
        <f t="shared" ref="FK19" si="199">SUM(DW19,EB19,EC19)</f>
        <v>14775.552855481206</v>
      </c>
      <c r="FL19" s="480">
        <f t="shared" ref="FL19" si="200">SUM(EI19:EK19)</f>
        <v>3710</v>
      </c>
      <c r="FM19" s="480">
        <f t="shared" ref="FM19" si="201">EY19</f>
        <v>1325</v>
      </c>
      <c r="FN19" s="480">
        <f t="shared" ref="FN19" si="202">SUM(FI19:FM19)</f>
        <v>36582.052182275293</v>
      </c>
      <c r="FO19" s="479">
        <f>FN19-EZ19</f>
        <v>0</v>
      </c>
      <c r="FP19" s="958">
        <f t="shared" si="150"/>
        <v>0.13763579951481109</v>
      </c>
      <c r="FQ19" s="958">
        <f t="shared" si="151"/>
        <v>3.6219947240739757E-2</v>
      </c>
      <c r="FS19" s="734">
        <f>FS18</f>
        <v>1380</v>
      </c>
      <c r="FT19" s="478">
        <f t="shared" ref="FT19" si="203">FS19-SUM(FB19:FD19)</f>
        <v>189.54520066885675</v>
      </c>
      <c r="FU19" s="971">
        <f t="shared" ref="FU19" si="204">FT19/FS19</f>
        <v>0.13735159468757735</v>
      </c>
      <c r="FV19" s="796">
        <f t="shared" ref="FV19" si="205">FS19-FG19</f>
        <v>-0.45479933114324922</v>
      </c>
      <c r="FW19" s="985">
        <f t="shared" ref="FW19" si="206">FV19/FS19</f>
        <v>-3.2956473271249942E-4</v>
      </c>
      <c r="FY19" s="340">
        <f t="shared" ref="FY19" si="207">DR19</f>
        <v>0</v>
      </c>
      <c r="FZ19" s="960"/>
      <c r="GA19" s="796"/>
      <c r="GB19" s="959"/>
      <c r="GD19" s="960"/>
      <c r="GE19" s="796"/>
      <c r="GF19" s="959"/>
      <c r="GH19" s="960"/>
      <c r="GI19" s="796"/>
      <c r="GJ19" s="959"/>
      <c r="GL19" s="960"/>
      <c r="GM19" s="796"/>
      <c r="GN19" s="959"/>
    </row>
    <row r="20" spans="11:196" x14ac:dyDescent="0.35">
      <c r="K20" s="353"/>
      <c r="V20" s="343"/>
      <c r="X20" s="342"/>
      <c r="Y20" s="453"/>
      <c r="Z20" s="341"/>
      <c r="AA20" s="1010"/>
      <c r="AB20" s="1028"/>
      <c r="AC20" s="1014"/>
      <c r="AH20" s="390">
        <f>SUM(AH21:AH34)</f>
        <v>4.5253487120855473E-2</v>
      </c>
      <c r="AI20" s="563">
        <f>SUM(AI21:AI34)</f>
        <v>313.11737619656105</v>
      </c>
      <c r="AS20" s="353"/>
      <c r="AZ20" s="453">
        <v>6500</v>
      </c>
      <c r="BA20" s="350">
        <v>0.02</v>
      </c>
      <c r="BB20" s="680">
        <f>AZ20*BA20</f>
        <v>130</v>
      </c>
      <c r="BC20" s="431" t="s">
        <v>576</v>
      </c>
      <c r="BD20" s="432"/>
      <c r="BH20" s="341"/>
      <c r="BI20" s="341"/>
      <c r="CK20" s="387">
        <f>$AK70</f>
        <v>0.773478</v>
      </c>
      <c r="CL20" s="387"/>
      <c r="CM20" s="387"/>
      <c r="CN20" s="387"/>
      <c r="CY20" s="465"/>
      <c r="CZ20" s="387">
        <v>0.8</v>
      </c>
      <c r="DA20" s="768" t="s">
        <v>872</v>
      </c>
      <c r="DB20" s="453">
        <f t="shared" si="180"/>
        <v>14581.726246409427</v>
      </c>
      <c r="DC20" s="453">
        <f t="shared" si="180"/>
        <v>10463.373833572168</v>
      </c>
      <c r="DD20" s="456">
        <f t="shared" si="180"/>
        <v>2660.1797881963139</v>
      </c>
      <c r="DE20" s="456">
        <f t="shared" ref="DE20" si="208">DE18*$CZ$20</f>
        <v>2757.3491805304775</v>
      </c>
      <c r="DF20" s="456">
        <f>DF18*$CZ$20</f>
        <v>1610.8482620845953</v>
      </c>
      <c r="DG20" s="456">
        <f>DG18*$CZ$20</f>
        <v>-565.95638395702304</v>
      </c>
      <c r="DH20" s="453">
        <f t="shared" si="180"/>
        <v>-36.792189768622535</v>
      </c>
      <c r="DI20" s="453">
        <f t="shared" si="180"/>
        <v>1458.1726246409423</v>
      </c>
      <c r="DK20" s="727">
        <f t="shared" si="167"/>
        <v>18347.175115298855</v>
      </c>
      <c r="DL20" s="453">
        <f t="shared" si="30"/>
        <v>692.34623076599451</v>
      </c>
      <c r="DM20" s="476">
        <f t="shared" si="47"/>
        <v>762.34623076599451</v>
      </c>
      <c r="DR20" s="471" t="str">
        <f>BC32</f>
        <v>Hạt nhựa rPET WSS03G</v>
      </c>
      <c r="DS20" s="764"/>
      <c r="DT20" s="773" t="s">
        <v>871</v>
      </c>
      <c r="DU20" s="474">
        <f>AZ32</f>
        <v>22136.40909919245</v>
      </c>
      <c r="DV20" s="474">
        <f>(0.1*$DC$6+0.6*$DC$6+0.25*$DC$44+0.05*$DC$6)/$DS$15</f>
        <v>15971.208939587015</v>
      </c>
      <c r="DW20" s="474">
        <f>(0.1*($DD$6+$DE$6+$DF$6)+0.6*($DD$6+$DE$6+$DF$6)+0.25*($DD$44+$DE$44+$DF$44)+0.05*($DD$6+$DE$6+$DF$6))/$DS$15</f>
        <v>7555.8807902710387</v>
      </c>
      <c r="DX20" s="474">
        <f>(0.1*$DG$6+0.6*$DG$6+0.25*$DG$44+0.05*$DG$6)/$DS$15</f>
        <v>-785.43264048821106</v>
      </c>
      <c r="DY20" s="474">
        <f>(0.1*$DH$6+0.6*$DH$6+0.25*$DH$44+0.05*$DH$6)/$DS$15</f>
        <v>-337.51920268275614</v>
      </c>
      <c r="DZ20" s="474">
        <f>DZ6</f>
        <v>-321.81131370545882</v>
      </c>
      <c r="EA20" s="474">
        <f>EA6</f>
        <v>2205.4174571359626</v>
      </c>
      <c r="EB20" s="474">
        <f>EB6</f>
        <v>2000.939404729972</v>
      </c>
      <c r="EC20" s="474">
        <f>EC12</f>
        <v>1376.0623421472308</v>
      </c>
      <c r="ED20" s="474"/>
      <c r="EE20" s="474">
        <f t="shared" si="121"/>
        <v>27664.745776994791</v>
      </c>
      <c r="EF20" s="474">
        <f t="shared" ref="EF20" si="209">$EF$6</f>
        <v>23509.852491131598</v>
      </c>
      <c r="EG20" s="474">
        <f t="shared" si="122"/>
        <v>1043.952670829992</v>
      </c>
      <c r="EI20" s="474">
        <f t="shared" ref="EI20:EK21" si="210">EI6</f>
        <v>2173</v>
      </c>
      <c r="EJ20" s="474">
        <f t="shared" si="210"/>
        <v>1166</v>
      </c>
      <c r="EK20" s="474">
        <f t="shared" si="210"/>
        <v>371</v>
      </c>
      <c r="EL20" s="475">
        <f t="shared" si="124"/>
        <v>3710</v>
      </c>
      <c r="EM20" s="475">
        <f t="shared" ref="EM20" si="211">EE20+EL20</f>
        <v>31374.745776994791</v>
      </c>
      <c r="EN20" s="474">
        <f>EG20+$EN$1</f>
        <v>1183.952670829992</v>
      </c>
      <c r="EO20" s="463">
        <f>EO12</f>
        <v>50</v>
      </c>
      <c r="EP20" s="736">
        <f t="shared" ref="EP20" si="212">EN20+EO20</f>
        <v>1233.952670829992</v>
      </c>
      <c r="EQ20" s="471"/>
      <c r="ER20" s="736">
        <f t="shared" ref="ER20" si="213">SUM(DV20,EA20,DX20:DZ20)/$EG$1</f>
        <v>631.39106565458678</v>
      </c>
      <c r="ES20" s="736">
        <f t="shared" si="129"/>
        <v>552.56160517540536</v>
      </c>
      <c r="ET20" s="736">
        <f t="shared" ref="ET20" si="214">EO20</f>
        <v>50</v>
      </c>
      <c r="EU20" s="736">
        <f t="shared" ref="EU20" si="215">SUM(ER20:ET20)</f>
        <v>1233.9526708299923</v>
      </c>
      <c r="EW20" s="736">
        <f t="shared" si="132"/>
        <v>16731.863239846549</v>
      </c>
      <c r="EX20" s="736">
        <f t="shared" si="133"/>
        <v>14642.882537148242</v>
      </c>
      <c r="EY20" s="736">
        <f t="shared" ref="EY20" si="216">EO20*$EG$1</f>
        <v>1325</v>
      </c>
      <c r="EZ20" s="736">
        <f t="shared" si="189"/>
        <v>32699.745776994791</v>
      </c>
      <c r="FB20" s="736">
        <f>DV20/$EG$1</f>
        <v>602.68712979573638</v>
      </c>
      <c r="FC20" s="736">
        <f>SUM(DX20:EA20)/$EG$1</f>
        <v>28.703935858850443</v>
      </c>
      <c r="FD20" s="736">
        <f>SUM(DW20,EB20,EC20:ED20)/$EG$1</f>
        <v>412.56160517540536</v>
      </c>
      <c r="FE20" s="736">
        <f>SUM(EI20:EK20)/$EG$1</f>
        <v>140</v>
      </c>
      <c r="FF20" s="736">
        <f t="shared" ref="FF20" si="217">ET20</f>
        <v>50</v>
      </c>
      <c r="FG20" s="736">
        <f t="shared" si="141"/>
        <v>1233.9526708299923</v>
      </c>
      <c r="FH20" s="732">
        <f>FG20-EU20</f>
        <v>0</v>
      </c>
      <c r="FI20" s="736">
        <f>DV20</f>
        <v>15971.208939587015</v>
      </c>
      <c r="FJ20" s="736">
        <f t="shared" ref="FJ20" si="218">SUM(DX20:EA20)</f>
        <v>760.65430025953674</v>
      </c>
      <c r="FK20" s="736">
        <f>SUM(DW20,EB20,EC20)</f>
        <v>10932.882537148242</v>
      </c>
      <c r="FL20" s="736">
        <f>SUM(EI20:EK20)</f>
        <v>3710</v>
      </c>
      <c r="FM20" s="736">
        <f t="shared" ref="FM20" si="219">EY20</f>
        <v>1325</v>
      </c>
      <c r="FN20" s="736">
        <f t="shared" ref="FN20" si="220">SUM(FI20:FM20)</f>
        <v>32699.745776994794</v>
      </c>
      <c r="FO20" s="479">
        <f>FN20-EZ20</f>
        <v>0</v>
      </c>
      <c r="FP20" s="525">
        <f t="shared" si="150"/>
        <v>0.15397673224549244</v>
      </c>
      <c r="FQ20" s="525">
        <f t="shared" si="151"/>
        <v>4.0520192696182226E-2</v>
      </c>
      <c r="FS20" s="736">
        <f t="shared" si="152"/>
        <v>1310</v>
      </c>
      <c r="FT20" s="474">
        <f t="shared" ref="FT20" si="221">FS20-SUM(FB20:FD20)</f>
        <v>266.04732917000774</v>
      </c>
      <c r="FU20" s="957">
        <f t="shared" ref="FU20" si="222">FT20/FS20</f>
        <v>0.2030895642519143</v>
      </c>
      <c r="FV20" s="797">
        <f t="shared" ref="FV20" si="223">FS20-FG20</f>
        <v>76.047329170007743</v>
      </c>
      <c r="FW20" s="281">
        <f t="shared" ref="FW20" si="224">FV20/FS20</f>
        <v>5.8051396312983013E-2</v>
      </c>
      <c r="FY20" s="340" t="str">
        <f t="shared" si="157"/>
        <v>Hạt nhựa rPET WSS03G</v>
      </c>
      <c r="FZ20" s="860"/>
      <c r="GA20" s="797"/>
      <c r="GB20" s="296"/>
      <c r="GD20" s="860"/>
      <c r="GE20" s="797"/>
      <c r="GF20" s="296"/>
      <c r="GH20" s="860"/>
      <c r="GI20" s="797"/>
      <c r="GJ20" s="296"/>
      <c r="GL20" s="860"/>
      <c r="GM20" s="797"/>
      <c r="GN20" s="296"/>
    </row>
    <row r="21" spans="11:196" ht="45.5" x14ac:dyDescent="0.35">
      <c r="K21" s="353"/>
      <c r="V21" s="343"/>
      <c r="Y21" s="453">
        <v>-300</v>
      </c>
      <c r="Z21" s="350">
        <v>1.0507317257874176E-3</v>
      </c>
      <c r="AA21" s="1009">
        <f>Y21*Z21</f>
        <v>-0.31521951773622531</v>
      </c>
      <c r="AB21" s="1011" t="s">
        <v>574</v>
      </c>
      <c r="AC21" s="1012"/>
      <c r="AG21" s="463">
        <f>AG75</f>
        <v>8000</v>
      </c>
      <c r="AH21" s="362">
        <v>2.2100000000000002E-2</v>
      </c>
      <c r="AI21" s="1009">
        <f>AG21*AH21</f>
        <v>176.8</v>
      </c>
      <c r="AJ21" s="1011" t="s">
        <v>575</v>
      </c>
      <c r="AK21" s="1012"/>
      <c r="AS21" s="353"/>
      <c r="BA21" s="343"/>
      <c r="BB21" s="343"/>
      <c r="BC21" s="424"/>
      <c r="BD21" s="425"/>
      <c r="BH21" s="341"/>
      <c r="BI21" s="341"/>
      <c r="CK21" s="482">
        <f>BS10/CK20</f>
        <v>18106.501327780818</v>
      </c>
      <c r="CL21" s="482"/>
      <c r="CM21" s="482"/>
      <c r="CN21" s="482"/>
      <c r="CY21" s="465" t="str">
        <f>LEFT($CH$2,3)&amp;" "&amp;RIGHT($BK$8,5)&amp;"_"&amp;"A"&amp;"3"&amp;" DT"</f>
        <v>Vảy B2.2 _A3 DT</v>
      </c>
      <c r="CZ21" s="761"/>
      <c r="DA21" s="773" t="s">
        <v>871</v>
      </c>
      <c r="DB21" s="476">
        <f>DB17*$CZ$22</f>
        <v>10936.29468480707</v>
      </c>
      <c r="DC21" s="476">
        <f t="shared" ref="DC21:DI21" si="225">DC17*$CZ$22</f>
        <v>7847.5303751791253</v>
      </c>
      <c r="DD21" s="456">
        <f t="shared" si="225"/>
        <v>1995.134841147235</v>
      </c>
      <c r="DE21" s="456">
        <f t="shared" ref="DE21" si="226">DE17*$CZ$22</f>
        <v>1190.0138144515254</v>
      </c>
      <c r="DF21" s="476">
        <f t="shared" ref="DF21" si="227">DF17*$CZ$22</f>
        <v>764.31350988524321</v>
      </c>
      <c r="DG21" s="476">
        <f>DG17*$CZ$22</f>
        <v>-424.46728796776722</v>
      </c>
      <c r="DH21" s="476">
        <f t="shared" si="225"/>
        <v>-27.594142326466901</v>
      </c>
      <c r="DI21" s="476">
        <f t="shared" si="225"/>
        <v>1093.6294684807067</v>
      </c>
      <c r="DK21" s="728">
        <f t="shared" si="167"/>
        <v>12438.560578849603</v>
      </c>
      <c r="DL21" s="453">
        <f t="shared" si="30"/>
        <v>469.37964448489066</v>
      </c>
      <c r="DM21" s="494">
        <f t="shared" si="47"/>
        <v>539.3796444848906</v>
      </c>
      <c r="DN21" s="585">
        <f>DM21/$DM$21</f>
        <v>1</v>
      </c>
      <c r="DQ21" s="489" t="str">
        <f>AX68</f>
        <v>15% B3-A5.2_A3  + 60% B1-A1/A2 MN/DT+ 25% B6.2-A3.1/Nạp Star + 5% Hạt WSS03G PL</v>
      </c>
      <c r="DT21" s="768" t="s">
        <v>872</v>
      </c>
      <c r="DU21" s="474">
        <f>DU20</f>
        <v>22136.40909919245</v>
      </c>
      <c r="DV21" s="474">
        <f>(0.1*$DC$7+0.6*$DC$7+0.25*$DC$44+0.05*$DC$7)/$DS$15</f>
        <v>15971.208939587015</v>
      </c>
      <c r="DW21" s="474">
        <f>(0.1*($DD$7+$DE$7+$DF$7)+0.6*($DD$7+$DE$7+$DF$7)+0.25*($DD$45+$DE$45+$DF$45)+0.05*($DD$7+$DE$7+$DF$7))/$DS$15</f>
        <v>9741.336506683283</v>
      </c>
      <c r="DX21" s="474">
        <f>(0.1*$DG$7+0.6*$DG$7+0.25*$DG$45+0.05*$DG$7)/$DS$15</f>
        <v>-785.43264048821106</v>
      </c>
      <c r="DY21" s="474">
        <f>(0.1*$DH$7+0.6*$DH$7+0.25*$DH$45+0.05*$DH$7)/$DS$15</f>
        <v>-337.51920268275614</v>
      </c>
      <c r="DZ21" s="474">
        <f>DZ7</f>
        <v>-321.81131370545882</v>
      </c>
      <c r="EA21" s="474">
        <f>EA20</f>
        <v>2205.4174571359626</v>
      </c>
      <c r="EB21" s="474">
        <f>EB7</f>
        <v>2796.8565141477497</v>
      </c>
      <c r="EC21" s="474">
        <f>EC13</f>
        <v>2064.9528218457522</v>
      </c>
      <c r="EE21" s="474">
        <f t="shared" ref="EE21" si="228">SUM(DV21:ED21)</f>
        <v>31335.009082523335</v>
      </c>
      <c r="EF21" s="474"/>
      <c r="EG21" s="474">
        <f t="shared" si="122"/>
        <v>1182.4531729254088</v>
      </c>
      <c r="EI21" s="474">
        <f t="shared" si="210"/>
        <v>2173</v>
      </c>
      <c r="EJ21" s="474">
        <f t="shared" si="210"/>
        <v>1166</v>
      </c>
      <c r="EK21" s="474">
        <f t="shared" si="210"/>
        <v>371</v>
      </c>
      <c r="EL21" s="475">
        <f t="shared" si="124"/>
        <v>3710</v>
      </c>
      <c r="EM21" s="475">
        <f t="shared" ref="EM21" si="229">EE21+EL21</f>
        <v>35045.009082523335</v>
      </c>
      <c r="EN21" s="474">
        <f>EG21+$EN$1</f>
        <v>1322.4531729254088</v>
      </c>
      <c r="EO21" s="463">
        <f>EO13</f>
        <v>50</v>
      </c>
      <c r="EP21" s="736">
        <f t="shared" ref="EP21" si="230">EN21+EO21</f>
        <v>1372.4531729254088</v>
      </c>
      <c r="EQ21" s="471"/>
      <c r="ER21" s="736">
        <f t="shared" ref="ER21" si="231">SUM(DV21,EA21,DX21:DZ21)/$EG$1</f>
        <v>631.39106565458678</v>
      </c>
      <c r="ES21" s="736">
        <f t="shared" si="129"/>
        <v>691.06210727082214</v>
      </c>
      <c r="ET21" s="736">
        <f t="shared" ref="ET21" si="232">EO21</f>
        <v>50</v>
      </c>
      <c r="EU21" s="736">
        <f t="shared" ref="EU21" si="233">SUM(ER21:ET21)</f>
        <v>1372.453172925409</v>
      </c>
      <c r="EW21" s="736">
        <f t="shared" si="132"/>
        <v>16731.863239846549</v>
      </c>
      <c r="EX21" s="736">
        <f t="shared" si="133"/>
        <v>18313.145842676786</v>
      </c>
      <c r="EY21" s="736">
        <f t="shared" ref="EY21" si="234">EO21*$EG$1</f>
        <v>1325</v>
      </c>
      <c r="EZ21" s="736">
        <f t="shared" si="189"/>
        <v>36370.009082523335</v>
      </c>
      <c r="FB21" s="736">
        <f>DV21/$EG$1</f>
        <v>602.68712979573638</v>
      </c>
      <c r="FC21" s="736">
        <f>SUM(DX21:EA21)/$EG$1</f>
        <v>28.703935858850443</v>
      </c>
      <c r="FD21" s="736">
        <f>SUM(DW21,EB21,EC21:ED21)/$EG$1</f>
        <v>551.06210727082214</v>
      </c>
      <c r="FE21" s="736">
        <f>SUM(EI21:EK21)/$EG$1</f>
        <v>140</v>
      </c>
      <c r="FF21" s="736">
        <f t="shared" ref="FF21" si="235">ET21</f>
        <v>50</v>
      </c>
      <c r="FG21" s="736">
        <f t="shared" ref="FG21" si="236">SUM(FB21:FF21)</f>
        <v>1372.453172925409</v>
      </c>
      <c r="FH21" s="732">
        <f>FG21-EU21</f>
        <v>0</v>
      </c>
      <c r="FI21" s="736">
        <f>DV21</f>
        <v>15971.208939587015</v>
      </c>
      <c r="FJ21" s="736">
        <f t="shared" ref="FJ21" si="237">SUM(DX21:EA21)</f>
        <v>760.65430025953674</v>
      </c>
      <c r="FK21" s="736">
        <f>SUM(DW21,EB21,EC21)</f>
        <v>14603.145842676786</v>
      </c>
      <c r="FL21" s="736">
        <f>SUM(EI21:EK21)</f>
        <v>3710</v>
      </c>
      <c r="FM21" s="736">
        <f t="shared" ref="FM21" si="238">EY21</f>
        <v>1325</v>
      </c>
      <c r="FN21" s="736">
        <f t="shared" ref="FN21" si="239">SUM(FI21:FM21)</f>
        <v>36370.009082523335</v>
      </c>
      <c r="FO21" s="479">
        <f>FN21-EZ21</f>
        <v>0</v>
      </c>
      <c r="FP21" s="958">
        <f t="shared" si="150"/>
        <v>0.13843823873058744</v>
      </c>
      <c r="FQ21" s="958">
        <f t="shared" si="151"/>
        <v>3.6431115455417752E-2</v>
      </c>
      <c r="FS21" s="734">
        <f>FS20</f>
        <v>1310</v>
      </c>
      <c r="FT21" s="478">
        <f t="shared" ref="FT21" si="240">FS21-SUM(FB21:FD21)</f>
        <v>127.54682707459096</v>
      </c>
      <c r="FU21" s="971">
        <f t="shared" ref="FU21" si="241">FT21/FS21</f>
        <v>9.7363990133275541E-2</v>
      </c>
      <c r="FV21" s="796">
        <f t="shared" ref="FV21" si="242">FS21-FG21</f>
        <v>-62.453172925409035</v>
      </c>
      <c r="FW21" s="985">
        <f t="shared" ref="FW21" si="243">FV21/FS21</f>
        <v>-4.7674177805655749E-2</v>
      </c>
      <c r="FY21" s="340">
        <f t="shared" ref="FY21" si="244">DR21</f>
        <v>0</v>
      </c>
      <c r="FZ21" s="960"/>
      <c r="GA21" s="796"/>
      <c r="GB21" s="959"/>
      <c r="GD21" s="960"/>
      <c r="GE21" s="796"/>
      <c r="GF21" s="959"/>
      <c r="GH21" s="960"/>
      <c r="GI21" s="796"/>
      <c r="GJ21" s="959"/>
      <c r="GL21" s="960"/>
      <c r="GM21" s="796"/>
      <c r="GN21" s="959"/>
    </row>
    <row r="22" spans="11:196" x14ac:dyDescent="0.35">
      <c r="K22" s="353"/>
      <c r="V22" s="343"/>
      <c r="W22" s="343"/>
      <c r="Z22" s="341"/>
      <c r="AA22" s="1010"/>
      <c r="AB22" s="1013"/>
      <c r="AC22" s="1014"/>
      <c r="AI22" s="1010"/>
      <c r="AJ22" s="1013"/>
      <c r="AK22" s="1014"/>
      <c r="AS22" s="353"/>
      <c r="AZ22" s="453">
        <v>8000</v>
      </c>
      <c r="BA22" s="350">
        <v>1.6976414213182352E-2</v>
      </c>
      <c r="BB22" s="680">
        <f>AZ22*BA22</f>
        <v>135.81131370545882</v>
      </c>
      <c r="BC22" s="422" t="s">
        <v>579</v>
      </c>
      <c r="BD22" s="423"/>
      <c r="CK22" s="387">
        <f>$AK95</f>
        <v>0.82060440000000012</v>
      </c>
      <c r="CL22" s="387"/>
      <c r="CM22" s="387"/>
      <c r="CN22" s="387"/>
      <c r="CY22" s="465"/>
      <c r="CZ22" s="387">
        <v>0.6</v>
      </c>
      <c r="DA22" s="768" t="s">
        <v>872</v>
      </c>
      <c r="DB22" s="453">
        <f>DB18*$CZ$22</f>
        <v>10936.29468480707</v>
      </c>
      <c r="DC22" s="453">
        <f t="shared" ref="DC22:DI22" si="245">DC18*$CZ$22</f>
        <v>7847.5303751791253</v>
      </c>
      <c r="DD22" s="456">
        <f t="shared" si="245"/>
        <v>1995.134841147235</v>
      </c>
      <c r="DE22" s="456">
        <f t="shared" ref="DE22" si="246">DE18*$CZ$22</f>
        <v>2068.0118853978579</v>
      </c>
      <c r="DF22" s="456">
        <f t="shared" ref="DF22" si="247">DF18*$CZ$22</f>
        <v>1208.1361965634462</v>
      </c>
      <c r="DG22" s="456">
        <f>DG18*$CZ$22</f>
        <v>-424.46728796776722</v>
      </c>
      <c r="DH22" s="453">
        <f t="shared" si="245"/>
        <v>-27.594142326466901</v>
      </c>
      <c r="DI22" s="453">
        <f t="shared" si="245"/>
        <v>1093.6294684807067</v>
      </c>
      <c r="DK22" s="727">
        <f t="shared" si="167"/>
        <v>13760.381336474138</v>
      </c>
      <c r="DL22" s="453">
        <f t="shared" si="30"/>
        <v>519.25967307449582</v>
      </c>
      <c r="DM22" s="476">
        <f t="shared" si="47"/>
        <v>589.25967307449582</v>
      </c>
      <c r="DU22" s="453">
        <f>BS6/DU23</f>
        <v>24258.049778525568</v>
      </c>
      <c r="DV22" s="453"/>
      <c r="DW22" s="453"/>
      <c r="DX22" s="453"/>
      <c r="DY22" s="453"/>
      <c r="DZ22" s="453"/>
      <c r="EA22" s="453"/>
      <c r="EB22" s="453"/>
      <c r="EC22" s="453"/>
      <c r="ED22" s="453"/>
      <c r="EE22" s="453"/>
      <c r="EG22" s="453"/>
      <c r="FY22" s="340">
        <f t="shared" si="157"/>
        <v>0</v>
      </c>
      <c r="GD22" s="453"/>
      <c r="GH22" s="453"/>
      <c r="GL22" s="453"/>
    </row>
    <row r="23" spans="11:196" ht="15" customHeight="1" x14ac:dyDescent="0.35">
      <c r="K23" s="353"/>
      <c r="V23" s="343"/>
      <c r="Y23" s="453">
        <v>2500</v>
      </c>
      <c r="Z23" s="350">
        <v>1.7996015844066785E-3</v>
      </c>
      <c r="AA23" s="1009">
        <f>Y23*Z23</f>
        <v>4.4990039610166965</v>
      </c>
      <c r="AB23" s="1011" t="s">
        <v>577</v>
      </c>
      <c r="AC23" s="1012"/>
      <c r="AG23" s="463">
        <f>AG77</f>
        <v>10500</v>
      </c>
      <c r="AH23" s="365">
        <v>3.4888022059318042E-3</v>
      </c>
      <c r="AI23" s="1009">
        <f>AG23*AH23</f>
        <v>36.632423162283942</v>
      </c>
      <c r="AJ23" s="1011" t="s">
        <v>578</v>
      </c>
      <c r="AK23" s="1012"/>
      <c r="AS23" s="353"/>
      <c r="CK23" s="482">
        <f>BS12/CK22</f>
        <v>17066.665050795793</v>
      </c>
      <c r="CL23" s="482"/>
      <c r="CM23" s="482"/>
      <c r="CN23" s="482"/>
      <c r="CY23" s="387"/>
      <c r="CZ23" s="387"/>
      <c r="DA23" s="768"/>
      <c r="DB23" s="453"/>
      <c r="DC23" s="453"/>
      <c r="DD23" s="456"/>
      <c r="DE23" s="456"/>
      <c r="DF23" s="456"/>
      <c r="DG23" s="456"/>
      <c r="DH23" s="453"/>
      <c r="DI23" s="453"/>
      <c r="DK23" s="727"/>
      <c r="DL23" s="453"/>
      <c r="DM23" s="476"/>
      <c r="DP23" s="918" t="str">
        <f>AT88</f>
        <v xml:space="preserve">Tạo hạt WSS01G </v>
      </c>
      <c r="DQ23" s="491"/>
      <c r="DR23" s="343"/>
      <c r="DS23" s="387">
        <f>BA85</f>
        <v>0.87551020408163283</v>
      </c>
      <c r="DT23" s="343"/>
      <c r="DU23" s="387">
        <f>BD85</f>
        <v>0.70755888184437987</v>
      </c>
      <c r="DV23" s="387"/>
      <c r="DW23" s="387"/>
      <c r="DX23" s="387"/>
      <c r="DY23" s="387"/>
      <c r="DZ23" s="387"/>
      <c r="EA23" s="387"/>
      <c r="EB23" s="387"/>
      <c r="EC23" s="387"/>
      <c r="ED23" s="387"/>
      <c r="EE23" s="387"/>
      <c r="EG23" s="387"/>
      <c r="FY23" s="340">
        <f t="shared" si="157"/>
        <v>0</v>
      </c>
      <c r="GD23" s="453"/>
      <c r="GH23" s="453"/>
      <c r="GL23" s="453"/>
    </row>
    <row r="24" spans="11:196" ht="15.75" customHeight="1" x14ac:dyDescent="0.35">
      <c r="K24" s="353"/>
      <c r="V24" s="343"/>
      <c r="Z24" s="341"/>
      <c r="AA24" s="1010"/>
      <c r="AB24" s="1068"/>
      <c r="AC24" s="1069"/>
      <c r="AH24" s="341"/>
      <c r="AI24" s="1010"/>
      <c r="AJ24" s="1013"/>
      <c r="AK24" s="1014"/>
      <c r="AN24" s="1057"/>
      <c r="AO24" s="1057"/>
      <c r="AP24" s="349"/>
      <c r="AQ24" s="349"/>
      <c r="AS24" s="353"/>
      <c r="AZ24" s="463">
        <f>AZ26-AZ25</f>
        <v>1391.8842017762217</v>
      </c>
      <c r="BA24" s="343"/>
      <c r="BB24" s="579" t="s">
        <v>712</v>
      </c>
      <c r="BC24" s="517">
        <f>'Hảo_R&amp;D (Vảy sạch)'!BR3</f>
        <v>0.13333333333333333</v>
      </c>
      <c r="BD24" s="425"/>
      <c r="BZ24" s="387">
        <f>$AK25</f>
        <v>0</v>
      </c>
      <c r="CA24" s="387"/>
      <c r="CB24" s="387"/>
      <c r="CD24" s="387"/>
      <c r="CE24" s="387"/>
      <c r="CK24" s="387">
        <f>$AK124</f>
        <v>0.77783045852077959</v>
      </c>
      <c r="CL24" s="387"/>
      <c r="CM24" s="387"/>
      <c r="CN24" s="387"/>
      <c r="CY24" s="569"/>
      <c r="CZ24" s="786" t="s">
        <v>712</v>
      </c>
      <c r="DA24" s="768"/>
      <c r="DB24" s="453"/>
      <c r="DC24" s="453"/>
      <c r="DD24" s="456"/>
      <c r="DE24" s="456"/>
      <c r="DF24" s="456"/>
      <c r="DG24" s="456"/>
      <c r="DH24" s="453"/>
      <c r="DI24" s="453"/>
      <c r="DK24" s="727"/>
      <c r="DL24" s="453"/>
      <c r="DM24" s="476"/>
      <c r="DR24" s="776" t="str">
        <f>BC86</f>
        <v>Hạt nhựa rPET WSS01G 1</v>
      </c>
      <c r="DS24" s="764"/>
      <c r="DT24" s="773" t="s">
        <v>871</v>
      </c>
      <c r="DU24" s="479">
        <f>AZ86</f>
        <v>27316.951154442198</v>
      </c>
      <c r="DV24" s="479">
        <f>(1*$DC$6+0*$DC$6+0*$DC$44+0*$DC$6)/$DS$23</f>
        <v>17406.789773509561</v>
      </c>
      <c r="DW24" s="479">
        <f>(1*($DD$6+$DE$6+$DF$6)+0*($DD$6+$DE$6+$DF$6)+0*($DD$44+$DE$44+$DF$44)+0*($DD$6+$DE$6+$DF$6))/$DS$23</f>
        <v>8177.2434413751062</v>
      </c>
      <c r="DX24" s="479">
        <f>(1*$DG$6+0*$DG$6+0*$DG$44+0*$DG$6)/$DS$23</f>
        <v>-799.45302958852017</v>
      </c>
      <c r="DY24" s="479">
        <f>(1*$DH$6+0*$DH$6+0*$DH$44+0*$DH$6)/$DS$23</f>
        <v>-357.63989355784355</v>
      </c>
      <c r="DZ24" s="479">
        <f>DZ10</f>
        <v>-321.81131370545882</v>
      </c>
      <c r="EA24" s="479">
        <f>EA10</f>
        <v>2103.2594021091791</v>
      </c>
      <c r="EB24" s="479">
        <f t="shared" ref="EB24:EC24" si="248">EB10</f>
        <v>2000.939404729972</v>
      </c>
      <c r="EC24" s="479">
        <f t="shared" si="248"/>
        <v>1376.0623421472308</v>
      </c>
      <c r="ED24" s="479"/>
      <c r="EE24" s="487">
        <f t="shared" ref="EE24" si="249">SUM(DV24:ED24)</f>
        <v>29585.390127019225</v>
      </c>
      <c r="EF24" s="479">
        <f t="shared" ref="EF24" si="250">$EF$6</f>
        <v>23509.852491131598</v>
      </c>
      <c r="EG24" s="487">
        <f t="shared" ref="EG24:EG34" si="251">EE24/$EG$1</f>
        <v>1116.4298161139329</v>
      </c>
      <c r="EH24" s="473"/>
      <c r="EI24" s="479">
        <f t="shared" ref="EI24:EK25" si="252">EI6</f>
        <v>2173</v>
      </c>
      <c r="EJ24" s="479">
        <f t="shared" si="252"/>
        <v>1166</v>
      </c>
      <c r="EK24" s="479">
        <f t="shared" si="252"/>
        <v>371</v>
      </c>
      <c r="EL24" s="480">
        <f t="shared" ref="EL24:EL30" si="253">SUM(EI24:EK24)</f>
        <v>3710</v>
      </c>
      <c r="EM24" s="480">
        <f t="shared" ref="EM24" si="254">EE24+EL24</f>
        <v>33295.390127019229</v>
      </c>
      <c r="EN24" s="487">
        <f t="shared" ref="EN24:EN30" si="255">EG24+$EN$1</f>
        <v>1256.4298161139329</v>
      </c>
      <c r="EO24" s="479">
        <f>EO10</f>
        <v>50</v>
      </c>
      <c r="EP24" s="735">
        <f t="shared" ref="EP24" si="256">EN24+EO24</f>
        <v>1306.4298161139329</v>
      </c>
      <c r="EQ24" s="473"/>
      <c r="ER24" s="735">
        <f t="shared" ref="ER24" si="257">SUM(DV24,EA24,DX24:DZ24)/$EG$1</f>
        <v>680.4205637270536</v>
      </c>
      <c r="ES24" s="735">
        <f t="shared" ref="ES24:ES30" si="258">(SUM(DW24,EB24,EC24:ED24,EI24:EK24))/$EG$1</f>
        <v>576.00925238687955</v>
      </c>
      <c r="ET24" s="735">
        <f t="shared" ref="ET24" si="259">EO24</f>
        <v>50</v>
      </c>
      <c r="EU24" s="737">
        <f t="shared" ref="EU24" si="260">SUM(ER24:ET24)</f>
        <v>1306.4298161139332</v>
      </c>
      <c r="EV24" s="473"/>
      <c r="EW24" s="735">
        <f t="shared" ref="EW24:EW27" si="261">SUM(DV24,EA24,DX24:DZ24)</f>
        <v>18031.14493876692</v>
      </c>
      <c r="EX24" s="735">
        <f t="shared" ref="EX24:EX27" si="262">SUM(DW24,EB24,EC24,EI24:EK24)</f>
        <v>15264.245188252309</v>
      </c>
      <c r="EY24" s="735">
        <f t="shared" ref="EY24" si="263">EO24*$EG$1</f>
        <v>1325</v>
      </c>
      <c r="EZ24" s="737">
        <f t="shared" ref="EZ24:EZ27" si="264">SUM(EW24:EY24)</f>
        <v>34620.390127019229</v>
      </c>
      <c r="FA24" s="473"/>
      <c r="FB24" s="735">
        <f t="shared" ref="FB24:FB30" si="265">DV24/$EG$1</f>
        <v>656.85999145319101</v>
      </c>
      <c r="FC24" s="735">
        <f t="shared" ref="FC24:FC30" si="266">SUM(DX24:EA24)/$EG$1</f>
        <v>23.560572273862508</v>
      </c>
      <c r="FD24" s="735">
        <f t="shared" ref="FD24:FD30" si="267">SUM(DW24,EB24,EC24:ED24)/$EG$1</f>
        <v>436.00925238687961</v>
      </c>
      <c r="FE24" s="735">
        <f t="shared" ref="FE24:FE30" si="268">SUM(EI24:EK24)/$EG$1</f>
        <v>140</v>
      </c>
      <c r="FF24" s="735">
        <f t="shared" ref="FF24" si="269">ET24</f>
        <v>50</v>
      </c>
      <c r="FG24" s="737">
        <f t="shared" ref="FG24" si="270">SUM(FB24:FF24)</f>
        <v>1306.4298161139332</v>
      </c>
      <c r="FH24" s="952">
        <f t="shared" ref="FH24" si="271">FG24-EU24</f>
        <v>0</v>
      </c>
      <c r="FI24" s="735">
        <f t="shared" ref="FI24:FI30" si="272">DV24</f>
        <v>17406.789773509561</v>
      </c>
      <c r="FJ24" s="735">
        <f t="shared" ref="FJ24" si="273">SUM(DX24:EA24)</f>
        <v>624.35516525735648</v>
      </c>
      <c r="FK24" s="735">
        <f t="shared" ref="FK24:FK30" si="274">SUM(DW24,EB24,EC24)</f>
        <v>11554.245188252309</v>
      </c>
      <c r="FL24" s="735">
        <f t="shared" ref="FL24:FL30" si="275">SUM(EI24:EK24)</f>
        <v>3710</v>
      </c>
      <c r="FM24" s="735">
        <f t="shared" ref="FM24" si="276">EY24</f>
        <v>1325</v>
      </c>
      <c r="FN24" s="737">
        <f t="shared" ref="FN24" si="277">SUM(FI24:FM24)</f>
        <v>34620.390127019229</v>
      </c>
      <c r="FO24" s="479">
        <f t="shared" ref="FO24:FO27" si="278">FN24-EZ24</f>
        <v>0</v>
      </c>
      <c r="FP24" s="953">
        <f t="shared" ref="FP24:FP30" si="279">(FF24+FE24)/FG24</f>
        <v>0.14543452518954925</v>
      </c>
      <c r="FQ24" s="953">
        <f t="shared" ref="FQ24:FQ30" si="280">FF24/FG24</f>
        <v>3.8272243470934011E-2</v>
      </c>
      <c r="FR24" s="473"/>
      <c r="FS24" s="737">
        <f>FS10</f>
        <v>1380</v>
      </c>
      <c r="FT24" s="479">
        <f t="shared" ref="FT24" si="281">FS24-SUM(FB24:FD24)</f>
        <v>263.57018388606684</v>
      </c>
      <c r="FU24" s="913">
        <f t="shared" ref="FU24" si="282">FT24/FS24</f>
        <v>0.19099288687396149</v>
      </c>
      <c r="FV24" s="295">
        <f t="shared" ref="FV24" si="283">FS24-FG24</f>
        <v>73.570183886066843</v>
      </c>
      <c r="FW24" s="281">
        <f t="shared" ref="FW24" si="284">FV24/FS24</f>
        <v>5.3311727453671624E-2</v>
      </c>
      <c r="FX24" s="473"/>
      <c r="FY24" s="473" t="str">
        <f t="shared" si="157"/>
        <v>Hạt nhựa rPET WSS01G 1</v>
      </c>
      <c r="FZ24" s="859"/>
      <c r="GA24" s="295"/>
      <c r="GB24" s="296"/>
      <c r="GC24" s="473"/>
      <c r="GD24" s="859"/>
      <c r="GE24" s="797"/>
      <c r="GF24" s="296"/>
      <c r="GH24" s="860"/>
      <c r="GI24" s="797"/>
      <c r="GJ24" s="296"/>
      <c r="GL24" s="860"/>
      <c r="GM24" s="797"/>
      <c r="GN24" s="296"/>
    </row>
    <row r="25" spans="11:196" ht="15" customHeight="1" x14ac:dyDescent="0.35">
      <c r="K25" s="353"/>
      <c r="V25" s="343"/>
      <c r="Y25" s="453">
        <v>12000</v>
      </c>
      <c r="Z25" s="559">
        <v>2.9975830014956364E-4</v>
      </c>
      <c r="AA25" s="562">
        <f>Y25*Z25</f>
        <v>3.5970996017947638</v>
      </c>
      <c r="AB25" s="1095" t="s">
        <v>719</v>
      </c>
      <c r="AC25" s="1095"/>
      <c r="AG25" s="463">
        <f>Y59</f>
        <v>4166.6666666666661</v>
      </c>
      <c r="AH25" s="350">
        <v>4.0949290470105593E-3</v>
      </c>
      <c r="AI25" s="1009">
        <f>AG25*AH25</f>
        <v>17.062204362543994</v>
      </c>
      <c r="AJ25" s="1011" t="s">
        <v>581</v>
      </c>
      <c r="AK25" s="1012"/>
      <c r="AN25" s="1057"/>
      <c r="AO25" s="1057"/>
      <c r="AP25" s="349"/>
      <c r="AQ25" s="349"/>
      <c r="AS25" s="353"/>
      <c r="AZ25" s="466">
        <f>($AI$5*0.7+$AI$123*0.25+$AI$5*0.05)/BA25</f>
        <v>21919.909451355645</v>
      </c>
      <c r="BA25" s="388">
        <f>SUM(BA26,BA30:BA32)</f>
        <v>0.94070114023266149</v>
      </c>
      <c r="BB25" s="580">
        <f>SUM(BA26*BB26,BA30*BB30,BA32*BB32)</f>
        <v>1.026558087916047</v>
      </c>
      <c r="BC25" s="368"/>
      <c r="BD25" s="421">
        <f>(AK6*0.7+AK124*0.25+AK6*0.05)*BA25</f>
        <v>0.75310955749669795</v>
      </c>
      <c r="BE25" s="468">
        <f>($N$5/BD25)*0.75+($N$123/BD25)*0.25</f>
        <v>22266.509755741852</v>
      </c>
      <c r="BF25" s="679">
        <f>BE25-AZ25</f>
        <v>346.60030438620743</v>
      </c>
      <c r="BG25" s="463"/>
      <c r="BS25" s="463">
        <f>N24</f>
        <v>0</v>
      </c>
      <c r="BT25" s="463"/>
      <c r="BU25" s="463"/>
      <c r="BV25" s="463"/>
      <c r="BW25" s="463"/>
      <c r="BX25" s="463"/>
      <c r="BY25" s="769"/>
      <c r="BZ25" s="463">
        <f>AK24</f>
        <v>0</v>
      </c>
      <c r="CA25" s="463"/>
      <c r="CB25" s="463"/>
      <c r="CD25" s="463"/>
      <c r="CE25" s="463"/>
      <c r="CK25" s="482">
        <f>BS14/CK24</f>
        <v>20035.843717346172</v>
      </c>
      <c r="CL25" s="482"/>
      <c r="CM25" s="482"/>
      <c r="CN25" s="482"/>
      <c r="CY25" s="465"/>
      <c r="CZ25" s="387">
        <f>AH71</f>
        <v>0.88600000000000001</v>
      </c>
      <c r="DA25" s="768"/>
      <c r="DB25" s="453"/>
      <c r="DC25" s="453"/>
      <c r="DD25" s="456"/>
      <c r="DE25" s="456"/>
      <c r="DF25" s="456"/>
      <c r="DG25" s="456"/>
      <c r="DH25" s="453"/>
      <c r="DI25" s="453"/>
      <c r="DK25" s="727"/>
      <c r="DL25" s="453"/>
      <c r="DM25" s="476"/>
      <c r="DQ25" s="491" t="str">
        <f>AX88</f>
        <v>100% B1.2_A2 DT (STAR 1)</v>
      </c>
      <c r="DS25" s="387">
        <f>BA104</f>
        <v>0.95300000000000007</v>
      </c>
      <c r="DT25" s="768" t="s">
        <v>872</v>
      </c>
      <c r="DU25" s="479">
        <f>DU24</f>
        <v>27316.951154442198</v>
      </c>
      <c r="DV25" s="479">
        <f>(1*$DC$7+0*$DC$7+0*$DC$45+0*$DC$7)/$DS$23</f>
        <v>17406.789773509561</v>
      </c>
      <c r="DW25" s="479">
        <f>(1*($DD$7+$DE$7+$DF$7)+0*($DD$7+$DE$7+$DF$7)+0*($DD$45+$DE$45+$DF$45)+0*($DD$7+$DE$7+$DF$7))/$DS$23</f>
        <v>10716.718870642815</v>
      </c>
      <c r="DX25" s="479">
        <f>(1*$DG$7+0*$DG$7+0*$DG$45+0*$DG$7)/$DS$23</f>
        <v>-799.45302958852017</v>
      </c>
      <c r="DY25" s="479">
        <f>(1*$DH$7+0*$DH$7+0*$DH$45+0*$DH$7)/$DS$23</f>
        <v>-357.63989355784355</v>
      </c>
      <c r="DZ25" s="479">
        <f>DZ11</f>
        <v>-321.81131370545882</v>
      </c>
      <c r="EA25" s="479">
        <f>EA11</f>
        <v>2103.2594021091791</v>
      </c>
      <c r="EB25" s="479">
        <f t="shared" ref="EB25:EC27" si="285">EB11</f>
        <v>2796.8565141477497</v>
      </c>
      <c r="EC25" s="479">
        <f t="shared" si="285"/>
        <v>2064.9528218457522</v>
      </c>
      <c r="EE25" s="480">
        <f t="shared" ref="EE25" si="286">SUM(DV25:ED25)</f>
        <v>33609.673145403234</v>
      </c>
      <c r="EF25" s="480"/>
      <c r="EG25" s="480">
        <f t="shared" si="251"/>
        <v>1268.2895526567258</v>
      </c>
      <c r="EH25" s="480"/>
      <c r="EI25" s="480">
        <f t="shared" si="252"/>
        <v>2173</v>
      </c>
      <c r="EJ25" s="480">
        <f t="shared" si="252"/>
        <v>1166</v>
      </c>
      <c r="EK25" s="480">
        <f t="shared" si="252"/>
        <v>371</v>
      </c>
      <c r="EL25" s="480">
        <f t="shared" si="253"/>
        <v>3710</v>
      </c>
      <c r="EM25" s="480">
        <f t="shared" ref="EM25" si="287">EE25+EL25</f>
        <v>37319.673145403234</v>
      </c>
      <c r="EN25" s="480">
        <f t="shared" si="255"/>
        <v>1408.2895526567258</v>
      </c>
      <c r="EO25" s="480">
        <f>EO11</f>
        <v>50</v>
      </c>
      <c r="EP25" s="480">
        <f t="shared" ref="EP25" si="288">EN25+EO25</f>
        <v>1458.2895526567258</v>
      </c>
      <c r="EQ25" s="480"/>
      <c r="ER25" s="480">
        <f t="shared" ref="ER25" si="289">SUM(DV25,EA25,DX25:DZ25)/$EG$1</f>
        <v>680.4205637270536</v>
      </c>
      <c r="ES25" s="480">
        <f t="shared" si="258"/>
        <v>727.86898892967235</v>
      </c>
      <c r="ET25" s="480">
        <f t="shared" ref="ET25" si="290">EO25</f>
        <v>50</v>
      </c>
      <c r="EU25" s="480">
        <f t="shared" ref="EU25" si="291">SUM(ER25:ET25)</f>
        <v>1458.2895526567258</v>
      </c>
      <c r="EV25" s="480"/>
      <c r="EW25" s="480">
        <f t="shared" si="261"/>
        <v>18031.14493876692</v>
      </c>
      <c r="EX25" s="480">
        <f t="shared" si="262"/>
        <v>19288.528206636318</v>
      </c>
      <c r="EY25" s="480">
        <f t="shared" ref="EY25" si="292">EO25*$EG$1</f>
        <v>1325</v>
      </c>
      <c r="EZ25" s="480">
        <f t="shared" si="264"/>
        <v>38644.673145403242</v>
      </c>
      <c r="FA25" s="480"/>
      <c r="FB25" s="480">
        <f t="shared" si="265"/>
        <v>656.85999145319101</v>
      </c>
      <c r="FC25" s="480">
        <f t="shared" si="266"/>
        <v>23.560572273862508</v>
      </c>
      <c r="FD25" s="480">
        <f t="shared" si="267"/>
        <v>587.86898892967235</v>
      </c>
      <c r="FE25" s="480">
        <f t="shared" si="268"/>
        <v>140</v>
      </c>
      <c r="FF25" s="480">
        <f t="shared" ref="FF25" si="293">ET25</f>
        <v>50</v>
      </c>
      <c r="FG25" s="480">
        <f t="shared" ref="FG25" si="294">SUM(FB25:FF25)</f>
        <v>1458.2895526567258</v>
      </c>
      <c r="FH25" s="480">
        <f t="shared" ref="FH25" si="295">FG25-EU25</f>
        <v>0</v>
      </c>
      <c r="FI25" s="480">
        <f t="shared" si="272"/>
        <v>17406.789773509561</v>
      </c>
      <c r="FJ25" s="480">
        <f t="shared" ref="FJ25" si="296">SUM(DX25:EA25)</f>
        <v>624.35516525735648</v>
      </c>
      <c r="FK25" s="480">
        <f t="shared" si="274"/>
        <v>15578.528206636318</v>
      </c>
      <c r="FL25" s="480">
        <f t="shared" si="275"/>
        <v>3710</v>
      </c>
      <c r="FM25" s="480">
        <f t="shared" ref="FM25" si="297">EY25</f>
        <v>1325</v>
      </c>
      <c r="FN25" s="480">
        <f t="shared" ref="FN25" si="298">SUM(FI25:FM25)</f>
        <v>38644.673145403234</v>
      </c>
      <c r="FO25" s="479">
        <f t="shared" si="278"/>
        <v>0</v>
      </c>
      <c r="FP25" s="958">
        <f t="shared" si="279"/>
        <v>0.13028962571517858</v>
      </c>
      <c r="FQ25" s="958">
        <f t="shared" si="280"/>
        <v>3.4286743609257521E-2</v>
      </c>
      <c r="FS25" s="734">
        <f>FS24</f>
        <v>1380</v>
      </c>
      <c r="FT25" s="478">
        <f t="shared" ref="FT25" si="299">FS25-SUM(FB25:FD25)</f>
        <v>111.71044734327415</v>
      </c>
      <c r="FU25" s="971">
        <f t="shared" ref="FU25" si="300">FT25/FS25</f>
        <v>8.0949599524111709E-2</v>
      </c>
      <c r="FV25" s="796">
        <f t="shared" ref="FV25" si="301">FS25-FG25</f>
        <v>-78.289552656725846</v>
      </c>
      <c r="FW25" s="985">
        <f t="shared" ref="FW25" si="302">FV25/FS25</f>
        <v>-5.6731559896178146E-2</v>
      </c>
      <c r="FY25" s="340">
        <f t="shared" si="157"/>
        <v>0</v>
      </c>
      <c r="FZ25" s="960"/>
      <c r="GA25" s="796"/>
      <c r="GB25" s="959"/>
      <c r="GD25" s="960"/>
      <c r="GE25" s="796"/>
      <c r="GF25" s="959"/>
      <c r="GH25" s="960"/>
      <c r="GI25" s="796"/>
      <c r="GJ25" s="959"/>
      <c r="GL25" s="960"/>
      <c r="GM25" s="796"/>
      <c r="GN25" s="959"/>
    </row>
    <row r="26" spans="11:196" ht="15.75" customHeight="1" x14ac:dyDescent="0.35">
      <c r="K26" s="353"/>
      <c r="V26" s="343"/>
      <c r="Y26" s="453">
        <v>12000</v>
      </c>
      <c r="Z26" s="559">
        <v>1.9121424199014269E-3</v>
      </c>
      <c r="AA26" s="562">
        <f t="shared" ref="AA26:AA27" si="303">Y26*Z26</f>
        <v>22.945709038817125</v>
      </c>
      <c r="AB26" s="1095" t="s">
        <v>720</v>
      </c>
      <c r="AC26" s="1095"/>
      <c r="AH26" s="341"/>
      <c r="AI26" s="1010"/>
      <c r="AJ26" s="1013"/>
      <c r="AK26" s="1014"/>
      <c r="AN26" s="1057"/>
      <c r="AO26" s="1057"/>
      <c r="AP26" s="349"/>
      <c r="AQ26" s="349"/>
      <c r="AS26" s="353"/>
      <c r="AZ26" s="467">
        <f>$AZ$25/$BB$25*BB26</f>
        <v>23311.793653131866</v>
      </c>
      <c r="BA26" s="576">
        <v>0.92720000000000002</v>
      </c>
      <c r="BB26" s="580">
        <f>BB9</f>
        <v>1.0917431192660549</v>
      </c>
      <c r="BC26" s="433" t="s">
        <v>582</v>
      </c>
      <c r="BD26" s="423"/>
      <c r="BE26" s="368"/>
      <c r="BF26" s="368"/>
      <c r="BG26" s="368"/>
      <c r="BH26" s="368"/>
      <c r="BI26" s="368"/>
      <c r="BJ26" s="368"/>
      <c r="BK26" s="368"/>
      <c r="BL26" s="368"/>
      <c r="BM26" s="368"/>
      <c r="BN26" s="368"/>
      <c r="BO26" s="368"/>
      <c r="BP26" s="368"/>
      <c r="BQ26" s="368"/>
      <c r="BR26" s="368"/>
      <c r="BS26" s="368"/>
      <c r="BT26" s="368"/>
      <c r="BU26" s="368"/>
      <c r="BV26" s="368"/>
      <c r="BW26" s="368"/>
      <c r="BX26" s="368"/>
      <c r="BY26" s="770"/>
      <c r="CY26" s="761" t="str">
        <f>LEFT($CH$2,3)&amp;" "&amp;RIGHT(BK10,2)&amp;"_"&amp;RIGHT($CH$2,3)&amp;" DT"</f>
        <v>Vảy B4_ A1 DT</v>
      </c>
      <c r="CZ26" s="761"/>
      <c r="DA26" s="773" t="s">
        <v>871</v>
      </c>
      <c r="DB26" s="482">
        <f>BZ10/CZ25</f>
        <v>18106.501327780818</v>
      </c>
      <c r="DC26" s="482">
        <f>CL10</f>
        <v>12992.638114934616</v>
      </c>
      <c r="DD26" s="484">
        <f t="shared" ref="DD26:DI26" si="304">CM10</f>
        <v>3303.2130800681216</v>
      </c>
      <c r="DE26" s="484">
        <f t="shared" si="304"/>
        <v>2104.9096872249238</v>
      </c>
      <c r="DF26" s="485">
        <f t="shared" si="304"/>
        <v>1273.8558498087386</v>
      </c>
      <c r="DG26" s="485">
        <f t="shared" si="304"/>
        <v>-673.19999999999993</v>
      </c>
      <c r="DH26" s="482">
        <f t="shared" si="304"/>
        <v>-453</v>
      </c>
      <c r="DI26" s="482">
        <f t="shared" si="304"/>
        <v>1810.6501327780813</v>
      </c>
      <c r="DK26" s="486">
        <f t="shared" ref="DK26:DK31" si="305">SUM(DC26:DI26)</f>
        <v>20359.066864814486</v>
      </c>
      <c r="DL26" s="453">
        <f t="shared" ref="DL26:DL31" si="306">DK26/$CU$2</f>
        <v>768.26667414394285</v>
      </c>
      <c r="DM26" s="494">
        <f t="shared" ref="DM26:DM31" si="307">$CV$2+DL26</f>
        <v>838.26667414394285</v>
      </c>
      <c r="DN26" s="585">
        <f>DM26/$DM$30</f>
        <v>1.578775551945492</v>
      </c>
      <c r="DQ26" s="491"/>
      <c r="DR26" s="473" t="str">
        <f>BC105</f>
        <v>Hạt nhựa rPET WSS01G 2</v>
      </c>
      <c r="DS26" s="764"/>
      <c r="DT26" s="773" t="s">
        <v>871</v>
      </c>
      <c r="DU26" s="479">
        <f>AZ88</f>
        <v>26610.478279758347</v>
      </c>
      <c r="DV26" s="479">
        <f>(1*$DC$6+0*$DC$6+0*$DC$44+0*$DC$6)/$DS$25</f>
        <v>15991.418748175691</v>
      </c>
      <c r="DW26" s="479">
        <f>(1*($DD$6+$DE$6+$DF$6)+0*($DD$6+$DE$6+$DF$6)+0*($DD$44+$DE$44+$DF$44)+0*($DD$6+$DE$6+$DF$6))/$DS$25</f>
        <v>7512.3400568557317</v>
      </c>
      <c r="DX26" s="479">
        <f>(1*$DG$6+0*$DG$6+0*$DG$44+0*$DG$6)/$DS$25</f>
        <v>-734.44835791051923</v>
      </c>
      <c r="DY26" s="479">
        <f>(1*$DH$6+0*$DH$6+0*$DH$44+0*$DH$6)/$DS$25</f>
        <v>-328.55968121360024</v>
      </c>
      <c r="DZ26" s="479">
        <f>DZ10</f>
        <v>-321.81131370545882</v>
      </c>
      <c r="EA26" s="479">
        <f>EA10</f>
        <v>2103.2594021091791</v>
      </c>
      <c r="EB26" s="479">
        <f>EB4</f>
        <v>2000.939404729972</v>
      </c>
      <c r="EC26" s="479">
        <f>EC4</f>
        <v>1376.0623421472308</v>
      </c>
      <c r="ED26" s="479"/>
      <c r="EE26" s="487">
        <f t="shared" ref="EE26:EE27" si="308">SUM(DV26:ED26)</f>
        <v>27599.200601188229</v>
      </c>
      <c r="EF26" s="479">
        <f t="shared" ref="EF26" si="309">$EF$6</f>
        <v>23509.852491131598</v>
      </c>
      <c r="EG26" s="487">
        <f t="shared" si="251"/>
        <v>1041.4792679693671</v>
      </c>
      <c r="EH26" s="473"/>
      <c r="EI26" s="479">
        <f>EI6</f>
        <v>2173</v>
      </c>
      <c r="EJ26" s="479">
        <f>EJ6</f>
        <v>1166</v>
      </c>
      <c r="EK26" s="479">
        <f>EK6</f>
        <v>371</v>
      </c>
      <c r="EL26" s="480">
        <f t="shared" si="253"/>
        <v>3710</v>
      </c>
      <c r="EM26" s="480">
        <f t="shared" ref="EM26:EM27" si="310">EE26+EL26</f>
        <v>31309.200601188229</v>
      </c>
      <c r="EN26" s="487">
        <f t="shared" si="255"/>
        <v>1181.4792679693671</v>
      </c>
      <c r="EO26" s="479">
        <f>EO12</f>
        <v>50</v>
      </c>
      <c r="EP26" s="735">
        <f t="shared" ref="EP26:EP27" si="311">EN26+EO26</f>
        <v>1231.4792679693671</v>
      </c>
      <c r="EQ26" s="473"/>
      <c r="ER26" s="735">
        <f t="shared" ref="ER26:ER27" si="312">SUM(DV26,EA26,DX26:DZ26)/$EG$1</f>
        <v>630.56070933793558</v>
      </c>
      <c r="ES26" s="735">
        <f t="shared" si="258"/>
        <v>550.91855863143144</v>
      </c>
      <c r="ET26" s="735">
        <f t="shared" ref="ET26:ET27" si="313">EO26</f>
        <v>50</v>
      </c>
      <c r="EU26" s="737">
        <f t="shared" ref="EU26:EU27" si="314">SUM(ER26:ET26)</f>
        <v>1231.4792679693669</v>
      </c>
      <c r="EV26" s="473"/>
      <c r="EW26" s="735">
        <f t="shared" si="261"/>
        <v>16709.858797455294</v>
      </c>
      <c r="EX26" s="735">
        <f t="shared" si="262"/>
        <v>14599.341803732934</v>
      </c>
      <c r="EY26" s="735">
        <f t="shared" ref="EY26:EY27" si="315">EO26*$EG$1</f>
        <v>1325</v>
      </c>
      <c r="EZ26" s="737">
        <f t="shared" si="264"/>
        <v>32634.200601188226</v>
      </c>
      <c r="FA26" s="473"/>
      <c r="FB26" s="735">
        <f t="shared" si="265"/>
        <v>603.44976408210152</v>
      </c>
      <c r="FC26" s="735">
        <f t="shared" si="266"/>
        <v>27.11094525583399</v>
      </c>
      <c r="FD26" s="735">
        <f t="shared" si="267"/>
        <v>410.91855863143144</v>
      </c>
      <c r="FE26" s="735">
        <f t="shared" si="268"/>
        <v>140</v>
      </c>
      <c r="FF26" s="735">
        <f t="shared" ref="FF26:FF27" si="316">ET26</f>
        <v>50</v>
      </c>
      <c r="FG26" s="737">
        <f t="shared" ref="FG26:FG27" si="317">SUM(FB26:FF26)</f>
        <v>1231.4792679693669</v>
      </c>
      <c r="FH26" s="952">
        <f t="shared" ref="FH26" si="318">FG26-EU26</f>
        <v>0</v>
      </c>
      <c r="FI26" s="735">
        <f t="shared" si="272"/>
        <v>15991.418748175691</v>
      </c>
      <c r="FJ26" s="735">
        <f t="shared" ref="FJ26:FJ27" si="319">SUM(DX26:EA26)</f>
        <v>718.44004927960077</v>
      </c>
      <c r="FK26" s="735">
        <f t="shared" si="274"/>
        <v>10889.341803732934</v>
      </c>
      <c r="FL26" s="735">
        <f t="shared" si="275"/>
        <v>3710</v>
      </c>
      <c r="FM26" s="735">
        <f t="shared" ref="FM26:FM27" si="320">EY26</f>
        <v>1325</v>
      </c>
      <c r="FN26" s="737">
        <f t="shared" ref="FN26:FN27" si="321">SUM(FI26:FM26)</f>
        <v>32634.200601188226</v>
      </c>
      <c r="FO26" s="479">
        <f t="shared" si="278"/>
        <v>0</v>
      </c>
      <c r="FP26" s="953">
        <f t="shared" si="279"/>
        <v>0.15428599160528153</v>
      </c>
      <c r="FQ26" s="953">
        <f t="shared" si="280"/>
        <v>4.0601576738231983E-2</v>
      </c>
      <c r="FR26" s="473"/>
      <c r="FS26" s="737">
        <f>FS24</f>
        <v>1380</v>
      </c>
      <c r="FT26" s="479">
        <f t="shared" ref="FT26:FT27" si="322">FS26-SUM(FB26:FD26)</f>
        <v>338.5207320306331</v>
      </c>
      <c r="FU26" s="913">
        <f t="shared" ref="FU26:FU27" si="323">FT26/FS26</f>
        <v>0.24530487828306746</v>
      </c>
      <c r="FV26" s="295">
        <f t="shared" ref="FV26:FV27" si="324">FS26-FG26</f>
        <v>148.5207320306331</v>
      </c>
      <c r="FW26" s="281">
        <f t="shared" ref="FW26:FW27" si="325">FV26/FS26</f>
        <v>0.10762371886277761</v>
      </c>
      <c r="FX26" s="473"/>
      <c r="FY26" s="473" t="str">
        <f t="shared" si="157"/>
        <v>Hạt nhựa rPET WSS01G 2</v>
      </c>
      <c r="FZ26" s="859"/>
      <c r="GA26" s="295"/>
      <c r="GB26" s="296"/>
      <c r="GC26" s="473"/>
      <c r="GD26" s="859"/>
      <c r="GE26" s="797"/>
      <c r="GF26" s="296"/>
      <c r="GH26" s="860"/>
      <c r="GI26" s="797"/>
      <c r="GJ26" s="296"/>
      <c r="GL26" s="860"/>
      <c r="GM26" s="797"/>
      <c r="GN26" s="296"/>
    </row>
    <row r="27" spans="11:196" ht="15.75" customHeight="1" x14ac:dyDescent="0.35">
      <c r="K27" s="353"/>
      <c r="V27" s="343"/>
      <c r="Y27" s="453">
        <v>12000</v>
      </c>
      <c r="Z27" s="559">
        <v>9.1505165308814162E-5</v>
      </c>
      <c r="AA27" s="562">
        <f t="shared" si="303"/>
        <v>1.0980619837057699</v>
      </c>
      <c r="AB27" s="1095" t="s">
        <v>721</v>
      </c>
      <c r="AC27" s="1095"/>
      <c r="AG27" s="463">
        <f>AG25</f>
        <v>4166.6666666666661</v>
      </c>
      <c r="AH27" s="350">
        <v>2.8650211850158049E-3</v>
      </c>
      <c r="AI27" s="1009">
        <f>AG27*AH27</f>
        <v>11.937588270899186</v>
      </c>
      <c r="AJ27" s="1011" t="s">
        <v>583</v>
      </c>
      <c r="AK27" s="1012"/>
      <c r="AN27" s="1057"/>
      <c r="AO27" s="1057"/>
      <c r="AP27" s="349"/>
      <c r="AQ27" s="349"/>
      <c r="AS27" s="353"/>
      <c r="AZ27" s="349"/>
      <c r="BA27" s="356"/>
      <c r="BB27" s="356"/>
      <c r="BC27" s="424"/>
      <c r="BD27" s="425"/>
      <c r="BE27" s="368"/>
      <c r="BF27" s="368"/>
      <c r="BG27" s="368"/>
      <c r="BH27" s="368"/>
      <c r="BI27" s="368"/>
      <c r="BJ27" s="368"/>
      <c r="BK27" s="368"/>
      <c r="BL27" s="368"/>
      <c r="BM27" s="368"/>
      <c r="BN27" s="368"/>
      <c r="BO27" s="368"/>
      <c r="BP27" s="368"/>
      <c r="BQ27" s="368"/>
      <c r="BR27" s="368"/>
      <c r="BS27" s="368"/>
      <c r="BT27" s="368"/>
      <c r="BU27" s="368"/>
      <c r="BV27" s="368"/>
      <c r="BW27" s="368"/>
      <c r="BX27" s="368"/>
      <c r="BY27" s="770"/>
      <c r="CY27" s="465"/>
      <c r="CZ27" s="387">
        <v>1</v>
      </c>
      <c r="DA27" s="768" t="s">
        <v>872</v>
      </c>
      <c r="DB27" s="453">
        <f t="shared" ref="DB27:DC27" si="326">DB26</f>
        <v>18106.501327780818</v>
      </c>
      <c r="DC27" s="453">
        <f t="shared" si="326"/>
        <v>12992.638114934616</v>
      </c>
      <c r="DD27" s="456">
        <f>AJ68</f>
        <v>3303.2130800681216</v>
      </c>
      <c r="DE27" s="456">
        <f>+CC11</f>
        <v>3240.9192930660097</v>
      </c>
      <c r="DF27" s="485">
        <f>DF7</f>
        <v>2013.5603276057439</v>
      </c>
      <c r="DG27" s="485">
        <f>CP11</f>
        <v>-673.19999999999993</v>
      </c>
      <c r="DH27" s="453">
        <f t="shared" ref="DH27:DI27" si="327">DH26</f>
        <v>-453</v>
      </c>
      <c r="DI27" s="453">
        <f t="shared" si="327"/>
        <v>1810.6501327780813</v>
      </c>
      <c r="DK27" s="727">
        <f t="shared" si="305"/>
        <v>22234.780948452575</v>
      </c>
      <c r="DL27" s="453">
        <f t="shared" si="306"/>
        <v>839.04833767745572</v>
      </c>
      <c r="DM27" s="476">
        <f t="shared" si="307"/>
        <v>909.04833767745572</v>
      </c>
      <c r="DN27" s="340"/>
      <c r="DQ27" s="491" t="str">
        <f>AX108</f>
        <v>100% B1.2_A2 DT (STAR 2)</v>
      </c>
      <c r="DR27" s="473"/>
      <c r="DS27" s="387">
        <f>BA122</f>
        <v>0.92919588426269883</v>
      </c>
      <c r="DT27" s="768" t="s">
        <v>872</v>
      </c>
      <c r="DU27" s="479">
        <f>DU26</f>
        <v>26610.478279758347</v>
      </c>
      <c r="DV27" s="479">
        <f>(1*$DC$7+0*$DC$7+0*$DC$45+0*$DC$7)/$DS$25</f>
        <v>15991.418748175691</v>
      </c>
      <c r="DW27" s="479">
        <f>(1*($DD$7+$DE$7+$DF$7)+0*($DD$7+$DE$7+$DF$7)+0*($DD$45+$DE$45+$DF$45)+0*($DD$7+$DE$7+$DF$7))/$DS$25</f>
        <v>9845.3270991836052</v>
      </c>
      <c r="DX27" s="479">
        <f>(1*$DG$7+0*$DG$7+0*$DG$45+0*$DG$7)/$DS$25</f>
        <v>-734.44835791051923</v>
      </c>
      <c r="DY27" s="479">
        <f>(1*$DH$7+0*$DH$7+0*$DH$45+0*$DH$7)/$DS$25</f>
        <v>-328.55968121360024</v>
      </c>
      <c r="DZ27" s="479">
        <f>DZ11</f>
        <v>-321.81131370545882</v>
      </c>
      <c r="EA27" s="479">
        <f>EA11</f>
        <v>2103.2594021091791</v>
      </c>
      <c r="EB27" s="479">
        <f t="shared" si="285"/>
        <v>2796.8565141477497</v>
      </c>
      <c r="EC27" s="479">
        <f>EC5</f>
        <v>2064.9528218457522</v>
      </c>
      <c r="ED27" s="480"/>
      <c r="EE27" s="479">
        <f t="shared" si="308"/>
        <v>31416.995232632398</v>
      </c>
      <c r="EF27" s="479"/>
      <c r="EG27" s="479">
        <f t="shared" si="251"/>
        <v>1185.5469899106565</v>
      </c>
      <c r="EH27" s="473"/>
      <c r="EI27" s="479">
        <f>EI13</f>
        <v>2173</v>
      </c>
      <c r="EJ27" s="479">
        <f>EJ13</f>
        <v>1166</v>
      </c>
      <c r="EK27" s="479">
        <f>EK13</f>
        <v>371</v>
      </c>
      <c r="EL27" s="480">
        <f t="shared" si="253"/>
        <v>3710</v>
      </c>
      <c r="EM27" s="480">
        <f t="shared" si="310"/>
        <v>35126.995232632398</v>
      </c>
      <c r="EN27" s="479">
        <f t="shared" si="255"/>
        <v>1325.5469899106565</v>
      </c>
      <c r="EO27" s="479">
        <f>EO19</f>
        <v>50</v>
      </c>
      <c r="EP27" s="735">
        <f t="shared" si="311"/>
        <v>1375.5469899106565</v>
      </c>
      <c r="EQ27" s="473"/>
      <c r="ER27" s="735">
        <f t="shared" si="312"/>
        <v>630.56070933793558</v>
      </c>
      <c r="ES27" s="735">
        <f t="shared" si="258"/>
        <v>694.98628057272106</v>
      </c>
      <c r="ET27" s="735">
        <f t="shared" si="313"/>
        <v>50</v>
      </c>
      <c r="EU27" s="735">
        <f t="shared" si="314"/>
        <v>1375.5469899106565</v>
      </c>
      <c r="EV27" s="473"/>
      <c r="EW27" s="735">
        <f t="shared" si="261"/>
        <v>16709.858797455294</v>
      </c>
      <c r="EX27" s="735">
        <f t="shared" si="262"/>
        <v>18417.136435177108</v>
      </c>
      <c r="EY27" s="735">
        <f t="shared" si="315"/>
        <v>1325</v>
      </c>
      <c r="EZ27" s="735">
        <f t="shared" si="264"/>
        <v>36451.995232632398</v>
      </c>
      <c r="FA27" s="473"/>
      <c r="FB27" s="735">
        <f t="shared" si="265"/>
        <v>603.44976408210152</v>
      </c>
      <c r="FC27" s="735">
        <f t="shared" si="266"/>
        <v>27.11094525583399</v>
      </c>
      <c r="FD27" s="735">
        <f t="shared" si="267"/>
        <v>554.98628057272106</v>
      </c>
      <c r="FE27" s="735">
        <f t="shared" si="268"/>
        <v>140</v>
      </c>
      <c r="FF27" s="735">
        <f t="shared" si="316"/>
        <v>50</v>
      </c>
      <c r="FG27" s="735">
        <f t="shared" si="317"/>
        <v>1375.5469899106565</v>
      </c>
      <c r="FH27" s="952">
        <f>FG27-EU27</f>
        <v>0</v>
      </c>
      <c r="FI27" s="735">
        <f t="shared" si="272"/>
        <v>15991.418748175691</v>
      </c>
      <c r="FJ27" s="735">
        <f t="shared" si="319"/>
        <v>718.44004927960077</v>
      </c>
      <c r="FK27" s="735">
        <f t="shared" si="274"/>
        <v>14707.136435177108</v>
      </c>
      <c r="FL27" s="735">
        <f t="shared" si="275"/>
        <v>3710</v>
      </c>
      <c r="FM27" s="735">
        <f t="shared" si="320"/>
        <v>1325</v>
      </c>
      <c r="FN27" s="735">
        <f t="shared" si="321"/>
        <v>36451.995232632398</v>
      </c>
      <c r="FO27" s="479">
        <f t="shared" si="278"/>
        <v>0</v>
      </c>
      <c r="FP27" s="958">
        <f t="shared" si="279"/>
        <v>0.13812686981514222</v>
      </c>
      <c r="FQ27" s="958">
        <f t="shared" si="280"/>
        <v>3.6349176267142687E-2</v>
      </c>
      <c r="FS27" s="734">
        <f>FS24</f>
        <v>1380</v>
      </c>
      <c r="FT27" s="478">
        <f t="shared" si="322"/>
        <v>194.45301008934348</v>
      </c>
      <c r="FU27" s="971">
        <f t="shared" si="323"/>
        <v>0.14090797832561122</v>
      </c>
      <c r="FV27" s="796">
        <f t="shared" si="324"/>
        <v>4.4530100893434792</v>
      </c>
      <c r="FW27" s="985">
        <f t="shared" si="325"/>
        <v>3.2268189053213619E-3</v>
      </c>
      <c r="FY27" s="340">
        <f t="shared" si="157"/>
        <v>0</v>
      </c>
      <c r="FZ27" s="960"/>
      <c r="GA27" s="796"/>
      <c r="GB27" s="959"/>
      <c r="GD27" s="960"/>
      <c r="GE27" s="796"/>
      <c r="GF27" s="959"/>
      <c r="GH27" s="960"/>
      <c r="GI27" s="796"/>
      <c r="GJ27" s="959"/>
      <c r="GL27" s="960"/>
      <c r="GM27" s="796"/>
      <c r="GN27" s="959"/>
    </row>
    <row r="28" spans="11:196" ht="45" x14ac:dyDescent="0.35">
      <c r="K28" s="353"/>
      <c r="V28" s="343"/>
      <c r="AH28" s="341"/>
      <c r="AI28" s="1010"/>
      <c r="AJ28" s="1013"/>
      <c r="AK28" s="1014"/>
      <c r="AN28" s="1057"/>
      <c r="AO28" s="1057"/>
      <c r="AP28" s="349"/>
      <c r="AQ28" s="349"/>
      <c r="AS28" s="358"/>
      <c r="AT28" s="1029" t="s">
        <v>584</v>
      </c>
      <c r="AU28" s="1030"/>
      <c r="AV28" s="359"/>
      <c r="AW28" s="359"/>
      <c r="AX28" s="1015" t="s">
        <v>585</v>
      </c>
      <c r="AY28" s="1016"/>
      <c r="AZ28" s="346"/>
      <c r="BA28" s="348">
        <v>1.89E-2</v>
      </c>
      <c r="BB28" s="350"/>
      <c r="BC28" s="433" t="s">
        <v>586</v>
      </c>
      <c r="BD28" s="423"/>
      <c r="CH28" s="877" t="s">
        <v>939</v>
      </c>
      <c r="CI28" s="453">
        <f>'Hảo_R&amp;D (Hạt) (full stage)-MN'!V1</f>
        <v>18300</v>
      </c>
      <c r="CK28" s="532" t="s">
        <v>942</v>
      </c>
      <c r="CL28" s="532" t="s">
        <v>942</v>
      </c>
      <c r="CM28" s="536"/>
      <c r="CN28" s="536"/>
      <c r="CO28" s="536" t="s">
        <v>660</v>
      </c>
      <c r="CP28" s="532" t="s">
        <v>876</v>
      </c>
      <c r="CQ28" s="532" t="s">
        <v>881</v>
      </c>
      <c r="CR28" s="876" t="s">
        <v>941</v>
      </c>
      <c r="CS28" s="532"/>
      <c r="CT28" s="537" t="s">
        <v>873</v>
      </c>
      <c r="CU28" s="748" t="s">
        <v>392</v>
      </c>
      <c r="CV28" s="744" t="s">
        <v>392</v>
      </c>
      <c r="CW28" s="744" t="s">
        <v>753</v>
      </c>
      <c r="CY28" s="465" t="str">
        <f>LEFT($CH$2,3)&amp;" "&amp;RIGHT($BK$10,2)&amp;"_"&amp;"A"&amp;"2"&amp;" DT"</f>
        <v>Vảy B4_A2 DT</v>
      </c>
      <c r="CZ28" s="761"/>
      <c r="DA28" s="773" t="s">
        <v>871</v>
      </c>
      <c r="DB28" s="476">
        <f>DB26*$CZ$29</f>
        <v>14485.201062224654</v>
      </c>
      <c r="DC28" s="482">
        <f t="shared" ref="DC28:DI28" si="328">DC26*$CZ$29</f>
        <v>10394.110491947693</v>
      </c>
      <c r="DD28" s="484">
        <f t="shared" si="328"/>
        <v>2642.5704640544973</v>
      </c>
      <c r="DE28" s="484">
        <f t="shared" ref="DE28" si="329">DE26*$CZ$29</f>
        <v>1683.9277497799392</v>
      </c>
      <c r="DF28" s="484">
        <f>DF26*$CZ$29</f>
        <v>1019.084679846991</v>
      </c>
      <c r="DG28" s="484">
        <f>DG26*$CZ$29</f>
        <v>-538.55999999999995</v>
      </c>
      <c r="DH28" s="482">
        <f t="shared" si="328"/>
        <v>-362.40000000000003</v>
      </c>
      <c r="DI28" s="482">
        <f t="shared" si="328"/>
        <v>1448.5201062224651</v>
      </c>
      <c r="DK28" s="486">
        <f t="shared" si="305"/>
        <v>16287.253491851585</v>
      </c>
      <c r="DL28" s="453">
        <f t="shared" si="306"/>
        <v>614.61333931515412</v>
      </c>
      <c r="DM28" s="494">
        <f t="shared" si="307"/>
        <v>684.61333931515412</v>
      </c>
      <c r="DN28" s="585">
        <f>DM28/$DM$30</f>
        <v>1.2893877759727459</v>
      </c>
      <c r="DQ28" s="491"/>
      <c r="DR28" s="473" t="str">
        <f>BC123</f>
        <v>Hạt nhựa rPET WSS01G 1</v>
      </c>
      <c r="DS28" s="764"/>
      <c r="DT28" s="773" t="s">
        <v>871</v>
      </c>
      <c r="DU28" s="479">
        <f>AZ109</f>
        <v>23999.869365652634</v>
      </c>
      <c r="DV28" s="479">
        <f>(0.95*$DC$6+0*$DC$6+0*$DC$44+0.05*$DC$6)/$DS$27</f>
        <v>16401.086493300576</v>
      </c>
      <c r="DW28" s="479">
        <f>(0.95*($DD$6+$DE$6+$DF$6)+0*($DD$6+$DE$6+$DF$6)+0*($DD$44+$DE$44+$DF$44)+0.05*($DD$6+$DE$6+$DF$6))/$DS$27</f>
        <v>7704.7909869556352</v>
      </c>
      <c r="DX28" s="479">
        <f>(0.95*$DG$6+0*$DG$6+0*$DG$44+0.05*$DG$6)/$DS$27</f>
        <v>-753.26343663705177</v>
      </c>
      <c r="DY28" s="479">
        <f>(0.95*$DH$6+0*$DH$6+0*$DH$44+0.05*$DH$6)/$DS$27</f>
        <v>-336.97671449009312</v>
      </c>
      <c r="DZ28" s="479">
        <f t="shared" ref="DZ28:EC31" si="330">DZ10</f>
        <v>-321.81131370545882</v>
      </c>
      <c r="EA28" s="479">
        <f t="shared" si="330"/>
        <v>2103.2594021091791</v>
      </c>
      <c r="EB28" s="479">
        <f t="shared" si="330"/>
        <v>2000.939404729972</v>
      </c>
      <c r="EC28" s="479">
        <f t="shared" si="330"/>
        <v>1376.0623421472308</v>
      </c>
      <c r="ED28" s="479"/>
      <c r="EE28" s="479">
        <f t="shared" ref="EE28" si="331">SUM(DV28:ED28)</f>
        <v>28174.087164409986</v>
      </c>
      <c r="EF28" s="479">
        <f t="shared" ref="EF28" si="332">$EF$6</f>
        <v>23509.852491131598</v>
      </c>
      <c r="EG28" s="479">
        <f t="shared" si="251"/>
        <v>1063.173100543773</v>
      </c>
      <c r="EH28" s="473"/>
      <c r="EI28" s="479">
        <f t="shared" ref="EI28:EK29" si="333">EI6</f>
        <v>2173</v>
      </c>
      <c r="EJ28" s="479">
        <f t="shared" si="333"/>
        <v>1166</v>
      </c>
      <c r="EK28" s="479">
        <f t="shared" si="333"/>
        <v>371</v>
      </c>
      <c r="EL28" s="480">
        <f t="shared" si="253"/>
        <v>3710</v>
      </c>
      <c r="EM28" s="480">
        <f t="shared" ref="EM28" si="334">EE28+EL28</f>
        <v>31884.087164409986</v>
      </c>
      <c r="EN28" s="479">
        <f t="shared" si="255"/>
        <v>1203.173100543773</v>
      </c>
      <c r="EO28" s="479">
        <f>EO10</f>
        <v>50</v>
      </c>
      <c r="EP28" s="735">
        <f t="shared" ref="EP28" si="335">EN28+EO28</f>
        <v>1253.173100543773</v>
      </c>
      <c r="EQ28" s="473"/>
      <c r="ER28" s="735">
        <f t="shared" ref="ER28" si="336">SUM(DV28,EA28,DX28:DZ28)/$EG$1</f>
        <v>644.99224266328872</v>
      </c>
      <c r="ES28" s="735">
        <f t="shared" si="258"/>
        <v>558.18085788048438</v>
      </c>
      <c r="ET28" s="735">
        <f t="shared" ref="ET28" si="337">EO28</f>
        <v>50</v>
      </c>
      <c r="EU28" s="735">
        <f t="shared" ref="EU28" si="338">SUM(ER28:ET28)</f>
        <v>1253.1731005437732</v>
      </c>
      <c r="EV28" s="473"/>
      <c r="EW28" s="735">
        <f t="shared" ref="EW28:EW35" si="339">SUM(DV28,EA28,DX28:DZ28)</f>
        <v>17092.294430577153</v>
      </c>
      <c r="EX28" s="735">
        <f t="shared" ref="EX28:EX35" si="340">SUM(DW28,EB28,EC28,EI28:EK28)</f>
        <v>14791.792733832837</v>
      </c>
      <c r="EY28" s="735">
        <f t="shared" ref="EY28" si="341">EO28*$EG$1</f>
        <v>1325</v>
      </c>
      <c r="EZ28" s="735">
        <f t="shared" ref="EZ28" si="342">SUM(EW28:EY28)</f>
        <v>33209.08716440999</v>
      </c>
      <c r="FA28" s="473"/>
      <c r="FB28" s="735">
        <f t="shared" si="265"/>
        <v>618.9089242754934</v>
      </c>
      <c r="FC28" s="735">
        <f t="shared" si="266"/>
        <v>26.083318387795298</v>
      </c>
      <c r="FD28" s="735">
        <f t="shared" si="267"/>
        <v>418.18085788048444</v>
      </c>
      <c r="FE28" s="735">
        <f t="shared" si="268"/>
        <v>140</v>
      </c>
      <c r="FF28" s="735">
        <f t="shared" ref="FF28" si="343">ET28</f>
        <v>50</v>
      </c>
      <c r="FG28" s="735">
        <f t="shared" ref="FG28" si="344">SUM(FB28:FF28)</f>
        <v>1253.1731005437732</v>
      </c>
      <c r="FH28" s="952">
        <f t="shared" ref="FH28" si="345">FG28-EU28</f>
        <v>0</v>
      </c>
      <c r="FI28" s="735">
        <f t="shared" si="272"/>
        <v>16401.086493300576</v>
      </c>
      <c r="FJ28" s="735">
        <f t="shared" ref="FJ28" si="346">SUM(DX28:EA28)</f>
        <v>691.20793727657542</v>
      </c>
      <c r="FK28" s="735">
        <f t="shared" si="274"/>
        <v>11081.792733832837</v>
      </c>
      <c r="FL28" s="735">
        <f t="shared" si="275"/>
        <v>3710</v>
      </c>
      <c r="FM28" s="735">
        <f t="shared" ref="FM28" si="347">EY28</f>
        <v>1325</v>
      </c>
      <c r="FN28" s="735">
        <f t="shared" ref="FN28" si="348">SUM(FI28:FM28)</f>
        <v>33209.08716440999</v>
      </c>
      <c r="FO28" s="479">
        <f t="shared" ref="FO28:FO35" si="349">FN28-EZ28</f>
        <v>0</v>
      </c>
      <c r="FP28" s="953">
        <f t="shared" si="279"/>
        <v>0.15161512796401053</v>
      </c>
      <c r="FQ28" s="953">
        <f t="shared" si="280"/>
        <v>3.989871788526593E-2</v>
      </c>
      <c r="FR28" s="473"/>
      <c r="FS28" s="735">
        <f>FS24</f>
        <v>1380</v>
      </c>
      <c r="FT28" s="479">
        <f t="shared" ref="FT28" si="350">FS28-SUM(FB28:FD28)</f>
        <v>316.82689945622678</v>
      </c>
      <c r="FU28" s="913">
        <f t="shared" ref="FU28" si="351">FT28/FS28</f>
        <v>0.22958470975088896</v>
      </c>
      <c r="FV28" s="295">
        <f t="shared" ref="FV28" si="352">FS28-FG28</f>
        <v>126.82689945622678</v>
      </c>
      <c r="FW28" s="281">
        <f t="shared" ref="FW28" si="353">FV28/FS28</f>
        <v>9.1903550330599118E-2</v>
      </c>
      <c r="FX28" s="473"/>
      <c r="FY28" s="473" t="str">
        <f t="shared" si="157"/>
        <v>Hạt nhựa rPET WSS01G 1</v>
      </c>
      <c r="FZ28" s="859"/>
      <c r="GA28" s="295"/>
      <c r="GB28" s="296"/>
      <c r="GC28" s="473"/>
      <c r="GD28" s="859"/>
      <c r="GE28" s="295"/>
      <c r="GF28" s="296"/>
      <c r="GG28" s="473"/>
      <c r="GH28" s="859"/>
      <c r="GI28" s="797"/>
      <c r="GJ28" s="296"/>
      <c r="GL28" s="860"/>
      <c r="GM28" s="797"/>
      <c r="GN28" s="296"/>
    </row>
    <row r="29" spans="11:196" x14ac:dyDescent="0.35">
      <c r="K29" s="353"/>
      <c r="V29" s="343"/>
      <c r="AG29" s="463">
        <f>AG151</f>
        <v>10000</v>
      </c>
      <c r="AH29" s="350">
        <v>2.1016880758625328E-3</v>
      </c>
      <c r="AI29" s="1009">
        <f>AG29*AH29</f>
        <v>21.016880758625327</v>
      </c>
      <c r="AJ29" s="1011" t="s">
        <v>587</v>
      </c>
      <c r="AK29" s="1012"/>
      <c r="AN29" s="1057"/>
      <c r="AO29" s="1057"/>
      <c r="AP29" s="349"/>
      <c r="AQ29" s="349"/>
      <c r="AS29" s="353"/>
      <c r="AT29" s="1031"/>
      <c r="AU29" s="1032"/>
      <c r="AV29" s="349"/>
      <c r="AW29" s="369"/>
      <c r="AX29" s="1017"/>
      <c r="AY29" s="1018"/>
      <c r="BA29" s="361"/>
      <c r="BB29" s="361"/>
      <c r="BC29" s="431"/>
      <c r="BD29" s="432"/>
      <c r="CI29" s="759" t="s">
        <v>870</v>
      </c>
      <c r="CO29" s="798">
        <f>'Hảo_R&amp;D (Hạt) (full stage)-MN'!AK1</f>
        <v>1636.9775154230633</v>
      </c>
      <c r="CY29" s="465"/>
      <c r="CZ29" s="387">
        <v>0.8</v>
      </c>
      <c r="DA29" s="768" t="s">
        <v>872</v>
      </c>
      <c r="DB29" s="453">
        <f>DB27*$CZ$29</f>
        <v>14485.201062224654</v>
      </c>
      <c r="DC29" s="453">
        <f t="shared" ref="DC29:DI29" si="354">DC27*$CZ$29</f>
        <v>10394.110491947693</v>
      </c>
      <c r="DD29" s="456">
        <f t="shared" si="354"/>
        <v>2642.5704640544973</v>
      </c>
      <c r="DE29" s="456">
        <f t="shared" ref="DE29" si="355">DE27*$CZ$29</f>
        <v>2592.735434452808</v>
      </c>
      <c r="DF29" s="484">
        <f>DF27*$CZ$29</f>
        <v>1610.8482620845953</v>
      </c>
      <c r="DG29" s="484">
        <f>DG27*$CZ$29</f>
        <v>-538.55999999999995</v>
      </c>
      <c r="DH29" s="453">
        <f t="shared" si="354"/>
        <v>-362.40000000000003</v>
      </c>
      <c r="DI29" s="453">
        <f t="shared" si="354"/>
        <v>1448.5201062224651</v>
      </c>
      <c r="DK29" s="727">
        <f t="shared" si="305"/>
        <v>17787.824758762057</v>
      </c>
      <c r="DL29" s="453">
        <f t="shared" si="306"/>
        <v>671.23867014196446</v>
      </c>
      <c r="DM29" s="476">
        <f t="shared" si="307"/>
        <v>741.23867014196446</v>
      </c>
      <c r="DN29" s="340"/>
      <c r="DQ29" s="491" t="str">
        <f>AX125</f>
        <v>95% B1-A1/A2.1 MN + 5% Hạt WSS03G PL</v>
      </c>
      <c r="DR29" s="473"/>
      <c r="DS29" s="387">
        <f>BA145</f>
        <v>0.95000000000000007</v>
      </c>
      <c r="DT29" s="768" t="s">
        <v>872</v>
      </c>
      <c r="DU29" s="479">
        <f>(0.95*$DB$7+0*$DB$7+0*$DB$45+0.05*$DB$7)/$DS$27</f>
        <v>22856.50471759402</v>
      </c>
      <c r="DV29" s="479">
        <f>(0.95*$DC$7+0*$DC$7+0*$DC$45+0.05*$DC$7)/$DS$27</f>
        <v>16401.086493300576</v>
      </c>
      <c r="DW29" s="479">
        <f>(0.95*($DD$7+$DE$7+$DF$7)+0*($DD$7+$DE$7+$DF$7)+0*($DD$45+$DE$45+$DF$45)+0.05*($DD$7+$DE$7+$DF$7))/$DS$27</f>
        <v>10097.544430006712</v>
      </c>
      <c r="DX29" s="479">
        <f>(0.95*$DG$7+0*$DG$7+0*$DG$45+0.05*$DG$7)/$DS$27</f>
        <v>-753.26343663705177</v>
      </c>
      <c r="DY29" s="479">
        <f>(0.95*$DH$7+0*$DH$7+0*$DH$45+0.05*$DH$7)/$DS$27</f>
        <v>-336.97671449009312</v>
      </c>
      <c r="DZ29" s="479">
        <f t="shared" si="330"/>
        <v>-321.81131370545882</v>
      </c>
      <c r="EA29" s="479">
        <f t="shared" si="330"/>
        <v>2103.2594021091791</v>
      </c>
      <c r="EB29" s="479">
        <f t="shared" si="330"/>
        <v>2796.8565141477497</v>
      </c>
      <c r="EC29" s="479">
        <f t="shared" si="330"/>
        <v>2064.9528218457522</v>
      </c>
      <c r="ED29" s="473"/>
      <c r="EE29" s="479">
        <f>SUM(DV29:ED29)</f>
        <v>32051.648196577364</v>
      </c>
      <c r="EF29" s="479"/>
      <c r="EG29" s="479">
        <f t="shared" si="251"/>
        <v>1209.4961583614099</v>
      </c>
      <c r="EH29" s="473"/>
      <c r="EI29" s="479">
        <f t="shared" si="333"/>
        <v>2173</v>
      </c>
      <c r="EJ29" s="479">
        <f t="shared" si="333"/>
        <v>1166</v>
      </c>
      <c r="EK29" s="479">
        <f t="shared" si="333"/>
        <v>371</v>
      </c>
      <c r="EL29" s="480">
        <f t="shared" si="253"/>
        <v>3710</v>
      </c>
      <c r="EM29" s="480">
        <f t="shared" ref="EM29" si="356">EE29+EL29</f>
        <v>35761.648196577364</v>
      </c>
      <c r="EN29" s="479">
        <f t="shared" si="255"/>
        <v>1349.4961583614099</v>
      </c>
      <c r="EO29" s="479">
        <f>EO11</f>
        <v>50</v>
      </c>
      <c r="EP29" s="735">
        <f t="shared" ref="EP29" si="357">EN29+EO29</f>
        <v>1399.4961583614099</v>
      </c>
      <c r="EQ29" s="473"/>
      <c r="ER29" s="735">
        <f t="shared" ref="ER29" si="358">SUM(DV29,EA29,DX29:DZ29)/$EG$1</f>
        <v>644.99224266328872</v>
      </c>
      <c r="ES29" s="735">
        <f t="shared" si="258"/>
        <v>704.50391569812132</v>
      </c>
      <c r="ET29" s="735">
        <f t="shared" ref="ET29" si="359">EO29</f>
        <v>50</v>
      </c>
      <c r="EU29" s="735">
        <f t="shared" ref="EU29" si="360">SUM(ER29:ET29)</f>
        <v>1399.4961583614099</v>
      </c>
      <c r="EV29" s="473"/>
      <c r="EW29" s="735">
        <f t="shared" si="339"/>
        <v>17092.294430577153</v>
      </c>
      <c r="EX29" s="735">
        <f t="shared" si="340"/>
        <v>18669.353766000215</v>
      </c>
      <c r="EY29" s="735">
        <f t="shared" ref="EY29" si="361">EO29*$EG$1</f>
        <v>1325</v>
      </c>
      <c r="EZ29" s="735">
        <f t="shared" ref="EZ29" si="362">SUM(EW29:EY29)</f>
        <v>37086.648196577371</v>
      </c>
      <c r="FA29" s="473"/>
      <c r="FB29" s="735">
        <f t="shared" si="265"/>
        <v>618.9089242754934</v>
      </c>
      <c r="FC29" s="735">
        <f t="shared" si="266"/>
        <v>26.083318387795298</v>
      </c>
      <c r="FD29" s="735">
        <f t="shared" si="267"/>
        <v>564.50391569812132</v>
      </c>
      <c r="FE29" s="735">
        <f t="shared" si="268"/>
        <v>140</v>
      </c>
      <c r="FF29" s="735">
        <f t="shared" ref="FF29" si="363">ET29</f>
        <v>50</v>
      </c>
      <c r="FG29" s="735">
        <f t="shared" ref="FG29" si="364">SUM(FB29:FF29)</f>
        <v>1399.4961583614099</v>
      </c>
      <c r="FH29" s="952">
        <f t="shared" ref="FH29" si="365">FG29-EU29</f>
        <v>0</v>
      </c>
      <c r="FI29" s="735">
        <f t="shared" si="272"/>
        <v>16401.086493300576</v>
      </c>
      <c r="FJ29" s="735">
        <f t="shared" ref="FJ29" si="366">SUM(DX29:EA29)</f>
        <v>691.20793727657542</v>
      </c>
      <c r="FK29" s="735">
        <f t="shared" si="274"/>
        <v>14959.353766000215</v>
      </c>
      <c r="FL29" s="735">
        <f t="shared" si="275"/>
        <v>3710</v>
      </c>
      <c r="FM29" s="735">
        <f t="shared" ref="FM29" si="367">EY29</f>
        <v>1325</v>
      </c>
      <c r="FN29" s="735">
        <f t="shared" ref="FN29" si="368">SUM(FI29:FM29)</f>
        <v>37086.648196577371</v>
      </c>
      <c r="FO29" s="479">
        <f t="shared" si="349"/>
        <v>0</v>
      </c>
      <c r="FP29" s="961">
        <f t="shared" si="279"/>
        <v>0.13576314508963008</v>
      </c>
      <c r="FQ29" s="961">
        <f t="shared" si="280"/>
        <v>3.5727143444639495E-2</v>
      </c>
      <c r="FR29" s="473"/>
      <c r="FS29" s="735">
        <f>FS28</f>
        <v>1380</v>
      </c>
      <c r="FT29" s="479">
        <f t="shared" ref="FT29" si="369">FS29-SUM(FB29:FD29)</f>
        <v>170.50384163859007</v>
      </c>
      <c r="FU29" s="974">
        <f t="shared" ref="FU29" si="370">FT29/FS29</f>
        <v>0.12355350843376092</v>
      </c>
      <c r="FV29" s="295">
        <f t="shared" ref="FV29" si="371">FS29-FG29</f>
        <v>-19.496158361409925</v>
      </c>
      <c r="FW29" s="985">
        <f t="shared" ref="FW29" si="372">FV29/FS29</f>
        <v>-1.4127650986528932E-2</v>
      </c>
      <c r="FX29" s="473"/>
      <c r="FY29" s="473">
        <f t="shared" si="157"/>
        <v>0</v>
      </c>
      <c r="FZ29" s="735"/>
      <c r="GA29" s="473"/>
      <c r="GB29" s="473"/>
      <c r="GC29" s="473"/>
      <c r="GD29" s="735"/>
      <c r="GE29" s="473"/>
      <c r="GF29" s="473"/>
      <c r="GG29" s="473"/>
      <c r="GH29" s="735"/>
      <c r="GL29" s="962"/>
    </row>
    <row r="30" spans="11:196" ht="27.5" customHeight="1" x14ac:dyDescent="0.35">
      <c r="K30" s="353"/>
      <c r="V30" s="343"/>
      <c r="Y30" s="463">
        <f>N5</f>
        <v>17163.998577018858</v>
      </c>
      <c r="Z30" s="388">
        <v>4.2999999999999997E-2</v>
      </c>
      <c r="AA30" s="738">
        <f t="shared" ref="AA30" si="373">Y30*Z30</f>
        <v>738.05193881181083</v>
      </c>
      <c r="AB30" s="1005" t="s">
        <v>580</v>
      </c>
      <c r="AC30" s="1006"/>
      <c r="AH30" s="341"/>
      <c r="AI30" s="1010"/>
      <c r="AJ30" s="1013"/>
      <c r="AK30" s="1014"/>
      <c r="AN30" s="1057"/>
      <c r="AO30" s="1057"/>
      <c r="AP30" s="349"/>
      <c r="AQ30" s="349"/>
      <c r="AS30" s="353"/>
      <c r="AW30" s="353"/>
      <c r="AZ30" s="467">
        <f>$AZ$25/$BB$25*BB30</f>
        <v>22724.101376162162</v>
      </c>
      <c r="BA30" s="357">
        <v>1.0800912186129174E-2</v>
      </c>
      <c r="BB30" s="450">
        <f>BB11</f>
        <v>1.0642201834862386</v>
      </c>
      <c r="BC30" s="434" t="s">
        <v>588</v>
      </c>
      <c r="BD30" s="434"/>
      <c r="CI30" s="387">
        <f>'Hảo_R&amp;D (Hạt) (full stage)-MN'!V2</f>
        <v>0.91</v>
      </c>
      <c r="CO30" s="755"/>
      <c r="CT30" s="453">
        <f>'Hảo_R&amp;D (Hạt) (full stage)-MN'!AK15</f>
        <v>21746.867625313171</v>
      </c>
      <c r="CU30" s="463">
        <f>CT30-CT31</f>
        <v>695.40000000000146</v>
      </c>
      <c r="CY30" s="465" t="str">
        <f>LEFT($CH$2,3)&amp;" "&amp;RIGHT($BK$10,2)&amp;"_"&amp;"A"&amp;"3"&amp;" DT"</f>
        <v>Vảy B4_A3 DT</v>
      </c>
      <c r="CZ30" s="761"/>
      <c r="DA30" s="773" t="s">
        <v>871</v>
      </c>
      <c r="DB30" s="476">
        <f>DB26*$CZ$31</f>
        <v>10863.900796668489</v>
      </c>
      <c r="DC30" s="476">
        <f t="shared" ref="DC30:DI30" si="374">DC26*$CZ$31</f>
        <v>7795.5828689607697</v>
      </c>
      <c r="DD30" s="456">
        <f t="shared" si="374"/>
        <v>1981.927848040873</v>
      </c>
      <c r="DE30" s="456">
        <f t="shared" ref="DE30" si="375">DE26*$CZ$31</f>
        <v>1262.9458123349543</v>
      </c>
      <c r="DF30" s="476">
        <f>DF26*$CZ$31</f>
        <v>764.31350988524321</v>
      </c>
      <c r="DG30" s="476">
        <f>DG26*$CZ$31</f>
        <v>-403.91999999999996</v>
      </c>
      <c r="DH30" s="476">
        <f t="shared" si="374"/>
        <v>-271.8</v>
      </c>
      <c r="DI30" s="476">
        <f t="shared" si="374"/>
        <v>1086.3900796668488</v>
      </c>
      <c r="DK30" s="728">
        <f t="shared" si="305"/>
        <v>12215.44011888869</v>
      </c>
      <c r="DL30" s="453">
        <f t="shared" si="306"/>
        <v>460.96000448636562</v>
      </c>
      <c r="DM30" s="494">
        <f t="shared" si="307"/>
        <v>530.96000448636562</v>
      </c>
      <c r="DN30" s="585">
        <f>DM30/$DM$30</f>
        <v>1</v>
      </c>
      <c r="DR30" s="473" t="str">
        <f>BC146</f>
        <v>Hạt nhựa rPET WSS01G 1</v>
      </c>
      <c r="DS30" s="764"/>
      <c r="DT30" s="773" t="s">
        <v>871</v>
      </c>
      <c r="DU30" s="479">
        <f>AZ105</f>
        <v>23394.830642148791</v>
      </c>
      <c r="DV30" s="479">
        <f>(0.855*$DC$6+0*$DC$6+0.095*$DC$44+0.05*$DC$6)/$DS$29</f>
        <v>15955.642922616053</v>
      </c>
      <c r="DW30" s="479">
        <f>(0.855*($DD$6+$DE$6+$DF$6)+0*($DD$6+$DE$6+$DF$6)+0.095*($DD$44+$DE$44+$DF$44)+0.05*($DD$6+$DE$6+$DF$6))/$DS$29</f>
        <v>7515.4894762572521</v>
      </c>
      <c r="DX30" s="479">
        <f>(0.855*$DG$6+0*$DG$6+0.095*$DG$44+0.05*$DG$6)/$DS$29</f>
        <v>-752.33890667224136</v>
      </c>
      <c r="DY30" s="479">
        <f>(0.855*$DH$6+0*$DH$6+0.095*$DH$44+0.05*$DH$6)/$DS$29</f>
        <v>-331.35216714865379</v>
      </c>
      <c r="DZ30" s="479">
        <f t="shared" si="330"/>
        <v>-321.81131370545882</v>
      </c>
      <c r="EA30" s="479">
        <f t="shared" si="330"/>
        <v>2048.8647623994589</v>
      </c>
      <c r="EB30" s="479">
        <f t="shared" si="330"/>
        <v>2000.939404729972</v>
      </c>
      <c r="EC30" s="479">
        <f t="shared" si="330"/>
        <v>1376.0623421472308</v>
      </c>
      <c r="ED30" s="479"/>
      <c r="EE30" s="487">
        <f t="shared" ref="EE30" si="376">SUM(DV30:ED30)</f>
        <v>27491.496520623616</v>
      </c>
      <c r="EF30" s="479">
        <f t="shared" ref="EF30" si="377">$EF$6</f>
        <v>23509.852491131598</v>
      </c>
      <c r="EG30" s="487">
        <f t="shared" si="251"/>
        <v>1037.4149630424006</v>
      </c>
      <c r="EH30" s="473"/>
      <c r="EI30" s="479">
        <f t="shared" ref="EI30:EK31" si="378">EI6</f>
        <v>2173</v>
      </c>
      <c r="EJ30" s="479">
        <f t="shared" si="378"/>
        <v>1166</v>
      </c>
      <c r="EK30" s="479">
        <f t="shared" si="378"/>
        <v>371</v>
      </c>
      <c r="EL30" s="480">
        <f t="shared" si="253"/>
        <v>3710</v>
      </c>
      <c r="EM30" s="480">
        <f t="shared" ref="EM30" si="379">EE30+EL30</f>
        <v>31201.496520623616</v>
      </c>
      <c r="EN30" s="487">
        <f t="shared" si="255"/>
        <v>1177.4149630424006</v>
      </c>
      <c r="EO30" s="479">
        <f>EO10</f>
        <v>50</v>
      </c>
      <c r="EP30" s="735">
        <f t="shared" ref="EP30" si="380">EN30+EO30</f>
        <v>1227.4149630424006</v>
      </c>
      <c r="EQ30" s="473"/>
      <c r="ER30" s="735">
        <f t="shared" ref="ER30" si="381">SUM(DV30,EA30,DX30:DZ30)/$EG$1</f>
        <v>626.37755839581735</v>
      </c>
      <c r="ES30" s="735">
        <f t="shared" si="258"/>
        <v>551.03740464658313</v>
      </c>
      <c r="ET30" s="735">
        <f t="shared" ref="ET30" si="382">EO30</f>
        <v>50</v>
      </c>
      <c r="EU30" s="737">
        <f t="shared" ref="EU30" si="383">SUM(ER30:ET30)</f>
        <v>1227.4149630424004</v>
      </c>
      <c r="EV30" s="473"/>
      <c r="EW30" s="735">
        <f t="shared" si="339"/>
        <v>16599.005297489159</v>
      </c>
      <c r="EX30" s="735">
        <f t="shared" si="340"/>
        <v>14602.491223134453</v>
      </c>
      <c r="EY30" s="735">
        <f t="shared" ref="EY30" si="384">EO30*$EG$1</f>
        <v>1325</v>
      </c>
      <c r="EZ30" s="737">
        <f t="shared" ref="EZ30" si="385">SUM(EW30:EY30)</f>
        <v>32526.496520623612</v>
      </c>
      <c r="FA30" s="473"/>
      <c r="FB30" s="735">
        <f t="shared" si="265"/>
        <v>602.09973292890766</v>
      </c>
      <c r="FC30" s="735">
        <f t="shared" si="266"/>
        <v>24.277825466909622</v>
      </c>
      <c r="FD30" s="735">
        <f t="shared" si="267"/>
        <v>411.03740464658313</v>
      </c>
      <c r="FE30" s="735">
        <f t="shared" si="268"/>
        <v>140</v>
      </c>
      <c r="FF30" s="735">
        <f t="shared" ref="FF30" si="386">ET30</f>
        <v>50</v>
      </c>
      <c r="FG30" s="737">
        <f t="shared" ref="FG30" si="387">SUM(FB30:FF30)</f>
        <v>1227.4149630424004</v>
      </c>
      <c r="FH30" s="952">
        <f t="shared" ref="FH30" si="388">FG30-EU30</f>
        <v>0</v>
      </c>
      <c r="FI30" s="735">
        <f t="shared" si="272"/>
        <v>15955.642922616053</v>
      </c>
      <c r="FJ30" s="735">
        <f t="shared" ref="FJ30" si="389">SUM(DX30:EA30)</f>
        <v>643.36237487310495</v>
      </c>
      <c r="FK30" s="735">
        <f t="shared" si="274"/>
        <v>10892.491223134453</v>
      </c>
      <c r="FL30" s="735">
        <f t="shared" si="275"/>
        <v>3710</v>
      </c>
      <c r="FM30" s="735">
        <f t="shared" ref="FM30" si="390">EY30</f>
        <v>1325</v>
      </c>
      <c r="FN30" s="737">
        <f t="shared" ref="FN30" si="391">SUM(FI30:FM30)</f>
        <v>32526.496520623612</v>
      </c>
      <c r="FO30" s="479">
        <f t="shared" si="349"/>
        <v>0</v>
      </c>
      <c r="FP30" s="953">
        <f t="shared" si="279"/>
        <v>0.15479687450529847</v>
      </c>
      <c r="FQ30" s="953">
        <f t="shared" si="280"/>
        <v>4.0736019606657493E-2</v>
      </c>
      <c r="FR30" s="473"/>
      <c r="FS30" s="737">
        <f>FS24</f>
        <v>1380</v>
      </c>
      <c r="FT30" s="479">
        <f t="shared" ref="FT30" si="392">FS30-SUM(FB30:FD30)</f>
        <v>342.58503695759964</v>
      </c>
      <c r="FU30" s="913">
        <f t="shared" ref="FU30" si="393">FT30/FS30</f>
        <v>0.2482500267808693</v>
      </c>
      <c r="FV30" s="295">
        <f t="shared" ref="FV30" si="394">FS30-FG30</f>
        <v>152.58503695759964</v>
      </c>
      <c r="FW30" s="281">
        <f t="shared" ref="FW30" si="395">FV30/FS30</f>
        <v>0.11056886736057946</v>
      </c>
      <c r="FX30" s="473"/>
      <c r="FY30" s="473" t="str">
        <f t="shared" si="157"/>
        <v>Hạt nhựa rPET WSS01G 1</v>
      </c>
      <c r="FZ30" s="859"/>
      <c r="GA30" s="295"/>
      <c r="GB30" s="296"/>
      <c r="GC30" s="473"/>
      <c r="GD30" s="859"/>
      <c r="GE30" s="295"/>
      <c r="GF30" s="296"/>
      <c r="GG30" s="473"/>
      <c r="GH30" s="859"/>
      <c r="GI30" s="797"/>
      <c r="GJ30" s="296"/>
      <c r="GL30" s="860"/>
      <c r="GM30" s="797"/>
      <c r="GN30" s="296"/>
    </row>
    <row r="31" spans="11:196" ht="30.5" x14ac:dyDescent="0.35">
      <c r="K31" s="353"/>
      <c r="V31" s="343"/>
      <c r="AA31" s="367"/>
      <c r="AB31" s="1007"/>
      <c r="AC31" s="1008"/>
      <c r="AG31" s="463">
        <f>AG53</f>
        <v>6000</v>
      </c>
      <c r="AH31" s="350">
        <v>1.3030466070347703E-3</v>
      </c>
      <c r="AI31" s="1009">
        <f>AG31*AH31</f>
        <v>7.8182796422086218</v>
      </c>
      <c r="AJ31" s="1011" t="s">
        <v>589</v>
      </c>
      <c r="AK31" s="1012"/>
      <c r="AN31" s="1057"/>
      <c r="AO31" s="1057"/>
      <c r="AP31" s="349"/>
      <c r="AQ31" s="349"/>
      <c r="AS31" s="353"/>
      <c r="AW31" s="353"/>
      <c r="BA31" s="361"/>
      <c r="BB31" s="361"/>
      <c r="BC31" s="435"/>
      <c r="BD31" s="435"/>
      <c r="CH31" s="343" t="s">
        <v>940</v>
      </c>
      <c r="CI31" s="759">
        <f>CI28/CI30</f>
        <v>20109.890109890108</v>
      </c>
      <c r="CJ31" s="773" t="s">
        <v>871</v>
      </c>
      <c r="CK31" s="463">
        <f>CI31</f>
        <v>20109.890109890108</v>
      </c>
      <c r="CL31" s="875">
        <f>CK31-CR31</f>
        <v>18462.890109890108</v>
      </c>
      <c r="CO31" s="463">
        <f>CO29</f>
        <v>1636.9775154230633</v>
      </c>
      <c r="CQ31" s="463">
        <f>-3.8%*$CI$28</f>
        <v>-695.4</v>
      </c>
      <c r="CR31" s="875">
        <f>$CI$28*(100%-$CI$30)</f>
        <v>1646.9999999999993</v>
      </c>
      <c r="CT31" s="728">
        <f>SUM(CL31:CR31)</f>
        <v>21051.467625313169</v>
      </c>
      <c r="CU31" s="476">
        <f t="shared" ref="CU31:CU32" si="396">CT31/$CU$2</f>
        <v>794.39500472879888</v>
      </c>
      <c r="CV31" s="494">
        <f t="shared" ref="CV31:CV32" si="397">$CV$2+CU31</f>
        <v>864.39500472879888</v>
      </c>
      <c r="CW31" s="835">
        <f>CV31/$CV$12</f>
        <v>1.0792731133541082</v>
      </c>
      <c r="CY31" s="764"/>
      <c r="CZ31" s="387">
        <v>0.6</v>
      </c>
      <c r="DA31" s="768" t="s">
        <v>872</v>
      </c>
      <c r="DB31" s="453">
        <f>DB27*$CZ$31</f>
        <v>10863.900796668489</v>
      </c>
      <c r="DC31" s="453">
        <f t="shared" ref="DC31:DI31" si="398">DC27*$CZ$31</f>
        <v>7795.5828689607697</v>
      </c>
      <c r="DD31" s="456">
        <f t="shared" si="398"/>
        <v>1981.927848040873</v>
      </c>
      <c r="DE31" s="456">
        <f t="shared" ref="DE31" si="399">DE27*$CZ$31</f>
        <v>1944.5515758396057</v>
      </c>
      <c r="DF31" s="453">
        <f>DF27*$CZ$31</f>
        <v>1208.1361965634462</v>
      </c>
      <c r="DG31" s="453">
        <f>DG27*$CZ$31</f>
        <v>-403.91999999999996</v>
      </c>
      <c r="DH31" s="453">
        <f t="shared" si="398"/>
        <v>-271.8</v>
      </c>
      <c r="DI31" s="453">
        <f t="shared" si="398"/>
        <v>1086.3900796668488</v>
      </c>
      <c r="DK31" s="727">
        <f t="shared" si="305"/>
        <v>13340.868569071543</v>
      </c>
      <c r="DL31" s="453">
        <f t="shared" si="306"/>
        <v>503.42900260647332</v>
      </c>
      <c r="DM31" s="476">
        <f t="shared" si="307"/>
        <v>573.42900260647332</v>
      </c>
      <c r="DN31" s="340"/>
      <c r="DQ31" s="491" t="str">
        <f>AX148</f>
        <v>85.5% B1-A2.2 DT/MN + 9.5% B6.2-A1/A2 + 5% Hạt WSS03G PL</v>
      </c>
      <c r="DS31" s="387">
        <f>BA167</f>
        <v>0.87</v>
      </c>
      <c r="DT31" s="768" t="s">
        <v>872</v>
      </c>
      <c r="DU31" s="479">
        <f>(0.855*$DB$7+0*$DB$7+0.095*$DB$45+0.05*$DB$7)/$DS$29</f>
        <v>22235.735899690921</v>
      </c>
      <c r="DV31" s="479">
        <f>(0.855*$DC$7+0*$DC$7+0.095*$DC$45+0.05*$DC$7)/$DS$29</f>
        <v>15955.642922616053</v>
      </c>
      <c r="DW31" s="479">
        <f>(0.855*($DD$7+$DE$7+$DF$7)+0*($DD$7+$DE$7+$DF$7)+0.095*($DD$45+$DE$45+$DF$45)+0.05*($DD$7+$DE$7+$DF$7))/$DS$29</f>
        <v>9788.8534592946235</v>
      </c>
      <c r="DX31" s="479">
        <f>(0.855*$DG$7+0*$DG$7+0.095*$DG$45+0.05*$DG$7)/$DS$29</f>
        <v>-752.33890667224136</v>
      </c>
      <c r="DY31" s="479">
        <f>(0.855*$DH$7+0*$DH$7+0.095*$DH$45+0.05*$DH$7)/$DS$29</f>
        <v>-331.35216714865379</v>
      </c>
      <c r="DZ31" s="479">
        <f t="shared" si="330"/>
        <v>-321.81131370545882</v>
      </c>
      <c r="EA31" s="479">
        <f t="shared" si="330"/>
        <v>2048.8647623994589</v>
      </c>
      <c r="EB31" s="479">
        <f t="shared" si="330"/>
        <v>2796.8565141477497</v>
      </c>
      <c r="EC31" s="479">
        <f t="shared" si="330"/>
        <v>2064.9528218457522</v>
      </c>
      <c r="ED31" s="479"/>
      <c r="EE31" s="479">
        <f t="shared" ref="EE31" si="400">SUM(DV31:ED31)</f>
        <v>31249.668092777287</v>
      </c>
      <c r="EF31" s="479"/>
      <c r="EG31" s="479">
        <f t="shared" ref="EG31" si="401">EE31/$EG$1</f>
        <v>1179.2327582180108</v>
      </c>
      <c r="EH31" s="473"/>
      <c r="EI31" s="479">
        <f t="shared" si="378"/>
        <v>2173</v>
      </c>
      <c r="EJ31" s="479">
        <f t="shared" si="378"/>
        <v>1166</v>
      </c>
      <c r="EK31" s="479">
        <f t="shared" si="378"/>
        <v>371</v>
      </c>
      <c r="EL31" s="480">
        <f t="shared" ref="EL31" si="402">SUM(EI31:EK31)</f>
        <v>3710</v>
      </c>
      <c r="EM31" s="480">
        <f t="shared" ref="EM31" si="403">EE31+EL31</f>
        <v>34959.668092777283</v>
      </c>
      <c r="EN31" s="479">
        <f t="shared" ref="EN31" si="404">EG31+$EN$1</f>
        <v>1319.2327582180108</v>
      </c>
      <c r="EO31" s="479">
        <f>EO11</f>
        <v>50</v>
      </c>
      <c r="EP31" s="735">
        <f t="shared" ref="EP31" si="405">EN31+EO31</f>
        <v>1369.2327582180108</v>
      </c>
      <c r="EQ31" s="473"/>
      <c r="ER31" s="735">
        <f t="shared" ref="ER31" si="406">SUM(DV31,EA31,DX31:DZ31)/$EG$1</f>
        <v>626.37755839581735</v>
      </c>
      <c r="ES31" s="735">
        <f t="shared" ref="ES31" si="407">(SUM(DW31,EB31,EC31:ED31,EI31:EK31))/$EG$1</f>
        <v>692.85519982219341</v>
      </c>
      <c r="ET31" s="735">
        <f t="shared" ref="ET31" si="408">EO31</f>
        <v>50</v>
      </c>
      <c r="EU31" s="735">
        <f t="shared" ref="EU31" si="409">SUM(ER31:ET31)</f>
        <v>1369.2327582180108</v>
      </c>
      <c r="EV31" s="473"/>
      <c r="EW31" s="735">
        <f t="shared" si="339"/>
        <v>16599.005297489159</v>
      </c>
      <c r="EX31" s="735">
        <f t="shared" si="340"/>
        <v>18360.662795288124</v>
      </c>
      <c r="EY31" s="735">
        <f t="shared" ref="EY31" si="410">EO31*$EG$1</f>
        <v>1325</v>
      </c>
      <c r="EZ31" s="735">
        <f t="shared" ref="EZ31" si="411">SUM(EW31:EY31)</f>
        <v>36284.668092777283</v>
      </c>
      <c r="FA31" s="473"/>
      <c r="FB31" s="735">
        <f t="shared" ref="FB31" si="412">DV31/$EG$1</f>
        <v>602.09973292890766</v>
      </c>
      <c r="FC31" s="735">
        <f t="shared" ref="FC31" si="413">SUM(DX31:EA31)/$EG$1</f>
        <v>24.277825466909622</v>
      </c>
      <c r="FD31" s="735">
        <f t="shared" ref="FD31" si="414">SUM(DW31,EB31,EC31:ED31)/$EG$1</f>
        <v>552.85519982219341</v>
      </c>
      <c r="FE31" s="735">
        <f t="shared" ref="FE31" si="415">SUM(EI31:EK31)/$EG$1</f>
        <v>140</v>
      </c>
      <c r="FF31" s="735">
        <f t="shared" ref="FF31" si="416">ET31</f>
        <v>50</v>
      </c>
      <c r="FG31" s="735">
        <f t="shared" ref="FG31" si="417">SUM(FB31:FF31)</f>
        <v>1369.2327582180105</v>
      </c>
      <c r="FH31" s="952">
        <f t="shared" ref="FH31" si="418">FG31-EU31</f>
        <v>0</v>
      </c>
      <c r="FI31" s="735">
        <f t="shared" ref="FI31" si="419">DV31</f>
        <v>15955.642922616053</v>
      </c>
      <c r="FJ31" s="735">
        <f t="shared" ref="FJ31" si="420">SUM(DX31:EA31)</f>
        <v>643.36237487310495</v>
      </c>
      <c r="FK31" s="735">
        <f t="shared" ref="FK31" si="421">SUM(DW31,EB31,EC31)</f>
        <v>14650.662795288126</v>
      </c>
      <c r="FL31" s="735">
        <f t="shared" ref="FL31" si="422">SUM(EI31:EK31)</f>
        <v>3710</v>
      </c>
      <c r="FM31" s="735">
        <f t="shared" ref="FM31" si="423">EY31</f>
        <v>1325</v>
      </c>
      <c r="FN31" s="735">
        <f t="shared" ref="FN31" si="424">SUM(FI31:FM31)</f>
        <v>36284.668092777283</v>
      </c>
      <c r="FO31" s="479">
        <f t="shared" si="349"/>
        <v>0</v>
      </c>
      <c r="FP31" s="961">
        <f t="shared" ref="FP31" si="425">(FF31+FE31)/FG31</f>
        <v>0.13876384337114145</v>
      </c>
      <c r="FQ31" s="961">
        <f t="shared" ref="FQ31" si="426">FF31/FG31</f>
        <v>3.6516800887142487E-2</v>
      </c>
      <c r="FR31" s="473"/>
      <c r="FS31" s="735">
        <f>FS30</f>
        <v>1380</v>
      </c>
      <c r="FT31" s="479">
        <f t="shared" ref="FT31" si="427">FS31-SUM(FB31:FD31)</f>
        <v>200.76724178198947</v>
      </c>
      <c r="FU31" s="974">
        <f t="shared" ref="FU31" si="428">FT31/FS31</f>
        <v>0.14548350853767353</v>
      </c>
      <c r="FV31" s="295">
        <f t="shared" ref="FV31" si="429">FS31-FG31</f>
        <v>10.767241781989469</v>
      </c>
      <c r="FW31" s="985">
        <f t="shared" ref="FW31" si="430">FV31/FS31</f>
        <v>7.8023491173836732E-3</v>
      </c>
      <c r="FX31" s="473"/>
      <c r="FY31" s="473">
        <f t="shared" ref="FY31" si="431">DR31</f>
        <v>0</v>
      </c>
      <c r="FZ31" s="735"/>
      <c r="GA31" s="473"/>
      <c r="GB31" s="473"/>
      <c r="GC31" s="473"/>
      <c r="GD31" s="735"/>
      <c r="GE31" s="473"/>
      <c r="GF31" s="473"/>
      <c r="GG31" s="473"/>
      <c r="GH31" s="735"/>
      <c r="GL31" s="962"/>
    </row>
    <row r="32" spans="11:196" ht="39.5" customHeight="1" x14ac:dyDescent="0.35">
      <c r="K32" s="353"/>
      <c r="V32" s="343"/>
      <c r="AI32" s="1010"/>
      <c r="AJ32" s="1013"/>
      <c r="AK32" s="1014"/>
      <c r="AS32" s="353"/>
      <c r="AW32" s="353"/>
      <c r="AZ32" s="467">
        <f>$AZ$25/$BB$25*BB32</f>
        <v>22136.40909919245</v>
      </c>
      <c r="BA32" s="357">
        <v>2.7002280465322935E-3</v>
      </c>
      <c r="BB32" s="450">
        <f>BB13</f>
        <v>1.036697247706422</v>
      </c>
      <c r="BC32" s="434" t="s">
        <v>590</v>
      </c>
      <c r="BD32" s="434"/>
      <c r="CI32" s="387"/>
      <c r="CJ32" s="768" t="s">
        <v>872</v>
      </c>
      <c r="CT32" s="727">
        <f t="shared" ref="CT32" si="432">SUM(CL32:CR32)</f>
        <v>0</v>
      </c>
      <c r="CU32" s="453">
        <f t="shared" si="396"/>
        <v>0</v>
      </c>
      <c r="CV32" s="476">
        <f t="shared" si="397"/>
        <v>70</v>
      </c>
      <c r="DR32" s="471" t="str">
        <f>BC168</f>
        <v>Hạt nhựa rPET WSS01G 1</v>
      </c>
      <c r="DS32" s="764"/>
      <c r="DT32" s="773" t="s">
        <v>871</v>
      </c>
      <c r="DU32" s="474">
        <f>AZ107</f>
        <v>22789.79191864494</v>
      </c>
      <c r="DV32" s="474">
        <f>(0.855*$DC$6+0*$DC$6+0.095*$DC$44+0.05*$DC$6)/$DS$31</f>
        <v>17422.828478718679</v>
      </c>
      <c r="DW32" s="474">
        <f>(0.855*($DD$6+$DE$6+$DF$6)+0*($DD$6+$DE$6+$DF$6)+0.095*($DD$44+$DE$44+$DF$44)+0.05*($DD$6+$DE$6+$DF$6))/$DS$31</f>
        <v>8206.5689683268847</v>
      </c>
      <c r="DX32" s="474">
        <f>(0.855*$DG$6+0*$DG$6+0.095*$DG$44+0.05*$DG$6)/$DS$31</f>
        <v>-821.51949579152802</v>
      </c>
      <c r="DY32" s="474">
        <f>(0.855*$DH$6+0*$DH$6+0.095*$DH$44+0.05*$DH$6)/$DS$31</f>
        <v>-361.82133194393231</v>
      </c>
      <c r="DZ32" s="474">
        <f t="shared" ref="DZ32:EC33" si="433">DZ10</f>
        <v>-321.81131370545882</v>
      </c>
      <c r="EA32" s="474">
        <f t="shared" si="433"/>
        <v>2103.2594021091791</v>
      </c>
      <c r="EB32" s="474">
        <f t="shared" si="433"/>
        <v>2000.939404729972</v>
      </c>
      <c r="EC32" s="474">
        <f t="shared" si="433"/>
        <v>1376.0623421472308</v>
      </c>
      <c r="ED32" s="474"/>
      <c r="EE32" s="474">
        <f t="shared" ref="EE32" si="434">SUM(DV32:ED32)</f>
        <v>29604.506454591032</v>
      </c>
      <c r="EF32" s="474">
        <f t="shared" ref="EF32" si="435">$EF$6</f>
        <v>23509.852491131598</v>
      </c>
      <c r="EG32" s="474">
        <f t="shared" si="251"/>
        <v>1117.1511869656993</v>
      </c>
      <c r="EI32" s="474">
        <f t="shared" ref="EI32:EK35" si="436">EI6</f>
        <v>2173</v>
      </c>
      <c r="EJ32" s="474">
        <f t="shared" si="436"/>
        <v>1166</v>
      </c>
      <c r="EK32" s="474">
        <f t="shared" si="436"/>
        <v>371</v>
      </c>
      <c r="EL32" s="475">
        <f>SUM(EI32:EK32)</f>
        <v>3710</v>
      </c>
      <c r="EM32" s="475">
        <f t="shared" ref="EM32" si="437">EE32+EL32</f>
        <v>33314.506454591028</v>
      </c>
      <c r="EN32" s="474">
        <f>EG32+$EN$1</f>
        <v>1257.1511869656993</v>
      </c>
      <c r="EO32" s="463">
        <f>EO12</f>
        <v>50</v>
      </c>
      <c r="EP32" s="736">
        <f t="shared" ref="EP32" si="438">EN32+EO32</f>
        <v>1307.1511869656993</v>
      </c>
      <c r="EQ32" s="471"/>
      <c r="ER32" s="736">
        <f t="shared" ref="ER32" si="439">SUM(DV32,EA32,DX32:DZ32)/$EG$1</f>
        <v>680.03531092026196</v>
      </c>
      <c r="ES32" s="736">
        <f>(SUM(DW32,EB32,EC32:ED32,EI32:EK32))/$EG$1</f>
        <v>577.11587604543729</v>
      </c>
      <c r="ET32" s="736">
        <f t="shared" ref="ET32" si="440">EO32</f>
        <v>50</v>
      </c>
      <c r="EU32" s="736">
        <f t="shared" ref="EU32" si="441">SUM(ER32:ET32)</f>
        <v>1307.1511869656993</v>
      </c>
      <c r="EW32" s="736">
        <f t="shared" si="339"/>
        <v>18020.935739386943</v>
      </c>
      <c r="EX32" s="736">
        <f t="shared" si="340"/>
        <v>15293.570715204087</v>
      </c>
      <c r="EY32" s="736">
        <f t="shared" ref="EY32" si="442">EO32*$EG$1</f>
        <v>1325</v>
      </c>
      <c r="EZ32" s="736">
        <f t="shared" ref="EZ32" si="443">SUM(EW32:EY32)</f>
        <v>34639.506454591028</v>
      </c>
      <c r="FB32" s="736">
        <f>DV32/$EG$1</f>
        <v>657.46522561202562</v>
      </c>
      <c r="FC32" s="736">
        <f>SUM(DX32:EA32)/$EG$1</f>
        <v>22.570085308236223</v>
      </c>
      <c r="FD32" s="736">
        <f>SUM(DW32,EB32,EC32:ED32)/$EG$1</f>
        <v>437.11587604543723</v>
      </c>
      <c r="FE32" s="736">
        <f>SUM(EI32:EK32)/$EG$1</f>
        <v>140</v>
      </c>
      <c r="FF32" s="736">
        <f t="shared" ref="FF32" si="444">ET32</f>
        <v>50</v>
      </c>
      <c r="FG32" s="736">
        <f t="shared" ref="FG32" si="445">SUM(FB32:FF32)</f>
        <v>1307.151186965699</v>
      </c>
      <c r="FH32" s="732">
        <f t="shared" ref="FH32" si="446">FG32-EU32</f>
        <v>0</v>
      </c>
      <c r="FI32" s="736">
        <f>DV32</f>
        <v>17422.828478718679</v>
      </c>
      <c r="FJ32" s="736">
        <f t="shared" ref="FJ32" si="447">SUM(DX32:EA32)</f>
        <v>598.10726066825987</v>
      </c>
      <c r="FK32" s="736">
        <f>SUM(DW32,EB32,EC32)</f>
        <v>11583.570715204087</v>
      </c>
      <c r="FL32" s="736">
        <f>SUM(EI32:EK32)</f>
        <v>3710</v>
      </c>
      <c r="FM32" s="736">
        <f t="shared" ref="FM32" si="448">EY32</f>
        <v>1325</v>
      </c>
      <c r="FN32" s="736">
        <f t="shared" ref="FN32" si="449">SUM(FI32:FM32)</f>
        <v>34639.506454591028</v>
      </c>
      <c r="FO32" s="479">
        <f t="shared" si="349"/>
        <v>0</v>
      </c>
      <c r="FP32" s="525">
        <f>(FF32+FE32)/FG32</f>
        <v>0.1453542649806627</v>
      </c>
      <c r="FQ32" s="525">
        <f>FF32/FG32</f>
        <v>3.8251122363332293E-2</v>
      </c>
      <c r="FS32" s="736">
        <f>FS24</f>
        <v>1380</v>
      </c>
      <c r="FT32" s="474">
        <f t="shared" ref="FT32" si="450">FS32-SUM(FB32:FD32)</f>
        <v>262.84881303430097</v>
      </c>
      <c r="FU32" s="957">
        <f t="shared" ref="FU32" si="451">FT32/FS32</f>
        <v>0.19047015437268186</v>
      </c>
      <c r="FV32" s="797">
        <f t="shared" ref="FV32" si="452">FS32-FG32</f>
        <v>72.848813034300974</v>
      </c>
      <c r="FW32" s="281">
        <f t="shared" ref="FW32" si="453">FV32/FS32</f>
        <v>5.2788994952392011E-2</v>
      </c>
      <c r="FY32" s="340" t="str">
        <f t="shared" si="157"/>
        <v>Hạt nhựa rPET WSS01G 1</v>
      </c>
      <c r="FZ32" s="860"/>
      <c r="GA32" s="797"/>
      <c r="GB32" s="296"/>
      <c r="GD32" s="860"/>
      <c r="GE32" s="797"/>
      <c r="GF32" s="296"/>
      <c r="GH32" s="860"/>
      <c r="GI32" s="797"/>
      <c r="GJ32" s="296"/>
      <c r="GL32" s="860"/>
      <c r="GM32" s="797"/>
      <c r="GN32" s="296"/>
    </row>
    <row r="33" spans="4:196" ht="41" customHeight="1" x14ac:dyDescent="0.35">
      <c r="K33" s="353"/>
      <c r="V33" s="343"/>
      <c r="AG33" s="453">
        <v>4500</v>
      </c>
      <c r="AH33" s="350">
        <v>9.2999999999999992E-3</v>
      </c>
      <c r="AI33" s="1009">
        <f>AG33*AH33</f>
        <v>41.849999999999994</v>
      </c>
      <c r="AJ33" s="1023" t="s">
        <v>591</v>
      </c>
      <c r="AK33" s="1024"/>
      <c r="AS33" s="353"/>
      <c r="AW33" s="353"/>
      <c r="BA33" s="361"/>
      <c r="BB33" s="361"/>
      <c r="BC33" s="434"/>
      <c r="BD33" s="434"/>
      <c r="CI33" s="836"/>
      <c r="CJ33" s="818" t="s">
        <v>871</v>
      </c>
      <c r="CY33" s="569"/>
      <c r="CZ33" s="786" t="s">
        <v>712</v>
      </c>
      <c r="DA33" s="768"/>
      <c r="DB33" s="453"/>
      <c r="DC33" s="453"/>
      <c r="DD33" s="456"/>
      <c r="DE33" s="456"/>
      <c r="DF33" s="484"/>
      <c r="DG33" s="484"/>
      <c r="DH33" s="453"/>
      <c r="DI33" s="453"/>
      <c r="DK33" s="727"/>
      <c r="DL33" s="453"/>
      <c r="DM33" s="476"/>
      <c r="DN33" s="340"/>
      <c r="DQ33" s="489" t="str">
        <f>AX170</f>
        <v>85.5% B1-A1/A2 DT/MN + 9.5% B7-A1 + 5% Hạt WSS03G PL</v>
      </c>
      <c r="DS33" s="387">
        <f>BA189</f>
        <v>0.9</v>
      </c>
      <c r="DT33" s="768" t="s">
        <v>872</v>
      </c>
      <c r="DU33" s="474">
        <f>(0.855*$DB$7+0*$DB$7+0.095*$DB$45+0.05*$DB$7)/$DS$31</f>
        <v>24280.401269777441</v>
      </c>
      <c r="DV33" s="474">
        <f>(0.855*$DC$7+0*$DC$7+0.095*$DC$45+0.05*$DC$7)/$DS$31</f>
        <v>17422.828478718679</v>
      </c>
      <c r="DW33" s="474">
        <f>(0.855*($DD$7+$DE$7+$DF$7)+0*($DD$7+$DE$7+$DF$7)+0.095*($DD$45+$DE$45+$DF$45)+0.05*($DD$7+$DE$7+$DF$7))/$DS$31</f>
        <v>10688.977915321715</v>
      </c>
      <c r="DX33" s="474">
        <f>(0.855*$DG$7+0*$DG$7+0.095*$DG$45+0.05*$DG$7)/$DS$31</f>
        <v>-821.51949579152802</v>
      </c>
      <c r="DY33" s="474">
        <f>(0.855*$DH$7+0*$DH$7+0.095*$DH$45+0.05*$DH$7)/$DS$31</f>
        <v>-361.82133194393231</v>
      </c>
      <c r="DZ33" s="474">
        <f t="shared" si="433"/>
        <v>-321.81131370545882</v>
      </c>
      <c r="EA33" s="474">
        <f t="shared" si="433"/>
        <v>2103.2594021091791</v>
      </c>
      <c r="EB33" s="474">
        <f t="shared" si="433"/>
        <v>2796.8565141477497</v>
      </c>
      <c r="EC33" s="474">
        <f t="shared" si="433"/>
        <v>2064.9528218457522</v>
      </c>
      <c r="ED33" s="474"/>
      <c r="EE33" s="474">
        <f t="shared" ref="EE33" si="454">SUM(DV33:ED33)</f>
        <v>33571.722990702161</v>
      </c>
      <c r="EF33" s="474"/>
      <c r="EG33" s="474">
        <f t="shared" ref="EG33" si="455">EE33/$EG$1</f>
        <v>1266.8574713472512</v>
      </c>
      <c r="EI33" s="474">
        <f t="shared" si="436"/>
        <v>2173</v>
      </c>
      <c r="EJ33" s="474">
        <f t="shared" si="436"/>
        <v>1166</v>
      </c>
      <c r="EK33" s="474">
        <f t="shared" si="436"/>
        <v>371</v>
      </c>
      <c r="EL33" s="475">
        <f>SUM(EI33:EK33)</f>
        <v>3710</v>
      </c>
      <c r="EM33" s="475">
        <f t="shared" ref="EM33" si="456">EE33+EL33</f>
        <v>37281.722990702161</v>
      </c>
      <c r="EN33" s="474">
        <f>EG33+$EN$1</f>
        <v>1406.8574713472512</v>
      </c>
      <c r="EO33" s="463">
        <f>EO13</f>
        <v>50</v>
      </c>
      <c r="EP33" s="736">
        <f t="shared" ref="EP33" si="457">EN33+EO33</f>
        <v>1456.8574713472512</v>
      </c>
      <c r="EQ33" s="471"/>
      <c r="ER33" s="736">
        <f t="shared" ref="ER33" si="458">SUM(DV33,EA33,DX33:DZ33)/$EG$1</f>
        <v>680.03531092026196</v>
      </c>
      <c r="ES33" s="736">
        <f>(SUM(DW33,EB33,EC33:ED33,EI33:EK33))/$EG$1</f>
        <v>726.8221604269894</v>
      </c>
      <c r="ET33" s="736">
        <f t="shared" ref="ET33" si="459">EO33</f>
        <v>50</v>
      </c>
      <c r="EU33" s="736">
        <f t="shared" ref="EU33" si="460">SUM(ER33:ET33)</f>
        <v>1456.8574713472512</v>
      </c>
      <c r="EW33" s="736">
        <f t="shared" si="339"/>
        <v>18020.935739386943</v>
      </c>
      <c r="EX33" s="736">
        <f t="shared" si="340"/>
        <v>19260.787251315218</v>
      </c>
      <c r="EY33" s="736">
        <f t="shared" ref="EY33" si="461">EO33*$EG$1</f>
        <v>1325</v>
      </c>
      <c r="EZ33" s="736">
        <f t="shared" ref="EZ33" si="462">SUM(EW33:EY33)</f>
        <v>38606.722990702161</v>
      </c>
      <c r="FB33" s="736">
        <f>DV33/$EG$1</f>
        <v>657.46522561202562</v>
      </c>
      <c r="FC33" s="736">
        <f>SUM(DX33:EA33)/$EG$1</f>
        <v>22.570085308236223</v>
      </c>
      <c r="FD33" s="736">
        <f>SUM(DW33,EB33,EC33:ED33)/$EG$1</f>
        <v>586.8221604269894</v>
      </c>
      <c r="FE33" s="736">
        <f>SUM(EI33:EK33)/$EG$1</f>
        <v>140</v>
      </c>
      <c r="FF33" s="736">
        <f t="shared" ref="FF33" si="463">ET33</f>
        <v>50</v>
      </c>
      <c r="FG33" s="736">
        <f t="shared" ref="FG33" si="464">SUM(FB33:FF33)</f>
        <v>1456.8574713472512</v>
      </c>
      <c r="FH33" s="732">
        <f t="shared" ref="FH33" si="465">FG33-EU33</f>
        <v>0</v>
      </c>
      <c r="FI33" s="736">
        <f>DV33</f>
        <v>17422.828478718679</v>
      </c>
      <c r="FJ33" s="736">
        <f t="shared" ref="FJ33" si="466">SUM(DX33:EA33)</f>
        <v>598.10726066825987</v>
      </c>
      <c r="FK33" s="736">
        <f>SUM(DW33,EB33,EC33)</f>
        <v>15550.787251315218</v>
      </c>
      <c r="FL33" s="736">
        <f>SUM(EI33:EK33)</f>
        <v>3710</v>
      </c>
      <c r="FM33" s="736">
        <f t="shared" ref="FM33" si="467">EY33</f>
        <v>1325</v>
      </c>
      <c r="FN33" s="736">
        <f t="shared" ref="FN33" si="468">SUM(FI33:FM33)</f>
        <v>38606.722990702154</v>
      </c>
      <c r="FO33" s="479">
        <f t="shared" si="349"/>
        <v>0</v>
      </c>
      <c r="FP33" s="961">
        <f>(FF33+FE33)/FG33</f>
        <v>0.13041769956006374</v>
      </c>
      <c r="FQ33" s="961">
        <f>FF33/FG33</f>
        <v>3.4320447252648358E-2</v>
      </c>
      <c r="FR33" s="473"/>
      <c r="FS33" s="735">
        <f>FS24</f>
        <v>1380</v>
      </c>
      <c r="FT33" s="479">
        <f t="shared" ref="FT33" si="469">FS33-SUM(FB33:FD33)</f>
        <v>113.14252865274875</v>
      </c>
      <c r="FU33" s="974">
        <f t="shared" ref="FU33" si="470">FT33/FS33</f>
        <v>8.1987339603441123E-2</v>
      </c>
      <c r="FV33" s="295">
        <f t="shared" ref="FV33" si="471">FS33-FG33</f>
        <v>-76.857471347251249</v>
      </c>
      <c r="FW33" s="985">
        <f t="shared" ref="FW33" si="472">FV33/FS33</f>
        <v>-5.5693819816848733E-2</v>
      </c>
      <c r="FX33" s="473"/>
      <c r="FY33" s="473">
        <f t="shared" ref="FY33" si="473">DR33</f>
        <v>0</v>
      </c>
      <c r="FZ33" s="735"/>
      <c r="GA33" s="473"/>
      <c r="GB33" s="473"/>
      <c r="GC33" s="473"/>
      <c r="GD33" s="735"/>
      <c r="GE33" s="473"/>
      <c r="GF33" s="473"/>
      <c r="GG33" s="473"/>
      <c r="GH33" s="735"/>
      <c r="GL33" s="962"/>
    </row>
    <row r="34" spans="4:196" ht="33.5" customHeight="1" x14ac:dyDescent="0.35">
      <c r="K34" s="353"/>
      <c r="V34" s="343"/>
      <c r="AI34" s="1010"/>
      <c r="AJ34" s="1025"/>
      <c r="AK34" s="1026"/>
      <c r="AS34" s="353"/>
      <c r="AW34" s="353"/>
      <c r="BA34" s="357"/>
      <c r="BB34" s="681">
        <f>SUM(BB35:BB39)</f>
        <v>493.05795916764248</v>
      </c>
      <c r="BC34" s="436"/>
      <c r="BD34" s="436"/>
      <c r="CI34" s="387"/>
      <c r="CJ34" s="768" t="s">
        <v>872</v>
      </c>
      <c r="CY34" s="465"/>
      <c r="CZ34" s="387">
        <f>AH95</f>
        <v>0.91300000000000003</v>
      </c>
      <c r="DA34" s="768"/>
      <c r="DB34" s="453"/>
      <c r="DC34" s="453"/>
      <c r="DD34" s="456"/>
      <c r="DE34" s="456"/>
      <c r="DF34" s="484"/>
      <c r="DG34" s="484"/>
      <c r="DH34" s="453"/>
      <c r="DI34" s="453"/>
      <c r="DK34" s="727"/>
      <c r="DL34" s="453"/>
      <c r="DM34" s="476"/>
      <c r="DN34" s="340"/>
      <c r="DQ34" s="885"/>
      <c r="DR34" s="886" t="str">
        <f>BC190</f>
        <v>Hạt nhựa rPET WSS01G 1</v>
      </c>
      <c r="DS34" s="764"/>
      <c r="DT34" s="773" t="s">
        <v>871</v>
      </c>
      <c r="DU34" s="887">
        <f>AZ109</f>
        <v>23999.869365652634</v>
      </c>
      <c r="DV34" s="887">
        <f>(0.855*$DC$6+0*$DC$6+0.095*$DC$17+0.05*$DC$6)/$DS$33</f>
        <v>16705.071792646715</v>
      </c>
      <c r="DW34" s="887">
        <f>(0.855*($DD$6+$DE$6+$DF$6)+0.095*($DD$17+$DE$17+$DF$17)+0*($DD$44+$DE$44+$DF$44)+0.05*($DD$7+$DE$7+$DF$7))/$DS$33</f>
        <v>8017.3652324866325</v>
      </c>
      <c r="DX34" s="887">
        <f>(0.855*$DG$7+0.095*$DG$17+0*$DG$44+0.05*$DG$7)/$DS$33</f>
        <v>-778.49258177799163</v>
      </c>
      <c r="DY34" s="887">
        <f>(0.855*$DH$7+0.95*$DH$17+0*$DH$44+0.05*$DH$7)/$DS$33</f>
        <v>-363.40216756458557</v>
      </c>
      <c r="DZ34" s="887">
        <f>DZ12</f>
        <v>-321.81131370545882</v>
      </c>
      <c r="EA34" s="887">
        <f>EA12</f>
        <v>2048.8647623994589</v>
      </c>
      <c r="EB34" s="887">
        <f>EB8</f>
        <v>2000.939404729972</v>
      </c>
      <c r="EC34" s="887">
        <f>EC10</f>
        <v>1376.0623421472308</v>
      </c>
      <c r="ED34" s="887"/>
      <c r="EE34" s="887">
        <f t="shared" ref="EE34" si="474">SUM(DV34:ED34)</f>
        <v>28684.597471361973</v>
      </c>
      <c r="EF34" s="887">
        <f t="shared" ref="EF34" si="475">$EF$6</f>
        <v>23509.852491131598</v>
      </c>
      <c r="EG34" s="887">
        <f t="shared" si="251"/>
        <v>1082.4376404287536</v>
      </c>
      <c r="EH34" s="886"/>
      <c r="EI34" s="887">
        <f t="shared" si="436"/>
        <v>2173</v>
      </c>
      <c r="EJ34" s="887">
        <f t="shared" si="436"/>
        <v>1166</v>
      </c>
      <c r="EK34" s="887">
        <f t="shared" si="436"/>
        <v>371</v>
      </c>
      <c r="EL34" s="888">
        <f>SUM(EI34:EK34)</f>
        <v>3710</v>
      </c>
      <c r="EM34" s="888">
        <f t="shared" ref="EM34" si="476">EE34+EL34</f>
        <v>32394.597471361973</v>
      </c>
      <c r="EN34" s="887">
        <f>EG34+$EN$1</f>
        <v>1222.4376404287536</v>
      </c>
      <c r="EO34" s="887">
        <f>EO10</f>
        <v>50</v>
      </c>
      <c r="EP34" s="889">
        <f t="shared" ref="EP34" si="477">EN34+EO34</f>
        <v>1272.4376404287536</v>
      </c>
      <c r="EQ34" s="886"/>
      <c r="ER34" s="889">
        <f t="shared" ref="ER34" si="478">SUM(DV34,EA34,DX34:DZ34)/$EG$1</f>
        <v>652.46152799992979</v>
      </c>
      <c r="ES34" s="889">
        <f>(SUM(DW34,EB34,EC34:ED34,EI34:EK34))/$EG$1</f>
        <v>569.97611242882397</v>
      </c>
      <c r="ET34" s="889">
        <f t="shared" ref="ET34" si="479">EO34</f>
        <v>50</v>
      </c>
      <c r="EU34" s="889">
        <f t="shared" ref="EU34" si="480">SUM(ER34:ET34)</f>
        <v>1272.4376404287536</v>
      </c>
      <c r="EV34" s="886"/>
      <c r="EW34" s="889">
        <f t="shared" si="339"/>
        <v>17290.23049199814</v>
      </c>
      <c r="EX34" s="889">
        <f t="shared" si="340"/>
        <v>15104.366979363835</v>
      </c>
      <c r="EY34" s="889">
        <f t="shared" ref="EY34" si="481">EO34*$EG$1</f>
        <v>1325</v>
      </c>
      <c r="EZ34" s="889">
        <f t="shared" ref="EZ34" si="482">SUM(EW34:EY34)</f>
        <v>33719.597471361973</v>
      </c>
      <c r="FA34" s="886"/>
      <c r="FB34" s="889">
        <f>DV34/$EG$1</f>
        <v>630.38006764704585</v>
      </c>
      <c r="FC34" s="889">
        <f>SUM(DX34:EA34)/$EG$1</f>
        <v>22.081460352883884</v>
      </c>
      <c r="FD34" s="889">
        <f>SUM(DW34,EB34,EC34:ED34)/$EG$1</f>
        <v>429.97611242882397</v>
      </c>
      <c r="FE34" s="889">
        <f>SUM(EI34:EK34)/$EG$1</f>
        <v>140</v>
      </c>
      <c r="FF34" s="889">
        <f t="shared" ref="FF34" si="483">ET34</f>
        <v>50</v>
      </c>
      <c r="FG34" s="889">
        <f t="shared" ref="FG34" si="484">SUM(FB34:FF34)</f>
        <v>1272.4376404287536</v>
      </c>
      <c r="FH34" s="890">
        <f t="shared" ref="FH34" si="485">FG34-EU34</f>
        <v>0</v>
      </c>
      <c r="FI34" s="889">
        <f>DV34</f>
        <v>16705.071792646715</v>
      </c>
      <c r="FJ34" s="889">
        <f t="shared" ref="FJ34" si="486">SUM(DX34:EA34)</f>
        <v>585.15869935142291</v>
      </c>
      <c r="FK34" s="889">
        <f>SUM(DW34,EB34,EC34)</f>
        <v>11394.366979363835</v>
      </c>
      <c r="FL34" s="889">
        <f>SUM(EI34:EK34)</f>
        <v>3710</v>
      </c>
      <c r="FM34" s="889">
        <f t="shared" ref="FM34" si="487">EY34</f>
        <v>1325</v>
      </c>
      <c r="FN34" s="889">
        <f t="shared" ref="FN34" si="488">SUM(FI34:FM34)</f>
        <v>33719.597471361973</v>
      </c>
      <c r="FO34" s="479">
        <f t="shared" si="349"/>
        <v>0</v>
      </c>
      <c r="FP34" s="891">
        <f>(FF34+FE34)/FG34</f>
        <v>0.14931969470502196</v>
      </c>
      <c r="FQ34" s="891">
        <f>FF34/FG34</f>
        <v>3.9294656501321565E-2</v>
      </c>
      <c r="FR34" s="886"/>
      <c r="FS34" s="889">
        <f>FS24</f>
        <v>1380</v>
      </c>
      <c r="FT34" s="887">
        <f t="shared" ref="FT34" si="489">FS34-SUM(FB34:FD34)</f>
        <v>297.56235957124636</v>
      </c>
      <c r="FU34" s="975">
        <f t="shared" ref="FU34" si="490">FT34/FS34</f>
        <v>0.21562489824003359</v>
      </c>
      <c r="FV34" s="892">
        <f t="shared" ref="FV34" si="491">FS34-FG34</f>
        <v>107.56235957124636</v>
      </c>
      <c r="FW34" s="281">
        <f t="shared" ref="FW34" si="492">FV34/FS34</f>
        <v>7.7943738819743744E-2</v>
      </c>
      <c r="FX34" s="886"/>
      <c r="FY34" s="886" t="str">
        <f t="shared" ref="FY34" si="493">DR34</f>
        <v>Hạt nhựa rPET WSS01G 1</v>
      </c>
      <c r="FZ34" s="860"/>
      <c r="GA34" s="797"/>
      <c r="GB34" s="296"/>
      <c r="GD34" s="860"/>
      <c r="GE34" s="797"/>
      <c r="GF34" s="296"/>
      <c r="GH34" s="860"/>
      <c r="GL34" s="860"/>
    </row>
    <row r="35" spans="4:196" ht="30.5" x14ac:dyDescent="0.35">
      <c r="K35" s="353"/>
      <c r="V35" s="343"/>
      <c r="AG35" s="463">
        <f>Z5</f>
        <v>19696.977997680038</v>
      </c>
      <c r="AH35" s="388">
        <v>2.7300000000000001E-2</v>
      </c>
      <c r="AI35" s="738">
        <f>AG35*AH35</f>
        <v>537.72749933666512</v>
      </c>
      <c r="AJ35" s="1091" t="s">
        <v>482</v>
      </c>
      <c r="AK35" s="1092"/>
      <c r="AS35" s="353"/>
      <c r="AW35" s="353"/>
      <c r="AZ35" s="453">
        <v>14000</v>
      </c>
      <c r="BA35" s="362">
        <v>3.007072142729145E-2</v>
      </c>
      <c r="BB35" s="680">
        <f>AZ35*BA35</f>
        <v>420.99009998208032</v>
      </c>
      <c r="BC35" s="431" t="s">
        <v>573</v>
      </c>
      <c r="BD35" s="430"/>
      <c r="CI35" s="842"/>
      <c r="CY35" s="761" t="str">
        <f>LEFT($CH$2,3)&amp;" "&amp;RIGHT(BK12,2)&amp;"_"&amp;RIGHT($CH$2,3)&amp;" DT"</f>
        <v>Vảy B5_ A1 DT</v>
      </c>
      <c r="CZ35" s="761"/>
      <c r="DA35" s="773" t="s">
        <v>871</v>
      </c>
      <c r="DB35" s="482">
        <f>BZ12/CZ34</f>
        <v>17066.665050795793</v>
      </c>
      <c r="DC35" s="482">
        <f>CL12</f>
        <v>12246.485326989954</v>
      </c>
      <c r="DD35" s="484">
        <f t="shared" ref="DD35:DI35" si="494">CM12</f>
        <v>3113.5132187262589</v>
      </c>
      <c r="DE35" s="484">
        <f t="shared" si="494"/>
        <v>2042.6615365621933</v>
      </c>
      <c r="DF35" s="482">
        <f t="shared" si="494"/>
        <v>1273.8558498087386</v>
      </c>
      <c r="DG35" s="482">
        <f t="shared" si="494"/>
        <v>-524.70553837633918</v>
      </c>
      <c r="DH35" s="482">
        <f t="shared" si="494"/>
        <v>-489.5</v>
      </c>
      <c r="DI35" s="482">
        <f t="shared" si="494"/>
        <v>1706.6665050795789</v>
      </c>
      <c r="DK35" s="728">
        <f t="shared" ref="DK35:DK40" si="495">SUM(DC35:DI35)</f>
        <v>19368.976898790384</v>
      </c>
      <c r="DL35" s="453">
        <f t="shared" ref="DL35:DL40" si="496">DK35/$CU$2</f>
        <v>730.90478863359942</v>
      </c>
      <c r="DM35" s="494">
        <f t="shared" ref="DM35:DM40" si="497">$CV$2+DL35</f>
        <v>800.90478863359942</v>
      </c>
      <c r="DN35" s="780">
        <f>DM35/$DM$39</f>
        <v>1.56757714651349</v>
      </c>
      <c r="DQ35" s="885" t="str">
        <f>AX192</f>
        <v>85.5% B1.2-A1/A2 DT + 9.5% B2.2-A1/A2 + 5% Hạt WSS03G PL</v>
      </c>
      <c r="DR35" s="886"/>
      <c r="DT35" s="768" t="s">
        <v>872</v>
      </c>
      <c r="DU35" s="887">
        <f>(0.855*$DB$7+0*$DB$7+0.095*$DB$18+0.05*$DB$7)/$DS$33</f>
        <v>23280.137714799563</v>
      </c>
      <c r="DV35" s="887">
        <f>(0.855*$DC$7+0*$DC$7+0.095*$DC$18+0.05*$DC$7)/$DS$33</f>
        <v>16705.071792646715</v>
      </c>
      <c r="DW35" s="887">
        <f>(0.855*($DD$7+$DE$7+$DF$7)+0.095*($DD$18+$DE$18+$DF$18)+0*($DD$44+$DE$44+$DF$44)+0.05*($DD$7+$DE$7+$DF$7))/$DS$33</f>
        <v>10362.07759195138</v>
      </c>
      <c r="DX35" s="887">
        <f>(0.855*$DG$7+0.095*$DG$18+0*$DG$44+0.05*$DG$7)/$DS$33</f>
        <v>-778.49258177799163</v>
      </c>
      <c r="DY35" s="887">
        <f>(0.855*$DH$7+0.95*$DH$18+0*$DH$44+0.05*$DH$7)/$DS$33</f>
        <v>-363.40216756458557</v>
      </c>
      <c r="DZ35" s="887">
        <f>DZ13</f>
        <v>-321.81131370545882</v>
      </c>
      <c r="EA35" s="887">
        <f>EA13</f>
        <v>2048.8647623994589</v>
      </c>
      <c r="EB35" s="887">
        <f>EB9</f>
        <v>2796.8565141477497</v>
      </c>
      <c r="EC35" s="887">
        <f>EC11</f>
        <v>2064.9528218457522</v>
      </c>
      <c r="ED35" s="887"/>
      <c r="EE35" s="887">
        <f t="shared" ref="EE35" si="498">SUM(DV35:ED35)</f>
        <v>32514.117419943021</v>
      </c>
      <c r="EF35" s="887"/>
      <c r="EG35" s="887">
        <f t="shared" ref="EG35" si="499">EE35/$EG$1</f>
        <v>1226.9478271676612</v>
      </c>
      <c r="EH35" s="886"/>
      <c r="EI35" s="887">
        <f t="shared" si="436"/>
        <v>2173</v>
      </c>
      <c r="EJ35" s="887">
        <f t="shared" si="436"/>
        <v>1166</v>
      </c>
      <c r="EK35" s="887">
        <f t="shared" si="436"/>
        <v>371</v>
      </c>
      <c r="EL35" s="888">
        <f>SUM(EI35:EK35)</f>
        <v>3710</v>
      </c>
      <c r="EM35" s="888">
        <f t="shared" ref="EM35" si="500">EE35+EL35</f>
        <v>36224.117419943024</v>
      </c>
      <c r="EN35" s="887">
        <f>EG35+$EN$1</f>
        <v>1366.9478271676612</v>
      </c>
      <c r="EO35" s="887">
        <f>EO11</f>
        <v>50</v>
      </c>
      <c r="EP35" s="889">
        <f t="shared" ref="EP35" si="501">EN35+EO35</f>
        <v>1416.9478271676612</v>
      </c>
      <c r="EQ35" s="886"/>
      <c r="ER35" s="889">
        <f t="shared" ref="ER35" si="502">SUM(DV35,EA35,DX35:DZ35)/$EG$1</f>
        <v>652.46152799992979</v>
      </c>
      <c r="ES35" s="889">
        <f>(SUM(DW35,EB35,EC35:ED35,EI35:EK35))/$EG$1</f>
        <v>714.48629916773154</v>
      </c>
      <c r="ET35" s="889">
        <f t="shared" ref="ET35" si="503">EO35</f>
        <v>50</v>
      </c>
      <c r="EU35" s="889">
        <f t="shared" ref="EU35" si="504">SUM(ER35:ET35)</f>
        <v>1416.9478271676612</v>
      </c>
      <c r="EV35" s="886"/>
      <c r="EW35" s="889">
        <f t="shared" si="339"/>
        <v>17290.23049199814</v>
      </c>
      <c r="EX35" s="889">
        <f t="shared" si="340"/>
        <v>18933.886927944885</v>
      </c>
      <c r="EY35" s="889">
        <f t="shared" ref="EY35" si="505">EO35*$EG$1</f>
        <v>1325</v>
      </c>
      <c r="EZ35" s="889">
        <f t="shared" ref="EZ35" si="506">SUM(EW35:EY35)</f>
        <v>37549.117419943024</v>
      </c>
      <c r="FA35" s="886"/>
      <c r="FB35" s="889">
        <f>DV35/$EG$1</f>
        <v>630.38006764704585</v>
      </c>
      <c r="FC35" s="889">
        <f>SUM(DX35:EA35)/$EG$1</f>
        <v>22.081460352883884</v>
      </c>
      <c r="FD35" s="889">
        <f>SUM(DW35,EB35,EC35:ED35)/$EG$1</f>
        <v>574.48629916773143</v>
      </c>
      <c r="FE35" s="889">
        <f>SUM(EI35:EK35)/$EG$1</f>
        <v>140</v>
      </c>
      <c r="FF35" s="889">
        <f t="shared" ref="FF35" si="507">ET35</f>
        <v>50</v>
      </c>
      <c r="FG35" s="889">
        <f t="shared" ref="FG35" si="508">SUM(FB35:FF35)</f>
        <v>1416.9478271676612</v>
      </c>
      <c r="FH35" s="890">
        <f t="shared" ref="FH35" si="509">FG35-EU35</f>
        <v>0</v>
      </c>
      <c r="FI35" s="889">
        <f>DV35</f>
        <v>16705.071792646715</v>
      </c>
      <c r="FJ35" s="889">
        <f t="shared" ref="FJ35" si="510">SUM(DX35:EA35)</f>
        <v>585.15869935142291</v>
      </c>
      <c r="FK35" s="889">
        <f>SUM(DW35,EB35,EC35)</f>
        <v>15223.886927944883</v>
      </c>
      <c r="FL35" s="889">
        <f>SUM(EI35:EK35)</f>
        <v>3710</v>
      </c>
      <c r="FM35" s="889">
        <f t="shared" ref="FM35" si="511">EY35</f>
        <v>1325</v>
      </c>
      <c r="FN35" s="889">
        <f t="shared" ref="FN35" si="512">SUM(FI35:FM35)</f>
        <v>37549.117419943024</v>
      </c>
      <c r="FO35" s="479">
        <f t="shared" si="349"/>
        <v>0</v>
      </c>
      <c r="FP35" s="961">
        <f>(FF35+FE35)/FG35</f>
        <v>0.13409103451592233</v>
      </c>
      <c r="FQ35" s="961">
        <f>FF35/FG35</f>
        <v>3.5287114346295348E-2</v>
      </c>
      <c r="FR35" s="473"/>
      <c r="FS35" s="735">
        <f>FS24</f>
        <v>1380</v>
      </c>
      <c r="FT35" s="479">
        <f t="shared" ref="FT35" si="513">FS35-SUM(FB35:FD35)</f>
        <v>153.05217283233878</v>
      </c>
      <c r="FU35" s="974">
        <f t="shared" ref="FU35" si="514">FT35/FS35</f>
        <v>0.11090737161763679</v>
      </c>
      <c r="FV35" s="295">
        <f>FS35-FG35</f>
        <v>-36.947827167661217</v>
      </c>
      <c r="FW35" s="985">
        <f t="shared" ref="FW35" si="515">FV35/FS35</f>
        <v>-2.6773787802653055E-2</v>
      </c>
      <c r="FX35" s="473"/>
      <c r="FY35" s="473">
        <f t="shared" ref="FY35" si="516">DR35</f>
        <v>0</v>
      </c>
      <c r="FZ35" s="735"/>
      <c r="GA35" s="473"/>
      <c r="GB35" s="473"/>
      <c r="GC35" s="473"/>
      <c r="GD35" s="735"/>
      <c r="GE35" s="473"/>
      <c r="GF35" s="473"/>
      <c r="GG35" s="473"/>
      <c r="GH35" s="735"/>
      <c r="GL35" s="962"/>
    </row>
    <row r="36" spans="4:196" x14ac:dyDescent="0.35">
      <c r="K36" s="353"/>
      <c r="V36" s="343"/>
      <c r="AI36" s="738"/>
      <c r="AJ36" s="1093"/>
      <c r="AK36" s="1094"/>
      <c r="AS36" s="353"/>
      <c r="AW36" s="353"/>
      <c r="AZ36" s="453"/>
      <c r="BA36" s="343"/>
      <c r="BB36" s="343"/>
      <c r="BC36" s="430"/>
      <c r="BD36" s="430"/>
      <c r="CI36" s="387"/>
      <c r="CY36" s="764"/>
      <c r="CZ36" s="387">
        <v>1</v>
      </c>
      <c r="DA36" s="768" t="s">
        <v>872</v>
      </c>
      <c r="DB36" s="484">
        <f>DB35</f>
        <v>17066.665050795793</v>
      </c>
      <c r="DC36" s="453">
        <f t="shared" ref="DC36" si="517">DC35</f>
        <v>12246.485326989954</v>
      </c>
      <c r="DD36" s="456">
        <f>AJ93</f>
        <v>3113.5132187262589</v>
      </c>
      <c r="DE36" s="456">
        <f>+CC13</f>
        <v>3240.9192930660097</v>
      </c>
      <c r="DF36" s="484">
        <f>DF29</f>
        <v>1610.8482620845953</v>
      </c>
      <c r="DG36" s="482">
        <f>CP13</f>
        <v>-479.05615653759764</v>
      </c>
      <c r="DH36" s="453">
        <f>DH35</f>
        <v>-489.5</v>
      </c>
      <c r="DI36" s="453">
        <f t="shared" ref="DI36" si="518">DI35</f>
        <v>1706.6665050795789</v>
      </c>
      <c r="DK36" s="727">
        <f t="shared" si="495"/>
        <v>20949.876449408795</v>
      </c>
      <c r="DL36" s="453">
        <f t="shared" si="496"/>
        <v>790.56137544938849</v>
      </c>
      <c r="DM36" s="476">
        <f t="shared" si="497"/>
        <v>860.56137544938849</v>
      </c>
      <c r="DN36" s="781"/>
      <c r="DQ36" s="489"/>
      <c r="DT36" s="768"/>
      <c r="FO36" s="479">
        <f t="shared" ref="FO36:FO37" si="519">FN36-EZ36</f>
        <v>0</v>
      </c>
      <c r="GD36" s="453"/>
      <c r="GH36" s="453"/>
      <c r="GL36" s="453"/>
    </row>
    <row r="37" spans="4:196" x14ac:dyDescent="0.35">
      <c r="K37" s="353"/>
      <c r="V37" s="343"/>
      <c r="AS37" s="353"/>
      <c r="AW37" s="353"/>
      <c r="AZ37" s="453">
        <v>6500</v>
      </c>
      <c r="BA37" s="350">
        <v>4.4406477601608351E-3</v>
      </c>
      <c r="BB37" s="680">
        <f>AZ37*BA37</f>
        <v>28.864210441045429</v>
      </c>
      <c r="BC37" s="431" t="s">
        <v>576</v>
      </c>
      <c r="BD37" s="432"/>
      <c r="CI37" s="850"/>
      <c r="CY37" s="465" t="str">
        <f>LEFT($CH$2,3)&amp;" "&amp;RIGHT($BK$12,2)&amp;"_"&amp;"A"&amp;"2"&amp;" DT"</f>
        <v>Vảy B5_A2 DT</v>
      </c>
      <c r="CZ37" s="761"/>
      <c r="DA37" s="773" t="s">
        <v>871</v>
      </c>
      <c r="DB37" s="476">
        <f>DB35*$CZ$38</f>
        <v>13653.332040636635</v>
      </c>
      <c r="DC37" s="476">
        <f t="shared" ref="DC37:DI37" si="520">DC35*$CZ$38</f>
        <v>9797.188261591964</v>
      </c>
      <c r="DD37" s="456">
        <f t="shared" si="520"/>
        <v>2490.8105749810074</v>
      </c>
      <c r="DE37" s="456">
        <f t="shared" ref="DE37" si="521">DE35*$CZ$38</f>
        <v>1634.1292292497546</v>
      </c>
      <c r="DF37" s="476">
        <f>DF35*$CZ$38</f>
        <v>1019.084679846991</v>
      </c>
      <c r="DG37" s="476">
        <f>DG35*$CZ$38</f>
        <v>-419.76443070107138</v>
      </c>
      <c r="DH37" s="476">
        <f t="shared" si="520"/>
        <v>-391.6</v>
      </c>
      <c r="DI37" s="476">
        <f t="shared" si="520"/>
        <v>1365.3332040636633</v>
      </c>
      <c r="DK37" s="728">
        <f t="shared" si="495"/>
        <v>15495.181519032309</v>
      </c>
      <c r="DL37" s="453">
        <f t="shared" si="496"/>
        <v>584.72383090687958</v>
      </c>
      <c r="DM37" s="494">
        <f t="shared" si="497"/>
        <v>654.72383090687958</v>
      </c>
      <c r="DN37" s="780">
        <f>DM37/$DM$39</f>
        <v>1.2814633264440574</v>
      </c>
      <c r="DP37" s="919" t="str">
        <f>AT213</f>
        <v xml:space="preserve">Tạo hạt WSS03G </v>
      </c>
      <c r="DS37" s="387">
        <f>BA210</f>
        <v>0.95058803508799916</v>
      </c>
      <c r="DU37" s="387">
        <f>BD210</f>
        <v>0.75905330750481881</v>
      </c>
      <c r="DV37" s="387"/>
      <c r="DW37" s="387"/>
      <c r="DX37" s="387"/>
      <c r="DY37" s="387"/>
      <c r="DZ37" s="387"/>
      <c r="EA37" s="387"/>
      <c r="EB37" s="387"/>
      <c r="EC37" s="387"/>
      <c r="ED37" s="387"/>
      <c r="EE37" s="387"/>
      <c r="EG37" s="387"/>
      <c r="FO37" s="479">
        <f t="shared" si="519"/>
        <v>0</v>
      </c>
      <c r="FY37" s="340">
        <f t="shared" si="157"/>
        <v>0</v>
      </c>
      <c r="GD37" s="453"/>
      <c r="GH37" s="453"/>
      <c r="GL37" s="453"/>
    </row>
    <row r="38" spans="4:196" ht="17.5" x14ac:dyDescent="0.35">
      <c r="K38" s="353"/>
      <c r="M38" s="340" t="s">
        <v>52</v>
      </c>
      <c r="N38" s="453">
        <f>$E$5*$L$43</f>
        <v>372.76414087513348</v>
      </c>
      <c r="V38" s="343"/>
      <c r="AI38" s="394" t="s">
        <v>712</v>
      </c>
      <c r="AS38" s="353"/>
      <c r="AW38" s="353"/>
      <c r="BA38" s="343"/>
      <c r="BB38" s="343"/>
      <c r="BC38" s="424"/>
      <c r="BD38" s="425"/>
      <c r="CI38" s="387"/>
      <c r="CY38" s="764"/>
      <c r="CZ38" s="387">
        <v>0.8</v>
      </c>
      <c r="DA38" s="768" t="s">
        <v>872</v>
      </c>
      <c r="DB38" s="453">
        <f>DB36*$CZ$38</f>
        <v>13653.332040636635</v>
      </c>
      <c r="DC38" s="453">
        <f t="shared" ref="DC38:DI38" si="522">DC36*$CZ$38</f>
        <v>9797.188261591964</v>
      </c>
      <c r="DD38" s="456">
        <f t="shared" si="522"/>
        <v>2490.8105749810074</v>
      </c>
      <c r="DE38" s="456">
        <f t="shared" ref="DE38" si="523">DE36*$CZ$38</f>
        <v>2592.735434452808</v>
      </c>
      <c r="DF38" s="453">
        <f>DF36*$CZ$38</f>
        <v>1288.6786096676763</v>
      </c>
      <c r="DG38" s="453">
        <f>DG36*$CZ$38</f>
        <v>-383.24492523007814</v>
      </c>
      <c r="DH38" s="453">
        <f t="shared" si="522"/>
        <v>-391.6</v>
      </c>
      <c r="DI38" s="453">
        <f t="shared" si="522"/>
        <v>1365.3332040636633</v>
      </c>
      <c r="DK38" s="727">
        <f t="shared" si="495"/>
        <v>16759.901159527042</v>
      </c>
      <c r="DL38" s="453">
        <f t="shared" si="496"/>
        <v>632.44910035951102</v>
      </c>
      <c r="DM38" s="476">
        <f t="shared" si="497"/>
        <v>702.44910035951102</v>
      </c>
      <c r="DN38" s="781"/>
      <c r="DQ38" s="489"/>
      <c r="DR38" s="471" t="str">
        <f>BC211</f>
        <v>Hạt nhựa rPET WSS03G</v>
      </c>
      <c r="DS38" s="764"/>
      <c r="DT38" s="773" t="s">
        <v>871</v>
      </c>
      <c r="DU38" s="475">
        <f>AZ210</f>
        <v>21171.357103758306</v>
      </c>
      <c r="DV38" s="475">
        <f>(0.3*$DC$6+0.15*$DC$17+0.55*$DC$44+0.05*$DC$6)/$DS$37</f>
        <v>15993.47893966747</v>
      </c>
      <c r="DW38" s="475">
        <f>(0.3*($DD$6+$DE$6+$DF$6)+0.15*($DD$17+$DE$17+$DF$17)+0.55*($DD$44+$DE$44+$DF$44)+0.05*($DD$6+$DE$6+$DF$6))/$DS$39</f>
        <v>8543.6564597476954</v>
      </c>
      <c r="DX38" s="475">
        <f>(0.3*$DG$6+0.15*$DG$17+0.55*$DG$44+0.05*$DG$6)/$DS$39</f>
        <v>-959.37650165415096</v>
      </c>
      <c r="DY38" s="475">
        <f>(0.3*$DH$6+0.15*$DH$17+0.55*$DH$44+0.05*$DH$6)/$DS$39</f>
        <v>-348.3482459281413</v>
      </c>
      <c r="DZ38" s="475">
        <f t="shared" ref="DZ38:DZ41" si="524">DZ16</f>
        <v>-321.81131370545882</v>
      </c>
      <c r="EA38" s="475">
        <f>EA12</f>
        <v>2048.8647623994589</v>
      </c>
      <c r="EB38" s="475">
        <f>EB12</f>
        <v>2000.939404729972</v>
      </c>
      <c r="EC38" s="475">
        <f>EC10</f>
        <v>1376.0623421472308</v>
      </c>
      <c r="ED38" s="475"/>
      <c r="EE38" s="475">
        <f t="shared" ref="EE38" si="525">SUM(DV38:ED38)</f>
        <v>28333.465847404077</v>
      </c>
      <c r="EF38" s="474">
        <f t="shared" ref="EF38" si="526">$EF$6</f>
        <v>23509.852491131598</v>
      </c>
      <c r="EG38" s="475">
        <f>EE38/$EG$1</f>
        <v>1069.1873904680783</v>
      </c>
      <c r="EI38" s="474">
        <f t="shared" ref="EI38:EK39" si="527">EI6</f>
        <v>2173</v>
      </c>
      <c r="EJ38" s="474">
        <f t="shared" si="527"/>
        <v>1166</v>
      </c>
      <c r="EK38" s="474">
        <f t="shared" si="527"/>
        <v>371</v>
      </c>
      <c r="EL38" s="475">
        <f>SUM(EI38:EK38)</f>
        <v>3710</v>
      </c>
      <c r="EM38" s="475">
        <f t="shared" ref="EM38" si="528">EE38+EL38</f>
        <v>32043.465847404077</v>
      </c>
      <c r="EN38" s="474">
        <f>EG38+$EN$1</f>
        <v>1209.1873904680783</v>
      </c>
      <c r="EO38" s="463">
        <f>EO12</f>
        <v>50</v>
      </c>
      <c r="EP38" s="736">
        <f t="shared" ref="EP38" si="529">EN38+EO38</f>
        <v>1259.1873904680783</v>
      </c>
      <c r="EQ38" s="471"/>
      <c r="ER38" s="736">
        <f t="shared" ref="ER38" si="530">SUM(DV38,EA38,DX38:DZ38)/$EG$1</f>
        <v>619.35123172751628</v>
      </c>
      <c r="ES38" s="736">
        <f>(SUM(DW38,EB38,EC38:ED38,EI38:EK38))/$EG$1</f>
        <v>589.83615874056215</v>
      </c>
      <c r="ET38" s="736">
        <f t="shared" ref="ET38" si="531">EO38</f>
        <v>50</v>
      </c>
      <c r="EU38" s="736">
        <f t="shared" ref="EU38" si="532">SUM(ER38:ET38)</f>
        <v>1259.1873904680783</v>
      </c>
      <c r="EW38" s="736">
        <f t="shared" ref="EW38:EW45" si="533">SUM(DV38,EA38,DX38:DZ38)</f>
        <v>16412.807640779181</v>
      </c>
      <c r="EX38" s="736">
        <f t="shared" ref="EX38:EX45" si="534">SUM(DW38,EB38,EC38,EI38:EK38)</f>
        <v>15630.658206624898</v>
      </c>
      <c r="EY38" s="736">
        <f t="shared" ref="EY38" si="535">EO38*$EG$1</f>
        <v>1325</v>
      </c>
      <c r="EZ38" s="736">
        <f t="shared" ref="EZ38" si="536">SUM(EW38:EY38)</f>
        <v>33368.465847404077</v>
      </c>
      <c r="FB38" s="736">
        <f>DV38/$EG$1</f>
        <v>603.52750715726302</v>
      </c>
      <c r="FC38" s="736">
        <f>SUM(DX38:EA38)/$EG$1</f>
        <v>15.82372457025312</v>
      </c>
      <c r="FD38" s="736">
        <f>SUM(DW38,EB38,EC38:ED38)/$EG$1</f>
        <v>449.83615874056215</v>
      </c>
      <c r="FE38" s="736">
        <f>SUM(EI38:EK38)/$EG$1</f>
        <v>140</v>
      </c>
      <c r="FF38" s="736">
        <f t="shared" ref="FF38" si="537">ET38</f>
        <v>50</v>
      </c>
      <c r="FG38" s="736">
        <f t="shared" ref="FG38" si="538">SUM(FB38:FF38)</f>
        <v>1259.1873904680783</v>
      </c>
      <c r="FH38" s="732">
        <f t="shared" ref="FH38" si="539">FG38-EU38</f>
        <v>0</v>
      </c>
      <c r="FI38" s="736">
        <f>DV38</f>
        <v>15993.47893966747</v>
      </c>
      <c r="FJ38" s="736">
        <f t="shared" ref="FJ38" si="540">SUM(DX38:EA38)</f>
        <v>419.32870111170769</v>
      </c>
      <c r="FK38" s="736">
        <f>SUM(DW38,EB38,EC38)</f>
        <v>11920.658206624898</v>
      </c>
      <c r="FL38" s="736">
        <f>SUM(EI38:EK38)</f>
        <v>3710</v>
      </c>
      <c r="FM38" s="736">
        <f t="shared" ref="FM38" si="541">EY38</f>
        <v>1325</v>
      </c>
      <c r="FN38" s="736">
        <f t="shared" ref="FN38" si="542">SUM(FI38:FM38)</f>
        <v>33368.465847404077</v>
      </c>
      <c r="FO38" s="479">
        <f t="shared" ref="FO38:FO45" si="543">FN38-EZ38</f>
        <v>0</v>
      </c>
      <c r="FP38" s="525">
        <f>(FF38+FE38)/FG38</f>
        <v>0.15089096463185769</v>
      </c>
      <c r="FQ38" s="525">
        <f>FF38/FG38</f>
        <v>3.9708148587330974E-2</v>
      </c>
      <c r="FS38" s="736">
        <f>FS12</f>
        <v>1310</v>
      </c>
      <c r="FT38" s="474">
        <f t="shared" ref="FT38" si="544">FS38-SUM(FB38:FD38)</f>
        <v>240.81260953192168</v>
      </c>
      <c r="FU38" s="957">
        <f t="shared" ref="FU38" si="545">FT38/FS38</f>
        <v>0.18382641949001655</v>
      </c>
      <c r="FV38" s="797">
        <f t="shared" ref="FV38" si="546">FS38-FG38</f>
        <v>50.81260953192168</v>
      </c>
      <c r="FW38" s="281">
        <f t="shared" ref="FW38" si="547">FV38/FS38</f>
        <v>3.878825155108525E-2</v>
      </c>
      <c r="FY38" s="340" t="str">
        <f t="shared" si="157"/>
        <v>Hạt nhựa rPET WSS03G</v>
      </c>
      <c r="FZ38" s="860"/>
      <c r="GA38" s="797"/>
      <c r="GB38" s="296"/>
      <c r="GD38" s="860"/>
      <c r="GE38" s="797"/>
      <c r="GF38" s="296"/>
      <c r="GH38" s="860"/>
      <c r="GI38" s="797"/>
      <c r="GJ38" s="296"/>
      <c r="GL38" s="860"/>
      <c r="GM38" s="797"/>
      <c r="GN38" s="296"/>
    </row>
    <row r="39" spans="4:196" ht="33" customHeight="1" x14ac:dyDescent="0.35">
      <c r="K39" s="353"/>
      <c r="M39" s="340" t="s">
        <v>653</v>
      </c>
      <c r="N39" s="453">
        <f>(($E$5+$H$5)*$G$5/(1-$G$5)+$H$5)*$L$43</f>
        <v>146.71884264200168</v>
      </c>
      <c r="Q39" s="384" t="s">
        <v>857</v>
      </c>
      <c r="R39" s="340" t="s">
        <v>858</v>
      </c>
      <c r="S39" s="340" t="s">
        <v>859</v>
      </c>
      <c r="T39" s="340" t="s">
        <v>860</v>
      </c>
      <c r="V39" s="343"/>
      <c r="Z39" s="384" t="s">
        <v>857</v>
      </c>
      <c r="AA39" s="340" t="s">
        <v>858</v>
      </c>
      <c r="AB39" s="340" t="s">
        <v>859</v>
      </c>
      <c r="AC39" s="340" t="s">
        <v>860</v>
      </c>
      <c r="AH39" s="384" t="s">
        <v>861</v>
      </c>
      <c r="AI39" s="384" t="s">
        <v>862</v>
      </c>
      <c r="AJ39" s="384" t="s">
        <v>863</v>
      </c>
      <c r="AK39" s="340" t="s">
        <v>860</v>
      </c>
      <c r="AS39" s="353"/>
      <c r="AW39" s="353"/>
      <c r="AZ39" s="453">
        <v>8000</v>
      </c>
      <c r="BA39" s="350">
        <v>5.4004560930645869E-3</v>
      </c>
      <c r="BB39" s="680">
        <f>AZ39*BA39</f>
        <v>43.203648744516698</v>
      </c>
      <c r="BC39" s="422" t="s">
        <v>579</v>
      </c>
      <c r="BD39" s="423"/>
      <c r="CI39" s="855"/>
      <c r="CY39" s="465" t="str">
        <f>LEFT($CH$2,3)&amp;" "&amp;RIGHT($BK$12,2)&amp;"_"&amp;"A"&amp;"3"&amp;" DT"</f>
        <v>Vảy B5_A3 DT</v>
      </c>
      <c r="CZ39" s="761"/>
      <c r="DA39" s="773" t="s">
        <v>871</v>
      </c>
      <c r="DB39" s="476">
        <f>DB35*$CZ$40</f>
        <v>10239.999030477475</v>
      </c>
      <c r="DC39" s="476">
        <f t="shared" ref="DC39:DI39" si="548">DC35*$CZ$40</f>
        <v>7347.8911961939721</v>
      </c>
      <c r="DD39" s="456">
        <f t="shared" si="548"/>
        <v>1868.1079312357551</v>
      </c>
      <c r="DE39" s="456">
        <f t="shared" ref="DE39" si="549">DE35*$CZ$40</f>
        <v>1225.596921937316</v>
      </c>
      <c r="DF39" s="476">
        <f>DF35*$CZ$40</f>
        <v>764.31350988524321</v>
      </c>
      <c r="DG39" s="476">
        <f>DG37*$CZ$40</f>
        <v>-251.85865842064283</v>
      </c>
      <c r="DH39" s="476">
        <f t="shared" si="548"/>
        <v>-293.7</v>
      </c>
      <c r="DI39" s="476">
        <f t="shared" si="548"/>
        <v>1023.9999030477472</v>
      </c>
      <c r="DK39" s="728">
        <f t="shared" si="495"/>
        <v>11684.350803879392</v>
      </c>
      <c r="DL39" s="453">
        <f t="shared" si="496"/>
        <v>440.9188982595997</v>
      </c>
      <c r="DM39" s="494">
        <f t="shared" si="497"/>
        <v>510.9188982595997</v>
      </c>
      <c r="DN39" s="780">
        <f>DM39/$DM$39</f>
        <v>1</v>
      </c>
      <c r="DQ39" s="489" t="str">
        <f>AX213</f>
        <v>30%  B1-A3/A2.2 MN + 15% B2.2-A3/A2 + 55% B6.2 Nạp Star/A2 + 5% Hạt WSS03G PL</v>
      </c>
      <c r="DS39" s="926">
        <f>BA225</f>
        <v>0.85648854961832066</v>
      </c>
      <c r="DT39" s="768" t="s">
        <v>872</v>
      </c>
      <c r="DU39" s="475">
        <f>(0.3*$DB$6+0.15*$DB$18+0.55*$DB$45+0.05*$DB$7)/$DS$37</f>
        <v>22288.464059046943</v>
      </c>
      <c r="DV39" s="475">
        <f>(0.3*$DC$7+0.15*$DC$18+0.55*$DC$45+0.05*$DC$7)/$DS$37</f>
        <v>15993.47893966747</v>
      </c>
      <c r="DW39" s="475">
        <f>(0.3*($DD$7+$DE$7+$DF$7)+0.15*($DD$18+$DE$18+$DF$18)+0.55*($DD$45+$DE$45+$DF$45)+0.05*($DD$7+$DE$7+$DF$7))/$DS$39</f>
        <v>10835.585580255243</v>
      </c>
      <c r="DX39" s="475">
        <f>(0.3*$DG$7+0.15*$DG$18+0.55*$DG$45+0.05*$DG$7)/$DS$39</f>
        <v>-959.37650165415096</v>
      </c>
      <c r="DY39" s="475">
        <f>(0.3*$DH$7+0.15*$DH$18+0.55*$DH$45+0.05*$DH$7)/$DS$39</f>
        <v>-348.3482459281413</v>
      </c>
      <c r="DZ39" s="475">
        <f t="shared" si="524"/>
        <v>-321.81131370545882</v>
      </c>
      <c r="EA39" s="475">
        <f>EA13</f>
        <v>2048.8647623994589</v>
      </c>
      <c r="EB39" s="475">
        <f>EB13</f>
        <v>2796.8565141477497</v>
      </c>
      <c r="EC39" s="475">
        <f>EC11</f>
        <v>2064.9528218457522</v>
      </c>
      <c r="ED39" s="387"/>
      <c r="EE39" s="475">
        <f t="shared" ref="EE39" si="550">SUM(DV39:ED39)</f>
        <v>32110.202557027926</v>
      </c>
      <c r="EF39" s="474"/>
      <c r="EG39" s="475">
        <f>EE39/$EG$1</f>
        <v>1211.7057568689784</v>
      </c>
      <c r="EI39" s="474">
        <f t="shared" si="527"/>
        <v>2173</v>
      </c>
      <c r="EJ39" s="474">
        <f t="shared" si="527"/>
        <v>1166</v>
      </c>
      <c r="EK39" s="474">
        <f t="shared" si="527"/>
        <v>371</v>
      </c>
      <c r="EL39" s="475">
        <f>SUM(EI39:EK39)</f>
        <v>3710</v>
      </c>
      <c r="EM39" s="475">
        <f t="shared" ref="EM39" si="551">EE39+EL39</f>
        <v>35820.202557027922</v>
      </c>
      <c r="EN39" s="474">
        <f>EG39+$EN$1</f>
        <v>1351.7057568689784</v>
      </c>
      <c r="EO39" s="463">
        <f>EO13</f>
        <v>50</v>
      </c>
      <c r="EP39" s="736">
        <f t="shared" ref="EP39" si="552">EN39+EO39</f>
        <v>1401.7057568689784</v>
      </c>
      <c r="EQ39" s="471"/>
      <c r="ER39" s="736">
        <f t="shared" ref="ER39" si="553">SUM(DV39,EA39,DX39:DZ39)/$EG$1</f>
        <v>619.35123172751628</v>
      </c>
      <c r="ES39" s="736">
        <f>(SUM(DW39,EB39,EC39:ED39,EI39:EK39))/$EG$1</f>
        <v>732.3545251414622</v>
      </c>
      <c r="ET39" s="736">
        <f t="shared" ref="ET39" si="554">EO39</f>
        <v>50</v>
      </c>
      <c r="EU39" s="736">
        <f t="shared" ref="EU39" si="555">SUM(ER39:ET39)</f>
        <v>1401.7057568689784</v>
      </c>
      <c r="EW39" s="736">
        <f t="shared" si="533"/>
        <v>16412.807640779181</v>
      </c>
      <c r="EX39" s="736">
        <f t="shared" si="534"/>
        <v>19407.394916248748</v>
      </c>
      <c r="EY39" s="736">
        <f t="shared" ref="EY39" si="556">EO39*$EG$1</f>
        <v>1325</v>
      </c>
      <c r="EZ39" s="736">
        <f t="shared" ref="EZ39" si="557">SUM(EW39:EY39)</f>
        <v>37145.202557027929</v>
      </c>
      <c r="FB39" s="736">
        <f>DV39/$EG$1</f>
        <v>603.52750715726302</v>
      </c>
      <c r="FC39" s="736">
        <f>SUM(DX39:EA39)/$EG$1</f>
        <v>15.82372457025312</v>
      </c>
      <c r="FD39" s="736">
        <f>SUM(DW39,EB39,EC39:ED39)/$EG$1</f>
        <v>592.35452514146209</v>
      </c>
      <c r="FE39" s="736">
        <f>SUM(EI39:EK39)/$EG$1</f>
        <v>140</v>
      </c>
      <c r="FF39" s="736">
        <f t="shared" ref="FF39" si="558">ET39</f>
        <v>50</v>
      </c>
      <c r="FG39" s="736">
        <f t="shared" ref="FG39" si="559">SUM(FB39:FF39)</f>
        <v>1401.7057568689784</v>
      </c>
      <c r="FH39" s="732">
        <f t="shared" ref="FH39" si="560">FG39-EU39</f>
        <v>0</v>
      </c>
      <c r="FI39" s="736">
        <f>DV39</f>
        <v>15993.47893966747</v>
      </c>
      <c r="FJ39" s="736">
        <f t="shared" ref="FJ39" si="561">SUM(DX39:EA39)</f>
        <v>419.32870111170769</v>
      </c>
      <c r="FK39" s="736">
        <f>SUM(DW39,EB39,EC39)</f>
        <v>15697.394916248746</v>
      </c>
      <c r="FL39" s="736">
        <f>SUM(EI39:EK39)</f>
        <v>3710</v>
      </c>
      <c r="FM39" s="736">
        <f t="shared" ref="FM39" si="562">EY39</f>
        <v>1325</v>
      </c>
      <c r="FN39" s="736">
        <f t="shared" ref="FN39" si="563">SUM(FI39:FM39)</f>
        <v>37145.202557027922</v>
      </c>
      <c r="FO39" s="479">
        <f t="shared" si="543"/>
        <v>0</v>
      </c>
      <c r="FP39" s="961">
        <f>(FF39+FE39)/FG39</f>
        <v>0.1355491329538428</v>
      </c>
      <c r="FQ39" s="961">
        <f>FF39/FG39</f>
        <v>3.5670824461537576E-2</v>
      </c>
      <c r="FR39" s="473"/>
      <c r="FS39" s="735">
        <f>FS13</f>
        <v>1310</v>
      </c>
      <c r="FT39" s="479">
        <f t="shared" ref="FT39" si="564">FS39-SUM(FB39:FD39)</f>
        <v>98.294243131021631</v>
      </c>
      <c r="FU39" s="974">
        <f t="shared" ref="FU39" si="565">FT39/FS39</f>
        <v>7.5033773382459257E-2</v>
      </c>
      <c r="FV39" s="295">
        <f t="shared" ref="FV39" si="566">FS39-FG39</f>
        <v>-91.705756868978369</v>
      </c>
      <c r="FW39" s="985">
        <f t="shared" ref="FW39" si="567">FV39/FS39</f>
        <v>-7.0004394556472033E-2</v>
      </c>
      <c r="FX39" s="473"/>
      <c r="FY39" s="473">
        <f t="shared" ref="FY39" si="568">DR39</f>
        <v>0</v>
      </c>
      <c r="FZ39" s="735"/>
      <c r="GA39" s="473"/>
      <c r="GB39" s="473"/>
      <c r="GC39" s="473"/>
      <c r="GD39" s="735"/>
      <c r="GE39" s="473"/>
      <c r="GF39" s="473"/>
      <c r="GG39" s="473"/>
      <c r="GH39" s="735"/>
      <c r="GL39" s="962"/>
    </row>
    <row r="40" spans="4:196" x14ac:dyDescent="0.35">
      <c r="K40" s="353"/>
      <c r="M40" s="340" t="s">
        <v>655</v>
      </c>
      <c r="N40" s="455">
        <f>N38+N39</f>
        <v>519.48298351713515</v>
      </c>
      <c r="Q40" s="453"/>
      <c r="R40" s="463"/>
      <c r="V40" s="343"/>
      <c r="Z40" s="468">
        <f>Q41/$Z$42</f>
        <v>12298.388019634887</v>
      </c>
      <c r="AA40" s="468">
        <f>R41/$Z$42</f>
        <v>1713.8996486873475</v>
      </c>
      <c r="AB40" s="468">
        <f t="shared" ref="AB40" si="569">S41/$Z$42</f>
        <v>3126.7088185512421</v>
      </c>
      <c r="AC40" s="463">
        <f>Z41-Z40-AA40-AB40</f>
        <v>0</v>
      </c>
      <c r="AH40" s="468">
        <f>Z40/$AH$42</f>
        <v>13079.217291965209</v>
      </c>
      <c r="AI40" s="468">
        <f t="shared" ref="AI40:AJ40" si="570">AA40/$AH$42</f>
        <v>1822.7157808011777</v>
      </c>
      <c r="AJ40" s="468">
        <f t="shared" si="570"/>
        <v>3325.2247352453919</v>
      </c>
      <c r="AK40" s="463">
        <f>AH41-AH40-AI40-AJ40</f>
        <v>4.0927261579781771E-12</v>
      </c>
      <c r="AS40" s="353"/>
      <c r="AW40" s="353"/>
      <c r="BA40" s="343"/>
      <c r="BB40" s="343"/>
      <c r="BC40" s="424"/>
      <c r="BD40" s="425"/>
      <c r="CZ40" s="387">
        <v>0.6</v>
      </c>
      <c r="DA40" s="768" t="s">
        <v>872</v>
      </c>
      <c r="DB40" s="453">
        <f>DB36*$CZ$40</f>
        <v>10239.999030477475</v>
      </c>
      <c r="DC40" s="453">
        <f t="shared" ref="DC40:DI40" si="571">DC36*$CZ$40</f>
        <v>7347.8911961939721</v>
      </c>
      <c r="DD40" s="456">
        <f t="shared" si="571"/>
        <v>1868.1079312357551</v>
      </c>
      <c r="DE40" s="456">
        <f t="shared" ref="DE40" si="572">DE36*$CZ$40</f>
        <v>1944.5515758396057</v>
      </c>
      <c r="DF40" s="453">
        <f>DF36*$CZ$40</f>
        <v>966.50895725075713</v>
      </c>
      <c r="DG40" s="453">
        <f>DG38*$CZ$40</f>
        <v>-229.94695513804689</v>
      </c>
      <c r="DH40" s="453">
        <f t="shared" si="571"/>
        <v>-293.7</v>
      </c>
      <c r="DI40" s="453">
        <f t="shared" si="571"/>
        <v>1023.9999030477472</v>
      </c>
      <c r="DK40" s="727">
        <f t="shared" si="495"/>
        <v>12627.41260842979</v>
      </c>
      <c r="DL40" s="453">
        <f t="shared" si="496"/>
        <v>476.50613616716186</v>
      </c>
      <c r="DM40" s="476">
        <f t="shared" si="497"/>
        <v>546.50613616716191</v>
      </c>
      <c r="DN40" s="340"/>
      <c r="DQ40" s="893"/>
      <c r="DR40" s="894" t="str">
        <f>BC226</f>
        <v>Hạt nhựa rPET WSS03G</v>
      </c>
      <c r="DS40" s="764"/>
      <c r="DT40" s="773" t="s">
        <v>871</v>
      </c>
      <c r="DU40" s="895">
        <f>AZ225</f>
        <v>22759.484587660489</v>
      </c>
      <c r="DV40" s="895">
        <f>(0*$DC$6+0.3*$DC$17+0.7*$DC$44+0*$DC$6)/$DS$39</f>
        <v>16331.467994659079</v>
      </c>
      <c r="DW40" s="895">
        <f>(0*($DD$6+$DE$6+$DF$6)+0.3*($DD$17+$DE$17+$DF$17)+0.7*($DD$44+$DE$44+$DF$44)+0*($DD$6+$DE$6+$DF$6))/$DS$39</f>
        <v>7988.6611673230373</v>
      </c>
      <c r="DX40" s="895">
        <f>(0*$DG$6+0.3*$DG$17+0.7*$DG$44+0*$DG$6)/$DS$39</f>
        <v>-947.10292509110582</v>
      </c>
      <c r="DY40" s="895">
        <f>(0*$DH$6+0.3*$DH$17+0.7*$DH$44+0*$DH$6)/$DS$39</f>
        <v>-286.35962259997251</v>
      </c>
      <c r="DZ40" s="895">
        <f t="shared" si="524"/>
        <v>-321.81131370545882</v>
      </c>
      <c r="EA40" s="895">
        <f>EA12</f>
        <v>2048.8647623994589</v>
      </c>
      <c r="EB40" s="895">
        <f>EB6</f>
        <v>2000.939404729972</v>
      </c>
      <c r="EC40" s="895">
        <f>EC10</f>
        <v>1376.0623421472308</v>
      </c>
      <c r="ED40" s="895"/>
      <c r="EE40" s="895">
        <f t="shared" ref="EE40:EE54" si="573">SUM(DV40:ED40)</f>
        <v>28190.72180986224</v>
      </c>
      <c r="EF40" s="896">
        <f t="shared" ref="EF40" si="574">$EF$6</f>
        <v>23509.852491131598</v>
      </c>
      <c r="EG40" s="895">
        <f>EE40/$EG$1</f>
        <v>1063.8008230136695</v>
      </c>
      <c r="EH40" s="894"/>
      <c r="EI40" s="896">
        <f t="shared" ref="EI40:EK45" si="575">EI6</f>
        <v>2173</v>
      </c>
      <c r="EJ40" s="896">
        <f t="shared" si="575"/>
        <v>1166</v>
      </c>
      <c r="EK40" s="896">
        <f t="shared" si="575"/>
        <v>371</v>
      </c>
      <c r="EL40" s="895">
        <f>SUM(EI40:EK40)</f>
        <v>3710</v>
      </c>
      <c r="EM40" s="895">
        <f t="shared" ref="EM40" si="576">EE40+EL40</f>
        <v>31900.72180986224</v>
      </c>
      <c r="EN40" s="896">
        <f>EG40+$EN$1</f>
        <v>1203.8008230136695</v>
      </c>
      <c r="EO40" s="896">
        <f>EO12</f>
        <v>50</v>
      </c>
      <c r="EP40" s="897">
        <f t="shared" ref="EP40" si="577">EN40+EO40</f>
        <v>1253.8008230136695</v>
      </c>
      <c r="EQ40" s="894"/>
      <c r="ER40" s="897">
        <f t="shared" ref="ER40" si="578">SUM(DV40,EA40,DX40:DZ40)/$EG$1</f>
        <v>634.90788285516999</v>
      </c>
      <c r="ES40" s="897">
        <f>(SUM(DW40,EB40,EC40:ED40,EI40:EK40))/$EG$1</f>
        <v>568.89294015849953</v>
      </c>
      <c r="ET40" s="897">
        <f t="shared" ref="ET40" si="579">EO40</f>
        <v>50</v>
      </c>
      <c r="EU40" s="897">
        <f t="shared" ref="EU40" si="580">SUM(ER40:ET40)</f>
        <v>1253.8008230136695</v>
      </c>
      <c r="EV40" s="894"/>
      <c r="EW40" s="897">
        <f t="shared" si="533"/>
        <v>16825.058895662005</v>
      </c>
      <c r="EX40" s="897">
        <f t="shared" si="534"/>
        <v>15075.662914200238</v>
      </c>
      <c r="EY40" s="897">
        <f t="shared" ref="EY40" si="581">EO40*$EG$1</f>
        <v>1325</v>
      </c>
      <c r="EZ40" s="897">
        <f t="shared" ref="EZ40" si="582">SUM(EW40:EY40)</f>
        <v>33225.72180986224</v>
      </c>
      <c r="FA40" s="894"/>
      <c r="FB40" s="897">
        <f>DV40/$EG$1</f>
        <v>616.28181111921049</v>
      </c>
      <c r="FC40" s="897">
        <f>SUM(DX40:EA40)/$EG$1</f>
        <v>18.626071735959311</v>
      </c>
      <c r="FD40" s="897">
        <f>SUM(DW40,EB40,EC40:ED40)/$EG$1</f>
        <v>428.89294015849958</v>
      </c>
      <c r="FE40" s="897">
        <f>SUM(EI40:EK40)/$EG$1</f>
        <v>140</v>
      </c>
      <c r="FF40" s="897">
        <f t="shared" ref="FF40" si="583">ET40</f>
        <v>50</v>
      </c>
      <c r="FG40" s="897">
        <f t="shared" ref="FG40" si="584">SUM(FB40:FF40)</f>
        <v>1253.8008230136693</v>
      </c>
      <c r="FH40" s="898">
        <f t="shared" ref="FH40" si="585">FG40-EU40</f>
        <v>0</v>
      </c>
      <c r="FI40" s="897">
        <f>DV40</f>
        <v>16331.467994659079</v>
      </c>
      <c r="FJ40" s="897">
        <f t="shared" ref="FJ40" si="586">SUM(DX40:EA40)</f>
        <v>493.59090100292178</v>
      </c>
      <c r="FK40" s="897">
        <f>SUM(DW40,EB40,EC40)</f>
        <v>11365.662914200238</v>
      </c>
      <c r="FL40" s="897">
        <f>SUM(EI40:EK40)</f>
        <v>3710</v>
      </c>
      <c r="FM40" s="897">
        <f t="shared" ref="FM40" si="587">EY40</f>
        <v>1325</v>
      </c>
      <c r="FN40" s="897">
        <f t="shared" ref="FN40" si="588">SUM(FI40:FM40)</f>
        <v>33225.72180986224</v>
      </c>
      <c r="FO40" s="479">
        <f t="shared" si="543"/>
        <v>0</v>
      </c>
      <c r="FP40" s="899">
        <f>(FF40+FE40)/FG40</f>
        <v>0.15153922099310072</v>
      </c>
      <c r="FQ40" s="899">
        <f>FF40/FG40</f>
        <v>3.9878742366605456E-2</v>
      </c>
      <c r="FR40" s="894"/>
      <c r="FS40" s="897">
        <f>FS12</f>
        <v>1310</v>
      </c>
      <c r="FT40" s="896">
        <f t="shared" ref="FT40" si="589">FS40-SUM(FB40:FD40)</f>
        <v>246.19917698633071</v>
      </c>
      <c r="FU40" s="976">
        <f t="shared" ref="FU40" si="590">FT40/FS40</f>
        <v>0.18793830304300055</v>
      </c>
      <c r="FV40" s="900">
        <f t="shared" ref="FV40" si="591">FS40-FG40</f>
        <v>56.199176986330713</v>
      </c>
      <c r="FW40" s="281">
        <f t="shared" ref="FW40" si="592">FV40/FS40</f>
        <v>4.2900135104069245E-2</v>
      </c>
      <c r="FX40" s="894"/>
      <c r="FY40" s="894" t="str">
        <f t="shared" si="157"/>
        <v>Hạt nhựa rPET WSS03G</v>
      </c>
      <c r="FZ40" s="860"/>
      <c r="GA40" s="797"/>
      <c r="GB40" s="296"/>
      <c r="GD40" s="860"/>
      <c r="GE40" s="797"/>
      <c r="GF40" s="296"/>
      <c r="GH40" s="860"/>
      <c r="GI40" s="797"/>
      <c r="GJ40" s="296"/>
      <c r="GL40" s="860"/>
      <c r="GM40" s="797"/>
      <c r="GN40" s="296"/>
    </row>
    <row r="41" spans="4:196" ht="30.5" x14ac:dyDescent="0.35">
      <c r="K41" s="353"/>
      <c r="M41" s="340" t="s">
        <v>725</v>
      </c>
      <c r="N41" s="455">
        <f>N40/($J$43/(1-$G$5))*1000</f>
        <v>15584.489505514053</v>
      </c>
      <c r="O41" s="453">
        <f>'Giá mua Chai-Vảy'!E15</f>
        <v>14800</v>
      </c>
      <c r="P41" s="463">
        <f>N41-O41</f>
        <v>784.48950551405323</v>
      </c>
      <c r="Q41" s="788">
        <f>'Giá mua Chai-Vảy (Giá giảm)'!I25</f>
        <v>11182.924226254003</v>
      </c>
      <c r="R41" s="788">
        <f>'Giá mua Chai-Vảy (Giá giảm)'!K25</f>
        <v>1558.448950551405</v>
      </c>
      <c r="S41" s="569">
        <f>'Giá mua Chai-Vảy (Giá giảm)'!L25</f>
        <v>2843.1163287086442</v>
      </c>
      <c r="T41" s="463">
        <f>N41-Q41-R41-S41</f>
        <v>0</v>
      </c>
      <c r="V41" s="343"/>
      <c r="Z41" s="465">
        <f>N41/Z42</f>
        <v>17138.996486873479</v>
      </c>
      <c r="AA41" s="465">
        <f>Z41-AA48</f>
        <v>16431.551006927199</v>
      </c>
      <c r="AH41" s="465">
        <f>Z41/AH42</f>
        <v>18227.157808011783</v>
      </c>
      <c r="AI41" s="465">
        <f>AH41-AI50</f>
        <v>18181.167570801004</v>
      </c>
      <c r="AJ41" s="342">
        <f>V43</f>
        <v>0.03</v>
      </c>
      <c r="AK41" s="454">
        <f>N41/AK42</f>
        <v>18227.15780801178</v>
      </c>
      <c r="AS41" s="353"/>
      <c r="AW41" s="353"/>
      <c r="BZ41" s="409">
        <f>$AK42</f>
        <v>0.85501479000000002</v>
      </c>
      <c r="CA41" s="409"/>
      <c r="CB41" s="409"/>
      <c r="CD41" s="409"/>
      <c r="CE41" s="409"/>
      <c r="DQ41" s="893" t="str">
        <f>AX228</f>
        <v>30% Vảy PET Mix  B2-B3-B7 + 70% Vảy PET B6.2_A3.1</v>
      </c>
      <c r="DR41" s="894"/>
      <c r="DS41" s="926">
        <f>BA241</f>
        <v>0.95058803508799916</v>
      </c>
      <c r="DT41" s="768" t="s">
        <v>872</v>
      </c>
      <c r="DU41" s="895">
        <f>(0*$DB$7+0.3*$DB$18+0.7*$DB$45+0*$DB$7)/$DS$39</f>
        <v>22759.484587660489</v>
      </c>
      <c r="DV41" s="895">
        <f>(0*$DC$7+0.3*$DC$18+0.7*$DC$45+0*$DC$7)/$DS$39</f>
        <v>16331.467994659079</v>
      </c>
      <c r="DW41" s="895">
        <f>(0*($DD$7+$DE$7+$DF$7)+0.3*($DD$18+$DE$18+$DF$18)+0.7*($DD$45+$DE$45+$DF$45)+0*($DD$7+$DE$7+$DF$7))/$DS$39</f>
        <v>10029.918260579172</v>
      </c>
      <c r="DX41" s="895">
        <f>(0*$DG$7+0.3*$DG$18+0.7*$DG$45+0*$DG$7)/$DS$39</f>
        <v>-947.10292509110582</v>
      </c>
      <c r="DY41" s="895">
        <f>(0*$DH$7+0.3*$DH$18+0.7*$DH$45+0*$DH$7)/$DS$39</f>
        <v>-286.35962259997251</v>
      </c>
      <c r="DZ41" s="895">
        <f t="shared" si="524"/>
        <v>-321.81131370545882</v>
      </c>
      <c r="EA41" s="895">
        <f>EA13</f>
        <v>2048.8647623994589</v>
      </c>
      <c r="EB41" s="895">
        <f>EB7</f>
        <v>2796.8565141477497</v>
      </c>
      <c r="EC41" s="895">
        <f>EC11</f>
        <v>2064.9528218457522</v>
      </c>
      <c r="ED41" s="894"/>
      <c r="EE41" s="895">
        <f t="shared" ref="EE41" si="593">SUM(DV41:ED41)</f>
        <v>31716.786492234674</v>
      </c>
      <c r="EF41" s="896"/>
      <c r="EG41" s="895">
        <f>EE41/$EG$1</f>
        <v>1196.8598676314971</v>
      </c>
      <c r="EH41" s="894"/>
      <c r="EI41" s="896">
        <f t="shared" si="575"/>
        <v>2173</v>
      </c>
      <c r="EJ41" s="896">
        <f t="shared" si="575"/>
        <v>1166</v>
      </c>
      <c r="EK41" s="896">
        <f t="shared" si="575"/>
        <v>371</v>
      </c>
      <c r="EL41" s="895">
        <f>SUM(EI41:EK41)</f>
        <v>3710</v>
      </c>
      <c r="EM41" s="895">
        <f t="shared" ref="EM41" si="594">EE41+EL41</f>
        <v>35426.786492234678</v>
      </c>
      <c r="EN41" s="896">
        <f>EG41+$EN$1</f>
        <v>1336.8598676314971</v>
      </c>
      <c r="EO41" s="896">
        <f>EO13</f>
        <v>50</v>
      </c>
      <c r="EP41" s="897">
        <f t="shared" ref="EP41" si="595">EN41+EO41</f>
        <v>1386.8598676314971</v>
      </c>
      <c r="EQ41" s="894"/>
      <c r="ER41" s="897">
        <f t="shared" ref="ER41" si="596">SUM(DV41,EA41,DX41:DZ41)/$EG$1</f>
        <v>634.90788285516999</v>
      </c>
      <c r="ES41" s="897">
        <f>(SUM(DW41,EB41,EC41:ED41,EI41:EK41))/$EG$1</f>
        <v>701.95198477632732</v>
      </c>
      <c r="ET41" s="897">
        <f t="shared" ref="ET41" si="597">EO41</f>
        <v>50</v>
      </c>
      <c r="EU41" s="897">
        <f t="shared" ref="EU41" si="598">SUM(ER41:ET41)</f>
        <v>1386.8598676314973</v>
      </c>
      <c r="EV41" s="894"/>
      <c r="EW41" s="897">
        <f t="shared" si="533"/>
        <v>16825.058895662005</v>
      </c>
      <c r="EX41" s="897">
        <f t="shared" si="534"/>
        <v>18601.727596572673</v>
      </c>
      <c r="EY41" s="897">
        <f t="shared" ref="EY41" si="599">EO41*$EG$1</f>
        <v>1325</v>
      </c>
      <c r="EZ41" s="897">
        <f t="shared" ref="EZ41" si="600">SUM(EW41:EY41)</f>
        <v>36751.786492234678</v>
      </c>
      <c r="FA41" s="894"/>
      <c r="FB41" s="897">
        <f>DV41/$EG$1</f>
        <v>616.28181111921049</v>
      </c>
      <c r="FC41" s="897">
        <f>SUM(DX41:EA41)/$EG$1</f>
        <v>18.626071735959311</v>
      </c>
      <c r="FD41" s="897">
        <f>SUM(DW41,EB41,EC41:ED41)/$EG$1</f>
        <v>561.95198477632732</v>
      </c>
      <c r="FE41" s="897">
        <f>SUM(EI41:EK41)/$EG$1</f>
        <v>140</v>
      </c>
      <c r="FF41" s="897">
        <f t="shared" ref="FF41" si="601">ET41</f>
        <v>50</v>
      </c>
      <c r="FG41" s="897">
        <f t="shared" ref="FG41" si="602">SUM(FB41:FF41)</f>
        <v>1386.8598676314971</v>
      </c>
      <c r="FH41" s="898">
        <f t="shared" ref="FH41" si="603">FG41-EU41</f>
        <v>0</v>
      </c>
      <c r="FI41" s="897">
        <f>DV41</f>
        <v>16331.467994659079</v>
      </c>
      <c r="FJ41" s="897">
        <f t="shared" ref="FJ41" si="604">SUM(DX41:EA41)</f>
        <v>493.59090100292178</v>
      </c>
      <c r="FK41" s="897">
        <f>SUM(DW41,EB41,EC41)</f>
        <v>14891.727596572675</v>
      </c>
      <c r="FL41" s="897">
        <f>SUM(EI41:EK41)</f>
        <v>3710</v>
      </c>
      <c r="FM41" s="897">
        <f t="shared" ref="FM41" si="605">EY41</f>
        <v>1325</v>
      </c>
      <c r="FN41" s="897">
        <f t="shared" ref="FN41" si="606">SUM(FI41:FM41)</f>
        <v>36751.786492234678</v>
      </c>
      <c r="FO41" s="479">
        <f t="shared" si="543"/>
        <v>0</v>
      </c>
      <c r="FP41" s="961">
        <f>(FF41+FE41)/FG41</f>
        <v>0.13700014286554071</v>
      </c>
      <c r="FQ41" s="961">
        <f>FF41/FG41</f>
        <v>3.6052669175142299E-2</v>
      </c>
      <c r="FR41" s="473"/>
      <c r="FS41" s="735">
        <f>FS13</f>
        <v>1310</v>
      </c>
      <c r="FT41" s="479">
        <f t="shared" ref="FT41" si="607">FS41-SUM(FB41:FD41)</f>
        <v>113.14013236850292</v>
      </c>
      <c r="FU41" s="974">
        <f t="shared" ref="FU41" si="608">FT41/FS41</f>
        <v>8.6366513258399169E-2</v>
      </c>
      <c r="FV41" s="295">
        <f t="shared" ref="FV41" si="609">FS41-FG41</f>
        <v>-76.859867631497082</v>
      </c>
      <c r="FW41" s="985">
        <f t="shared" ref="FW41" si="610">FV41/FS41</f>
        <v>-5.867165468053212E-2</v>
      </c>
      <c r="FX41" s="473"/>
      <c r="FY41" s="473">
        <f t="shared" ref="FY41" si="611">DR41</f>
        <v>0</v>
      </c>
      <c r="FZ41" s="735"/>
      <c r="GA41" s="473"/>
      <c r="GB41" s="473"/>
      <c r="GC41" s="473"/>
      <c r="GD41" s="735"/>
      <c r="GE41" s="473"/>
      <c r="GF41" s="473"/>
      <c r="GG41" s="473"/>
      <c r="GH41" s="735"/>
      <c r="GL41" s="962"/>
    </row>
    <row r="42" spans="4:196" x14ac:dyDescent="0.35">
      <c r="K42" s="353"/>
      <c r="V42" s="343"/>
      <c r="Z42" s="417">
        <f>SUM(Z43:Z44)</f>
        <v>0.9093</v>
      </c>
      <c r="AH42" s="416">
        <f>SUM(AH43:AH48)</f>
        <v>0.94030000000000002</v>
      </c>
      <c r="AK42" s="393">
        <f>Z42*AH42</f>
        <v>0.85501479000000002</v>
      </c>
      <c r="AS42" s="353"/>
      <c r="AW42" s="353"/>
      <c r="BS42" s="463">
        <f>N41</f>
        <v>15584.489505514053</v>
      </c>
      <c r="BT42" s="463"/>
      <c r="BU42" s="463"/>
      <c r="BV42" s="463"/>
      <c r="BW42" s="463"/>
      <c r="BX42" s="463"/>
      <c r="BY42" s="769"/>
      <c r="BZ42" s="463">
        <f>AK41</f>
        <v>18227.15780801178</v>
      </c>
      <c r="CA42" s="463"/>
      <c r="CB42" s="463"/>
      <c r="CD42" s="463"/>
      <c r="CE42" s="463"/>
      <c r="CY42" s="569"/>
      <c r="CZ42" s="786" t="s">
        <v>712</v>
      </c>
      <c r="DQ42" s="491"/>
      <c r="DR42" s="473" t="str">
        <f>BC242</f>
        <v>Hạt nhựa rPET WSS04SB</v>
      </c>
      <c r="DS42" s="850"/>
      <c r="DT42" s="803" t="s">
        <v>871</v>
      </c>
      <c r="DU42" s="480">
        <f>AZ241</f>
        <v>22342.139105772814</v>
      </c>
      <c r="DV42" s="480">
        <f>(1*$DC$6+0*$DC$17+0*$DC$44+0*$DC$6)/$DS$41</f>
        <v>16031.994412385628</v>
      </c>
      <c r="DW42" s="480">
        <f>(1*($DD$6+$DE$6+$DF$6)+0*($DD$17+$DE$17+$DF$17)+0*($DD$44+$DE$44+$DF$44)+0*($DD$6+$DE$6+$DF$6))/$DS$41</f>
        <v>7531.4014167249179</v>
      </c>
      <c r="DX42" s="480">
        <f>(1*$DG$6+0*$DG$17+0*$DG$44+0*$DG$6)/$DS$41</f>
        <v>-736.31190300425999</v>
      </c>
      <c r="DY42" s="480">
        <f>(1*$DH$6+0*$DH$17+0*$DH$44+0*$DH$6)/$DS$41</f>
        <v>-329.39334878917839</v>
      </c>
      <c r="DZ42" s="480">
        <f t="shared" ref="DZ42:DZ43" si="612">DZ20</f>
        <v>-321.81131370545882</v>
      </c>
      <c r="EA42" s="480">
        <f>EA12</f>
        <v>2048.8647623994589</v>
      </c>
      <c r="EB42" s="480">
        <f>EB10</f>
        <v>2000.939404729972</v>
      </c>
      <c r="EC42" s="480">
        <f>EC10</f>
        <v>1376.0623421472308</v>
      </c>
      <c r="ED42" s="480"/>
      <c r="EE42" s="480">
        <f t="shared" ref="EE42" si="613">SUM(DV42:ED42)</f>
        <v>27601.745772888309</v>
      </c>
      <c r="EF42" s="479">
        <f t="shared" ref="EF42" si="614">$EF$6</f>
        <v>23509.852491131598</v>
      </c>
      <c r="EG42" s="480">
        <f t="shared" ref="EG42" si="615">EE42/$EG$1</f>
        <v>1041.5753121844646</v>
      </c>
      <c r="EH42" s="473"/>
      <c r="EI42" s="479">
        <f t="shared" si="575"/>
        <v>2173</v>
      </c>
      <c r="EJ42" s="479">
        <f t="shared" si="575"/>
        <v>1166</v>
      </c>
      <c r="EK42" s="479">
        <f t="shared" si="575"/>
        <v>371</v>
      </c>
      <c r="EL42" s="480">
        <f t="shared" ref="EL42" si="616">SUM(EI42:EK42)</f>
        <v>3710</v>
      </c>
      <c r="EM42" s="480">
        <f t="shared" ref="EM42" si="617">EE42+EL42</f>
        <v>31311.745772888309</v>
      </c>
      <c r="EN42" s="479">
        <f t="shared" ref="EN42" si="618">EG42+$EN$1</f>
        <v>1181.5753121844646</v>
      </c>
      <c r="EO42" s="479">
        <f>EO10</f>
        <v>50</v>
      </c>
      <c r="EP42" s="735">
        <f t="shared" ref="EP42" si="619">EN42+EO42</f>
        <v>1231.5753121844646</v>
      </c>
      <c r="EQ42" s="473"/>
      <c r="ER42" s="735">
        <f t="shared" ref="ER42" si="620">SUM(DV42,EA42,DX42:DZ42)/$EG$1</f>
        <v>629.93745695419591</v>
      </c>
      <c r="ES42" s="735">
        <f t="shared" ref="ES42" si="621">(SUM(DW42,EB42,EC42:ED42,EI42:EK42))/$EG$1</f>
        <v>551.63785523026877</v>
      </c>
      <c r="ET42" s="735">
        <f t="shared" ref="ET42" si="622">EO42</f>
        <v>50</v>
      </c>
      <c r="EU42" s="735">
        <f t="shared" ref="EU42" si="623">SUM(ER42:ET42)</f>
        <v>1231.5753121844646</v>
      </c>
      <c r="EV42" s="473"/>
      <c r="EW42" s="735">
        <f t="shared" si="533"/>
        <v>16693.342609286192</v>
      </c>
      <c r="EX42" s="735">
        <f t="shared" si="534"/>
        <v>14618.403163602121</v>
      </c>
      <c r="EY42" s="735">
        <f t="shared" ref="EY42" si="624">EO42*$EG$1</f>
        <v>1325</v>
      </c>
      <c r="EZ42" s="735">
        <f t="shared" ref="EZ42" si="625">SUM(EW42:EY42)</f>
        <v>32636.745772888313</v>
      </c>
      <c r="FA42" s="473"/>
      <c r="FB42" s="735">
        <f t="shared" ref="FB42" si="626">DV42/$EG$1</f>
        <v>604.98092122209914</v>
      </c>
      <c r="FC42" s="735">
        <f t="shared" ref="FC42" si="627">SUM(DX42:EA42)/$EG$1</f>
        <v>24.956535732096661</v>
      </c>
      <c r="FD42" s="735">
        <f t="shared" ref="FD42" si="628">SUM(DW42,EB42,EC42:ED42)/$EG$1</f>
        <v>411.63785523026871</v>
      </c>
      <c r="FE42" s="735">
        <f t="shared" ref="FE42" si="629">SUM(EI42:EK42)/$EG$1</f>
        <v>140</v>
      </c>
      <c r="FF42" s="735">
        <f t="shared" ref="FF42" si="630">ET42</f>
        <v>50</v>
      </c>
      <c r="FG42" s="735">
        <f t="shared" ref="FG42" si="631">SUM(FB42:FF42)</f>
        <v>1231.5753121844646</v>
      </c>
      <c r="FH42" s="952">
        <f t="shared" ref="FH42" si="632">FG42-EU42</f>
        <v>0</v>
      </c>
      <c r="FI42" s="735">
        <f t="shared" ref="FI42" si="633">DV42</f>
        <v>16031.994412385628</v>
      </c>
      <c r="FJ42" s="735">
        <f t="shared" ref="FJ42" si="634">SUM(DX42:EA42)</f>
        <v>661.34819690056156</v>
      </c>
      <c r="FK42" s="735">
        <f t="shared" ref="FK42" si="635">SUM(DW42,EB42,EC42)</f>
        <v>10908.403163602121</v>
      </c>
      <c r="FL42" s="735">
        <f t="shared" ref="FL42" si="636">SUM(EI42:EK42)</f>
        <v>3710</v>
      </c>
      <c r="FM42" s="735">
        <f t="shared" ref="FM42" si="637">EY42</f>
        <v>1325</v>
      </c>
      <c r="FN42" s="735">
        <f t="shared" ref="FN42" si="638">SUM(FI42:FM42)</f>
        <v>32636.745772888309</v>
      </c>
      <c r="FO42" s="479">
        <f t="shared" si="543"/>
        <v>0</v>
      </c>
      <c r="FP42" s="953">
        <f t="shared" ref="FP42" si="639">(FF42+FE42)/FG42</f>
        <v>0.15427395963548018</v>
      </c>
      <c r="FQ42" s="953">
        <f t="shared" ref="FQ42" si="640">FF42/FG42</f>
        <v>4.0598410430389524E-2</v>
      </c>
      <c r="FR42" s="473"/>
      <c r="FS42" s="735">
        <f>$FS$10-130</f>
        <v>1250</v>
      </c>
      <c r="FT42" s="479">
        <f t="shared" ref="FT42" si="641">FS42-SUM(FB42:FD42)</f>
        <v>208.42468781553544</v>
      </c>
      <c r="FU42" s="913">
        <f t="shared" ref="FU42" si="642">FT42/FS42</f>
        <v>0.16673975025242835</v>
      </c>
      <c r="FV42" s="295">
        <f t="shared" ref="FV42" si="643">FS42-FG42</f>
        <v>18.424687815535435</v>
      </c>
      <c r="FW42" s="281">
        <f t="shared" ref="FW42" si="644">FV42/FS42</f>
        <v>1.4739750252428348E-2</v>
      </c>
      <c r="FX42" s="473"/>
      <c r="FY42" s="473" t="str">
        <f t="shared" ref="FY42:FY44" si="645">DR42</f>
        <v>Hạt nhựa rPET WSS04SB</v>
      </c>
      <c r="FZ42" s="859"/>
      <c r="GA42" s="295"/>
      <c r="GB42" s="296"/>
      <c r="GC42" s="473"/>
      <c r="GD42" s="859"/>
      <c r="GE42" s="295"/>
      <c r="GF42" s="296"/>
      <c r="GG42" s="473"/>
      <c r="GH42" s="859"/>
      <c r="GI42" s="295"/>
      <c r="GJ42" s="296"/>
      <c r="GL42" s="860"/>
      <c r="GM42" s="797"/>
      <c r="GN42" s="296"/>
    </row>
    <row r="43" spans="4:196" ht="21" customHeight="1" x14ac:dyDescent="0.35">
      <c r="D43" s="1101"/>
      <c r="E43" s="1011" t="s">
        <v>548</v>
      </c>
      <c r="F43" s="1012"/>
      <c r="G43" s="346"/>
      <c r="H43" s="1029" t="s">
        <v>549</v>
      </c>
      <c r="I43" s="1030"/>
      <c r="J43" s="340">
        <v>30</v>
      </c>
      <c r="K43" s="371">
        <v>0.03</v>
      </c>
      <c r="L43" s="574">
        <f>'Giá mua Chai-Vảy (Giá giảm)'!H15</f>
        <v>3.1590181430096058E-2</v>
      </c>
      <c r="M43" s="1070"/>
      <c r="N43" s="1072" t="s">
        <v>726</v>
      </c>
      <c r="O43" s="1073"/>
      <c r="P43" s="346"/>
      <c r="Q43" s="346"/>
      <c r="R43" s="1052"/>
      <c r="S43" s="1076" t="s">
        <v>726</v>
      </c>
      <c r="T43" s="1077"/>
      <c r="U43" s="347"/>
      <c r="V43" s="408">
        <v>0.03</v>
      </c>
      <c r="W43" s="1029" t="s">
        <v>551</v>
      </c>
      <c r="X43" s="1030"/>
      <c r="Y43" s="346"/>
      <c r="Z43" s="348">
        <v>0.9093</v>
      </c>
      <c r="AA43" s="1003"/>
      <c r="AB43" s="1062" t="s">
        <v>730</v>
      </c>
      <c r="AC43" s="1062"/>
      <c r="AD43" s="346"/>
      <c r="AE43" s="1029" t="s">
        <v>557</v>
      </c>
      <c r="AF43" s="1030"/>
      <c r="AG43" s="476">
        <f>$AI$41*$AI43</f>
        <v>18181.167570801004</v>
      </c>
      <c r="AH43" s="372">
        <v>0.34100000000000003</v>
      </c>
      <c r="AI43" s="1003" t="s">
        <v>700</v>
      </c>
      <c r="AJ43" s="1011" t="s">
        <v>817</v>
      </c>
      <c r="AK43" s="1012"/>
      <c r="AL43" s="346"/>
      <c r="AM43" s="1029" t="s">
        <v>554</v>
      </c>
      <c r="AN43" s="1030"/>
      <c r="AO43" s="346"/>
      <c r="AP43" s="1029" t="s">
        <v>555</v>
      </c>
      <c r="AQ43" s="1030"/>
      <c r="AR43" s="359"/>
      <c r="AS43" s="373"/>
      <c r="AT43" s="349"/>
      <c r="AU43" s="349"/>
      <c r="AV43" s="349"/>
      <c r="AW43" s="369"/>
      <c r="AX43" s="349"/>
      <c r="AY43" s="349"/>
      <c r="BE43" s="349"/>
      <c r="BF43" s="349"/>
      <c r="BG43" s="349"/>
      <c r="BH43" s="349"/>
      <c r="BI43" s="349"/>
      <c r="BJ43" s="349"/>
      <c r="BK43" s="349"/>
      <c r="BL43" s="349"/>
      <c r="BM43" s="349"/>
      <c r="BN43" s="349"/>
      <c r="BO43" s="349"/>
      <c r="BP43" s="349"/>
      <c r="BQ43" s="349"/>
      <c r="BR43" s="349"/>
      <c r="BS43" s="349"/>
      <c r="BT43" s="349"/>
      <c r="BU43" s="349"/>
      <c r="BV43" s="349"/>
      <c r="BW43" s="349"/>
      <c r="BX43" s="349"/>
      <c r="BY43" s="771"/>
      <c r="BZ43" s="349"/>
      <c r="CA43" s="349"/>
      <c r="CB43" s="349"/>
      <c r="CC43" s="349"/>
      <c r="CD43" s="349"/>
      <c r="CE43" s="349"/>
      <c r="CG43" s="349"/>
      <c r="CH43" s="349"/>
      <c r="CI43" s="349"/>
      <c r="CJ43" s="349"/>
      <c r="CK43" s="349"/>
      <c r="CL43" s="349"/>
      <c r="CM43" s="349"/>
      <c r="CN43" s="349"/>
      <c r="CO43" s="349"/>
      <c r="CP43" s="349"/>
      <c r="CQ43" s="349"/>
      <c r="CR43" s="349"/>
      <c r="CT43" s="349"/>
      <c r="CY43" s="465"/>
      <c r="CZ43" s="387">
        <f>AH124</f>
        <v>0.92119999999999991</v>
      </c>
      <c r="DP43" s="907" t="s">
        <v>716</v>
      </c>
      <c r="DQ43" s="491" t="str">
        <f>AX244</f>
        <v>100%B1.A1,A2</v>
      </c>
      <c r="DR43" s="954" t="s">
        <v>371</v>
      </c>
      <c r="DS43" s="955">
        <f>BA257</f>
        <v>0.876</v>
      </c>
      <c r="DT43" s="956" t="s">
        <v>872</v>
      </c>
      <c r="DU43" s="480">
        <f>(1*$DB$7+0*$DB$18+0*$DB$45+0*$DB$7)/$DS$41</f>
        <v>22342.139105772814</v>
      </c>
      <c r="DV43" s="480">
        <f>(1*$DC$7+0*$DC$18+0*$DC$45+0*$DC$7)/$DS$41</f>
        <v>16031.994412385628</v>
      </c>
      <c r="DW43" s="480">
        <f>(1*($DD$7+$DE$7+$DF$7)+0*($DD$18+$DE$18+$DF$18)+0*($DD$45+$DE$45+$DF$45)+0*($DD$7+$DE$7+$DF$7))/$DS$41</f>
        <v>9870.3080400684794</v>
      </c>
      <c r="DX43" s="480">
        <f>(1*$DG$7+0*$DG$18+0*$DG$45+0*$DG$7)/$DS$41</f>
        <v>-736.31190300425999</v>
      </c>
      <c r="DY43" s="480">
        <f>(1*$DH$7+0*$DH$18+0*$DH$45+0*$DH$7)/$DS$41</f>
        <v>-329.39334878917839</v>
      </c>
      <c r="DZ43" s="480">
        <f t="shared" si="612"/>
        <v>-321.81131370545882</v>
      </c>
      <c r="EA43" s="480">
        <f>EA13</f>
        <v>2048.8647623994589</v>
      </c>
      <c r="EB43" s="480">
        <f>EB11</f>
        <v>2796.8565141477497</v>
      </c>
      <c r="EC43" s="480">
        <f>EC11</f>
        <v>2064.9528218457522</v>
      </c>
      <c r="ED43" s="473"/>
      <c r="EE43" s="480">
        <f t="shared" ref="EE43" si="646">SUM(DV43:ED43)</f>
        <v>31425.459985348167</v>
      </c>
      <c r="EF43" s="479"/>
      <c r="EG43" s="480">
        <f t="shared" ref="EG43" si="647">EE43/$EG$1</f>
        <v>1185.8664145414402</v>
      </c>
      <c r="EH43" s="473"/>
      <c r="EI43" s="479">
        <f t="shared" si="575"/>
        <v>2173</v>
      </c>
      <c r="EJ43" s="479">
        <f t="shared" si="575"/>
        <v>1166</v>
      </c>
      <c r="EK43" s="479">
        <f t="shared" si="575"/>
        <v>371</v>
      </c>
      <c r="EL43" s="480">
        <f t="shared" ref="EL43" si="648">SUM(EI43:EK43)</f>
        <v>3710</v>
      </c>
      <c r="EM43" s="480">
        <f t="shared" ref="EM43" si="649">EE43+EL43</f>
        <v>35135.459985348163</v>
      </c>
      <c r="EN43" s="479">
        <f t="shared" ref="EN43" si="650">EG43+$EN$1</f>
        <v>1325.8664145414402</v>
      </c>
      <c r="EO43" s="479">
        <f>EO11</f>
        <v>50</v>
      </c>
      <c r="EP43" s="735">
        <f t="shared" ref="EP43" si="651">EN43+EO43</f>
        <v>1375.8664145414402</v>
      </c>
      <c r="EQ43" s="473"/>
      <c r="ER43" s="735">
        <f t="shared" ref="ER43" si="652">SUM(DV43,EA43,DX43:DZ43)/$EG$1</f>
        <v>629.93745695419591</v>
      </c>
      <c r="ES43" s="735">
        <f t="shared" ref="ES43" si="653">(SUM(DW43,EB43,EC43:ED43,EI43:EK43))/$EG$1</f>
        <v>695.92895758724467</v>
      </c>
      <c r="ET43" s="735">
        <f t="shared" ref="ET43" si="654">EO43</f>
        <v>50</v>
      </c>
      <c r="EU43" s="735">
        <f t="shared" ref="EU43" si="655">SUM(ER43:ET43)</f>
        <v>1375.8664145414405</v>
      </c>
      <c r="EV43" s="473"/>
      <c r="EW43" s="735">
        <f t="shared" si="533"/>
        <v>16693.342609286192</v>
      </c>
      <c r="EX43" s="735">
        <f t="shared" si="534"/>
        <v>18442.117376061982</v>
      </c>
      <c r="EY43" s="735">
        <f t="shared" ref="EY43" si="656">EO43*$EG$1</f>
        <v>1325</v>
      </c>
      <c r="EZ43" s="735">
        <f t="shared" ref="EZ43" si="657">SUM(EW43:EY43)</f>
        <v>36460.459985348178</v>
      </c>
      <c r="FA43" s="473"/>
      <c r="FB43" s="735">
        <f t="shared" ref="FB43" si="658">DV43/$EG$1</f>
        <v>604.98092122209914</v>
      </c>
      <c r="FC43" s="735">
        <f t="shared" ref="FC43" si="659">SUM(DX43:EA43)/$EG$1</f>
        <v>24.956535732096661</v>
      </c>
      <c r="FD43" s="735">
        <f t="shared" ref="FD43" si="660">SUM(DW43,EB43,EC43:ED43)/$EG$1</f>
        <v>555.92895758724467</v>
      </c>
      <c r="FE43" s="735">
        <f t="shared" ref="FE43" si="661">SUM(EI43:EK43)/$EG$1</f>
        <v>140</v>
      </c>
      <c r="FF43" s="735">
        <f t="shared" ref="FF43" si="662">ET43</f>
        <v>50</v>
      </c>
      <c r="FG43" s="735">
        <f t="shared" ref="FG43" si="663">SUM(FB43:FF43)</f>
        <v>1375.8664145414405</v>
      </c>
      <c r="FH43" s="952">
        <f t="shared" ref="FH43" si="664">FG43-EU43</f>
        <v>0</v>
      </c>
      <c r="FI43" s="735">
        <f t="shared" ref="FI43" si="665">DV43</f>
        <v>16031.994412385628</v>
      </c>
      <c r="FJ43" s="735">
        <f t="shared" ref="FJ43" si="666">SUM(DX43:EA43)</f>
        <v>661.34819690056156</v>
      </c>
      <c r="FK43" s="735">
        <f t="shared" ref="FK43" si="667">SUM(DW43,EB43,EC43)</f>
        <v>14732.117376061982</v>
      </c>
      <c r="FL43" s="735">
        <f t="shared" ref="FL43" si="668">SUM(EI43:EK43)</f>
        <v>3710</v>
      </c>
      <c r="FM43" s="735">
        <f t="shared" ref="FM43" si="669">EY43</f>
        <v>1325</v>
      </c>
      <c r="FN43" s="735">
        <f t="shared" ref="FN43" si="670">SUM(FI43:FM43)</f>
        <v>36460.45998534817</v>
      </c>
      <c r="FO43" s="479">
        <f t="shared" si="543"/>
        <v>0</v>
      </c>
      <c r="FP43" s="961">
        <f t="shared" ref="FP43" si="671">(FF43+FE43)/FG43</f>
        <v>0.13809480193127957</v>
      </c>
      <c r="FQ43" s="961">
        <f t="shared" ref="FQ43" si="672">FF43/FG43</f>
        <v>3.634073735033673E-2</v>
      </c>
      <c r="FR43" s="473"/>
      <c r="FS43" s="735">
        <f>FS42</f>
        <v>1250</v>
      </c>
      <c r="FT43" s="479">
        <f t="shared" ref="FT43" si="673">FS43-SUM(FB43:FD43)</f>
        <v>64.133585458559537</v>
      </c>
      <c r="FU43" s="974">
        <f t="shared" ref="FU43" si="674">FT43/FS43</f>
        <v>5.1306868366847627E-2</v>
      </c>
      <c r="FV43" s="295">
        <f t="shared" ref="FV43" si="675">FS43-FG43</f>
        <v>-125.86641454144046</v>
      </c>
      <c r="FW43" s="985">
        <f t="shared" ref="FW43" si="676">FV43/FS43</f>
        <v>-0.10069313163315237</v>
      </c>
      <c r="FX43" s="473"/>
      <c r="FY43" s="473" t="str">
        <f t="shared" ref="FY43" si="677">DR43</f>
        <v>Hạt WSS05SB (sợi ngắn)</v>
      </c>
      <c r="FZ43" s="735"/>
      <c r="GA43" s="473"/>
      <c r="GB43" s="473"/>
      <c r="GC43" s="473"/>
      <c r="GD43" s="735"/>
      <c r="GE43" s="473"/>
      <c r="GF43" s="473"/>
      <c r="GG43" s="473"/>
      <c r="GH43" s="735"/>
      <c r="GL43" s="962"/>
    </row>
    <row r="44" spans="4:196" x14ac:dyDescent="0.35">
      <c r="D44" s="1102"/>
      <c r="E44" s="1013"/>
      <c r="F44" s="1014"/>
      <c r="H44" s="1031"/>
      <c r="I44" s="1032"/>
      <c r="J44" s="366"/>
      <c r="K44" s="353"/>
      <c r="M44" s="1071"/>
      <c r="N44" s="1074"/>
      <c r="O44" s="1075"/>
      <c r="R44" s="1052"/>
      <c r="S44" s="1076"/>
      <c r="T44" s="1077"/>
      <c r="U44" s="354"/>
      <c r="V44" s="343"/>
      <c r="W44" s="1031"/>
      <c r="X44" s="1032"/>
      <c r="Z44" s="353"/>
      <c r="AA44" s="1004"/>
      <c r="AB44" s="1062"/>
      <c r="AC44" s="1062"/>
      <c r="AE44" s="1031"/>
      <c r="AF44" s="1032"/>
      <c r="AG44" s="671"/>
      <c r="AH44" s="374"/>
      <c r="AI44" s="1004"/>
      <c r="AJ44" s="1013"/>
      <c r="AK44" s="1014"/>
      <c r="AM44" s="1031"/>
      <c r="AN44" s="1032"/>
      <c r="AP44" s="1031"/>
      <c r="AQ44" s="1032"/>
      <c r="AR44" s="349"/>
      <c r="AS44" s="373"/>
      <c r="AT44" s="349"/>
      <c r="AU44" s="349"/>
      <c r="AV44" s="349"/>
      <c r="AW44" s="369"/>
      <c r="AX44" s="349"/>
      <c r="AY44" s="349"/>
      <c r="AZ44" s="349"/>
      <c r="BA44" s="356"/>
      <c r="BB44" s="356"/>
      <c r="BC44" s="437"/>
      <c r="BD44" s="437"/>
      <c r="BE44" s="349"/>
      <c r="BF44" s="349"/>
      <c r="BG44" s="349"/>
      <c r="BH44" s="349"/>
      <c r="BI44" s="349"/>
      <c r="BJ44" s="349"/>
      <c r="BK44" s="349"/>
      <c r="BL44" s="349"/>
      <c r="BM44" s="349"/>
      <c r="BN44" s="349"/>
      <c r="BO44" s="349"/>
      <c r="BP44" s="349"/>
      <c r="BQ44" s="349"/>
      <c r="BR44" s="349"/>
      <c r="BS44" s="349"/>
      <c r="BT44" s="349"/>
      <c r="BU44" s="349"/>
      <c r="BV44" s="349"/>
      <c r="BW44" s="349"/>
      <c r="BX44" s="349"/>
      <c r="BY44" s="771"/>
      <c r="BZ44" s="349"/>
      <c r="CA44" s="349"/>
      <c r="CB44" s="349"/>
      <c r="CC44" s="349"/>
      <c r="CD44" s="349"/>
      <c r="CE44" s="349"/>
      <c r="CG44" s="349"/>
      <c r="CH44" s="349"/>
      <c r="CI44" s="349"/>
      <c r="CJ44" s="349"/>
      <c r="CK44" s="349"/>
      <c r="CL44" s="349"/>
      <c r="CM44" s="349"/>
      <c r="CN44" s="349"/>
      <c r="CO44" s="349"/>
      <c r="CP44" s="349"/>
      <c r="CQ44" s="349"/>
      <c r="CR44" s="349"/>
      <c r="CT44" s="349"/>
      <c r="CY44" s="761" t="str">
        <f>LEFT($CH$2,3)&amp;" "&amp;RIGHT(BK14,5)&amp;"_"&amp;RIGHT($CH$2,3)&amp;" DT"</f>
        <v>Vảy  B6.2_ A1 DT</v>
      </c>
      <c r="CZ44" s="761"/>
      <c r="DA44" s="773" t="s">
        <v>871</v>
      </c>
      <c r="DB44" s="482">
        <f>BZ14/CZ43</f>
        <v>20035.843717346172</v>
      </c>
      <c r="DC44" s="482">
        <f>CL14</f>
        <v>14377.071640420023</v>
      </c>
      <c r="DD44" s="484">
        <f t="shared" ref="DD44:DI44" si="678">CM14</f>
        <v>3655.1877051915308</v>
      </c>
      <c r="DE44" s="484">
        <f t="shared" si="678"/>
        <v>2024.4789219293125</v>
      </c>
      <c r="DF44" s="484">
        <f t="shared" si="678"/>
        <v>1273.8558498087386</v>
      </c>
      <c r="DG44" s="484">
        <f t="shared" si="678"/>
        <v>-855.64166666666654</v>
      </c>
      <c r="DH44" s="482">
        <f t="shared" si="678"/>
        <v>-330.66666666666669</v>
      </c>
      <c r="DI44" s="482">
        <f t="shared" si="678"/>
        <v>2003.5843717346168</v>
      </c>
      <c r="DK44" s="486">
        <f t="shared" ref="DK44:DK49" si="679">SUM(DC44:DI44)</f>
        <v>22147.870155750887</v>
      </c>
      <c r="DL44" s="453">
        <f t="shared" ref="DL44:DL49" si="680">DK44/$CU$2</f>
        <v>835.76868512267492</v>
      </c>
      <c r="DM44" s="494">
        <f t="shared" ref="DM44:DM49" si="681">$CV$2+DL44</f>
        <v>905.76868512267492</v>
      </c>
      <c r="DN44" s="780">
        <f>DM44/$DM$48</f>
        <v>1.5743304375432434</v>
      </c>
      <c r="DR44" s="471" t="str">
        <f>BC258</f>
        <v>Hạt nhựa rPET WSS03G</v>
      </c>
      <c r="DS44" s="764"/>
      <c r="DT44" s="773" t="s">
        <v>871</v>
      </c>
      <c r="DU44" s="475">
        <f>AZ257</f>
        <v>22533.020377501292</v>
      </c>
      <c r="DV44" s="475">
        <f>(0*$DC$6+0*$DC$17+0.9*$DC$44+0.1*$DC$35+0*$DC$6)/$DS$43</f>
        <v>16168.964622234036</v>
      </c>
      <c r="DW44" s="475">
        <f>(0*($DD$6+$DE$6+$DF$6)+0*($DD$17+$DE$17+$DF$17)+0.1*($DD$35+$DE$35+$DF$35)+0.9*($DD$44+$DE$44+$DF$44)+0*($DD$6+$DE$6+$DF$6))/$DS$43</f>
        <v>7878.0517006236787</v>
      </c>
      <c r="DX44" s="475">
        <f>(0*$DG$6+0*$DG$17+0.1*$DG$35+0.9*$DG$44+0*$DG$6)/$DS$43</f>
        <v>-938.98179661830341</v>
      </c>
      <c r="DY44" s="475">
        <f>(0*$DH$6+0*$DH$17+0.1*$DH$35+0.9*$DH$44+0*$DH$6)/$DS$43</f>
        <v>-395.60502283105023</v>
      </c>
      <c r="DZ44" s="475">
        <f>DZ38</f>
        <v>-321.81131370545882</v>
      </c>
      <c r="EA44" s="475">
        <f>EA12</f>
        <v>2048.8647623994589</v>
      </c>
      <c r="EB44" s="475">
        <f>EB10</f>
        <v>2000.939404729972</v>
      </c>
      <c r="EC44" s="475">
        <f>EC10</f>
        <v>1376.0623421472308</v>
      </c>
      <c r="ED44" s="475"/>
      <c r="EE44" s="475">
        <f t="shared" ref="EE44" si="682">SUM(DV44:ED44)</f>
        <v>27816.484698979562</v>
      </c>
      <c r="EF44" s="474">
        <f t="shared" ref="EF44" si="683">$EF$6</f>
        <v>23509.852491131598</v>
      </c>
      <c r="EG44" s="475">
        <f t="shared" ref="EG44" si="684">EE44/$EG$1</f>
        <v>1049.6786678860212</v>
      </c>
      <c r="EI44" s="474">
        <f t="shared" si="575"/>
        <v>2173</v>
      </c>
      <c r="EJ44" s="474">
        <f t="shared" si="575"/>
        <v>1166</v>
      </c>
      <c r="EK44" s="474">
        <f t="shared" si="575"/>
        <v>371</v>
      </c>
      <c r="EL44" s="475">
        <f t="shared" ref="EL44" si="685">SUM(EI44:EK44)</f>
        <v>3710</v>
      </c>
      <c r="EM44" s="475">
        <f t="shared" ref="EM44" si="686">EE44+EL44</f>
        <v>31526.484698979562</v>
      </c>
      <c r="EN44" s="474">
        <f t="shared" ref="EN44" si="687">EG44+$EN$1</f>
        <v>1189.6786678860212</v>
      </c>
      <c r="EO44" s="463">
        <f>EO10</f>
        <v>50</v>
      </c>
      <c r="EP44" s="736">
        <f t="shared" ref="EP44" si="688">EN44+EO44</f>
        <v>1239.6786678860212</v>
      </c>
      <c r="EQ44" s="471"/>
      <c r="ER44" s="736">
        <f>SUM(DV44,EA44,DX44:DZ44)/$EG$1</f>
        <v>624.95966986712028</v>
      </c>
      <c r="ES44" s="736">
        <f t="shared" ref="ES44" si="689">(SUM(DW44,EB44,EC44:ED44,EI44:EK44))/$EG$1</f>
        <v>564.71899801890117</v>
      </c>
      <c r="ET44" s="736">
        <f t="shared" ref="ET44" si="690">EO44</f>
        <v>50</v>
      </c>
      <c r="EU44" s="736">
        <f t="shared" ref="EU44" si="691">SUM(ER44:ET44)</f>
        <v>1239.6786678860215</v>
      </c>
      <c r="EW44" s="736">
        <f t="shared" si="533"/>
        <v>16561.431251478687</v>
      </c>
      <c r="EX44" s="736">
        <f t="shared" si="534"/>
        <v>14965.053447500881</v>
      </c>
      <c r="EY44" s="736">
        <f t="shared" ref="EY44" si="692">EO44*$EG$1</f>
        <v>1325</v>
      </c>
      <c r="EZ44" s="736">
        <f t="shared" ref="EZ44" si="693">SUM(EW44:EY44)</f>
        <v>32851.48469897957</v>
      </c>
      <c r="FB44" s="736">
        <f>DV44/$EG$1</f>
        <v>610.14960838619004</v>
      </c>
      <c r="FC44" s="736">
        <f t="shared" ref="FC44" si="694">SUM(DX44:EA44)/$EG$1</f>
        <v>14.810061480930051</v>
      </c>
      <c r="FD44" s="736">
        <f t="shared" ref="FD44" si="695">SUM(DW44,EB44,EC44:ED44)/$EG$1</f>
        <v>424.71899801890117</v>
      </c>
      <c r="FE44" s="736">
        <f t="shared" ref="FE44" si="696">SUM(EI44:EK44)/$EG$1</f>
        <v>140</v>
      </c>
      <c r="FF44" s="736">
        <f t="shared" ref="FF44" si="697">ET44</f>
        <v>50</v>
      </c>
      <c r="FG44" s="736">
        <f t="shared" ref="FG44" si="698">SUM(FB44:FF44)</f>
        <v>1239.6786678860212</v>
      </c>
      <c r="FH44" s="732">
        <f t="shared" ref="FH44" si="699">FG44-EU44</f>
        <v>0</v>
      </c>
      <c r="FI44" s="736">
        <f>DV44</f>
        <v>16168.964622234036</v>
      </c>
      <c r="FJ44" s="736">
        <f t="shared" ref="FJ44" si="700">SUM(DX44:EA44)</f>
        <v>392.46662924464636</v>
      </c>
      <c r="FK44" s="736">
        <f t="shared" ref="FK44" si="701">SUM(DW44,EB44,EC44)</f>
        <v>11255.053447500881</v>
      </c>
      <c r="FL44" s="736">
        <f t="shared" ref="FL44" si="702">SUM(EI44:EK44)</f>
        <v>3710</v>
      </c>
      <c r="FM44" s="736">
        <f t="shared" ref="FM44" si="703">EY44</f>
        <v>1325</v>
      </c>
      <c r="FN44" s="736">
        <f t="shared" ref="FN44" si="704">SUM(FI44:FM44)</f>
        <v>32851.484698979562</v>
      </c>
      <c r="FO44" s="479">
        <f t="shared" si="543"/>
        <v>0</v>
      </c>
      <c r="FP44" s="525">
        <f t="shared" ref="FP44" si="705">(FF44+FE44)/FG44</f>
        <v>0.15326552349569753</v>
      </c>
      <c r="FQ44" s="525">
        <f t="shared" ref="FQ44" si="706">FF44/FG44</f>
        <v>4.0333032498867771E-2</v>
      </c>
      <c r="FS44" s="736">
        <f>FS38</f>
        <v>1310</v>
      </c>
      <c r="FT44" s="474">
        <f t="shared" ref="FT44" si="707">FS44-SUM(FB44:FD44)</f>
        <v>260.32133211397877</v>
      </c>
      <c r="FU44" s="957">
        <f t="shared" ref="FU44" si="708">FT44/FS44</f>
        <v>0.19871857413280822</v>
      </c>
      <c r="FV44" s="797">
        <f t="shared" ref="FV44" si="709">FS44-FG44</f>
        <v>70.321332113978769</v>
      </c>
      <c r="FW44" s="281">
        <f t="shared" ref="FW44" si="710">FV44/FS44</f>
        <v>5.3680406193876921E-2</v>
      </c>
      <c r="FY44" s="340" t="str">
        <f t="shared" si="645"/>
        <v>Hạt nhựa rPET WSS03G</v>
      </c>
      <c r="FZ44" s="860"/>
      <c r="GA44" s="797"/>
      <c r="GB44" s="296"/>
      <c r="GD44" s="860"/>
      <c r="GE44" s="797"/>
      <c r="GF44" s="296"/>
      <c r="GH44" s="860"/>
      <c r="GI44" s="797"/>
      <c r="GJ44" s="296"/>
      <c r="GL44" s="860"/>
      <c r="GM44" s="797"/>
      <c r="GN44" s="296"/>
    </row>
    <row r="45" spans="4:196" x14ac:dyDescent="0.35">
      <c r="K45" s="353"/>
      <c r="V45" s="343"/>
      <c r="Z45" s="353"/>
      <c r="AA45" s="1089"/>
      <c r="AB45" s="1088"/>
      <c r="AC45" s="1088"/>
      <c r="AG45" s="476">
        <f>$AI$41*$AI45</f>
        <v>14544.934056640805</v>
      </c>
      <c r="AH45" s="374">
        <v>0.46600000000000003</v>
      </c>
      <c r="AI45" s="1003" t="s">
        <v>701</v>
      </c>
      <c r="AJ45" s="1011" t="s">
        <v>818</v>
      </c>
      <c r="AK45" s="1012"/>
      <c r="AS45" s="353"/>
      <c r="AW45" s="353"/>
      <c r="AZ45" s="463">
        <f>AZ47-AZ46</f>
        <v>1088.7821094814426</v>
      </c>
      <c r="BA45" s="343"/>
      <c r="BB45" s="579" t="s">
        <v>712</v>
      </c>
      <c r="BC45" s="517">
        <f>'Hảo_R&amp;D (Vảy sạch)'!BR3</f>
        <v>0.13333333333333333</v>
      </c>
      <c r="CZ45" s="387">
        <v>1</v>
      </c>
      <c r="DA45" s="768" t="s">
        <v>872</v>
      </c>
      <c r="DB45" s="482">
        <f>DB44</f>
        <v>20035.843717346172</v>
      </c>
      <c r="DC45" s="482">
        <f>DC44</f>
        <v>14377.071640420023</v>
      </c>
      <c r="DD45" s="484">
        <f>AJ122</f>
        <v>3655.1877051915308</v>
      </c>
      <c r="DE45" s="484">
        <f>+CC15</f>
        <v>3240.9192930660097</v>
      </c>
      <c r="DF45" s="484">
        <f>DF29</f>
        <v>1610.8482620845953</v>
      </c>
      <c r="DG45" s="484">
        <f>CP15</f>
        <v>-855.64166666666654</v>
      </c>
      <c r="DH45" s="453">
        <f>DH44</f>
        <v>-330.66666666666669</v>
      </c>
      <c r="DI45" s="453">
        <f t="shared" ref="DI45" si="711">DI44</f>
        <v>2003.5843717346168</v>
      </c>
      <c r="DK45" s="727">
        <f t="shared" si="679"/>
        <v>23701.302939163445</v>
      </c>
      <c r="DL45" s="453">
        <f t="shared" si="680"/>
        <v>894.38879015711109</v>
      </c>
      <c r="DM45" s="476">
        <f t="shared" si="681"/>
        <v>964.38879015711109</v>
      </c>
      <c r="DN45" s="781"/>
      <c r="DQ45" s="489" t="str">
        <f>AX260</f>
        <v xml:space="preserve"> 90% Vảy PET B6.2_A3.1/A2 +10% B5-A3/A2</v>
      </c>
      <c r="DS45" s="387"/>
      <c r="DT45" s="768" t="s">
        <v>872</v>
      </c>
      <c r="DU45" s="475">
        <f>(0*$DB$7+0*$DB$18+0.9*$DB$45+0.1*$DB$36+0*$DB$7)/$DS$43</f>
        <v>22533.020377501292</v>
      </c>
      <c r="DV45" s="475">
        <f>(0*$DC$7+0*$DC$18+0.9*$DC$45+0.1*$DC$36+0*$DC$7)/$DS$43</f>
        <v>16168.964622234036</v>
      </c>
      <c r="DW45" s="475">
        <f>(0*($DD$7+$DE$7+$DF$7)+0*($DD$18+$DE$18+$DF$18)+0.1*($DD$36+$DE$36+$DF$36)+0.9*($DD$45+$DE$45+$DF$45)+0*($DD$7+$DE$7+$DF$7))/$DS$43</f>
        <v>9649.3011549036637</v>
      </c>
      <c r="DX45" s="475">
        <f>(0*$DG$7+0*$DG$18+0.1*$DG$36+0.9*$DG$45+0*$DG$7)/$DS$43</f>
        <v>-933.77067997004531</v>
      </c>
      <c r="DY45" s="475">
        <f>(0*$DH$7+0*$DH$18+0.1*$DH$36+0.9*$DH$45+0*$DH$7)/$DS$43</f>
        <v>-395.60502283105023</v>
      </c>
      <c r="DZ45" s="475">
        <f>DZ39</f>
        <v>-321.81131370545882</v>
      </c>
      <c r="EA45" s="475">
        <f>EA13</f>
        <v>2048.8647623994589</v>
      </c>
      <c r="EB45" s="475">
        <f>EB11</f>
        <v>2796.8565141477497</v>
      </c>
      <c r="EC45" s="475">
        <f>EC11</f>
        <v>2064.9528218457522</v>
      </c>
      <c r="EE45" s="475">
        <f t="shared" ref="EE45" si="712">SUM(DV45:ED45)</f>
        <v>31077.752859024102</v>
      </c>
      <c r="EF45" s="474"/>
      <c r="EG45" s="475">
        <f t="shared" ref="EG45" si="713">EE45/$EG$1</f>
        <v>1172.7453909065698</v>
      </c>
      <c r="EI45" s="474">
        <f t="shared" si="575"/>
        <v>2173</v>
      </c>
      <c r="EJ45" s="474">
        <f t="shared" si="575"/>
        <v>1166</v>
      </c>
      <c r="EK45" s="474">
        <f t="shared" si="575"/>
        <v>371</v>
      </c>
      <c r="EL45" s="475">
        <f t="shared" ref="EL45" si="714">SUM(EI45:EK45)</f>
        <v>3710</v>
      </c>
      <c r="EM45" s="475">
        <f t="shared" ref="EM45" si="715">EE45+EL45</f>
        <v>34787.752859024098</v>
      </c>
      <c r="EN45" s="474">
        <f t="shared" ref="EN45" si="716">EG45+$EN$1</f>
        <v>1312.7453909065698</v>
      </c>
      <c r="EO45" s="463">
        <f>EO11</f>
        <v>50</v>
      </c>
      <c r="EP45" s="736">
        <f t="shared" ref="EP45" si="717">EN45+EO45</f>
        <v>1362.7453909065698</v>
      </c>
      <c r="EQ45" s="471"/>
      <c r="ER45" s="736">
        <f>SUM(DV45,EA45,DX45:DZ45)/$EG$1</f>
        <v>625.1563157783753</v>
      </c>
      <c r="ES45" s="736">
        <f t="shared" ref="ES45" si="718">(SUM(DW45,EB45,EC45:ED45,EI45:EK45))/$EG$1</f>
        <v>687.58907512819508</v>
      </c>
      <c r="ET45" s="736">
        <f t="shared" ref="ET45" si="719">EO45</f>
        <v>50</v>
      </c>
      <c r="EU45" s="736">
        <f t="shared" ref="EU45" si="720">SUM(ER45:ET45)</f>
        <v>1362.7453909065703</v>
      </c>
      <c r="EW45" s="736">
        <f t="shared" si="533"/>
        <v>16566.642368126944</v>
      </c>
      <c r="EX45" s="736">
        <f t="shared" si="534"/>
        <v>18221.110490897168</v>
      </c>
      <c r="EY45" s="736">
        <f t="shared" ref="EY45" si="721">EO45*$EG$1</f>
        <v>1325</v>
      </c>
      <c r="EZ45" s="736">
        <f t="shared" ref="EZ45" si="722">SUM(EW45:EY45)</f>
        <v>36112.752859024113</v>
      </c>
      <c r="FB45" s="736">
        <f>DV45/$EG$1</f>
        <v>610.14960838619004</v>
      </c>
      <c r="FC45" s="736">
        <f t="shared" ref="FC45" si="723">SUM(DX45:EA45)/$EG$1</f>
        <v>15.006707392185078</v>
      </c>
      <c r="FD45" s="736">
        <f t="shared" ref="FD45" si="724">SUM(DW45,EB45,EC45:ED45)/$EG$1</f>
        <v>547.58907512819496</v>
      </c>
      <c r="FE45" s="736">
        <f t="shared" ref="FE45" si="725">SUM(EI45:EK45)/$EG$1</f>
        <v>140</v>
      </c>
      <c r="FF45" s="736">
        <f t="shared" ref="FF45" si="726">ET45</f>
        <v>50</v>
      </c>
      <c r="FG45" s="736">
        <f t="shared" ref="FG45" si="727">SUM(FB45:FF45)</f>
        <v>1362.74539090657</v>
      </c>
      <c r="FH45" s="732">
        <f t="shared" ref="FH45" si="728">FG45-EU45</f>
        <v>0</v>
      </c>
      <c r="FI45" s="736">
        <f>DV45</f>
        <v>16168.964622234036</v>
      </c>
      <c r="FJ45" s="736">
        <f t="shared" ref="FJ45" si="729">SUM(DX45:EA45)</f>
        <v>397.67774589290457</v>
      </c>
      <c r="FK45" s="736">
        <f t="shared" ref="FK45" si="730">SUM(DW45,EB45,EC45)</f>
        <v>14511.110490897167</v>
      </c>
      <c r="FL45" s="736">
        <f t="shared" ref="FL45" si="731">SUM(EI45:EK45)</f>
        <v>3710</v>
      </c>
      <c r="FM45" s="736">
        <f t="shared" ref="FM45" si="732">EY45</f>
        <v>1325</v>
      </c>
      <c r="FN45" s="736">
        <f t="shared" ref="FN45" si="733">SUM(FI45:FM45)</f>
        <v>36112.752859024105</v>
      </c>
      <c r="FO45" s="479">
        <f t="shared" si="543"/>
        <v>0</v>
      </c>
      <c r="FP45" s="961">
        <f t="shared" ref="FP45" si="734">(FF45+FE45)/FG45</f>
        <v>0.13942443046797023</v>
      </c>
      <c r="FQ45" s="961">
        <f t="shared" ref="FQ45" si="735">FF45/FG45</f>
        <v>3.6690639596834274E-2</v>
      </c>
      <c r="FR45" s="473"/>
      <c r="FS45" s="735">
        <f>FS44</f>
        <v>1310</v>
      </c>
      <c r="FT45" s="479">
        <f t="shared" ref="FT45" si="736">FS45-SUM(FB45:FD45)</f>
        <v>137.25460909342996</v>
      </c>
      <c r="FU45" s="974">
        <f t="shared" ref="FU45" si="737">FT45/FS45</f>
        <v>0.10477451075834349</v>
      </c>
      <c r="FV45" s="295">
        <f t="shared" ref="FV45" si="738">FS45-FG45</f>
        <v>-52.745390906570037</v>
      </c>
      <c r="FW45" s="985">
        <f t="shared" ref="FW45" si="739">FV45/FS45</f>
        <v>-4.0263657180587817E-2</v>
      </c>
      <c r="FX45" s="473"/>
      <c r="FY45" s="473">
        <f t="shared" ref="FY45" si="740">DR45</f>
        <v>0</v>
      </c>
      <c r="FZ45" s="735"/>
      <c r="GA45" s="473"/>
      <c r="GB45" s="473"/>
      <c r="GC45" s="473"/>
      <c r="GD45" s="735"/>
      <c r="GE45" s="473"/>
      <c r="GF45" s="473"/>
      <c r="GG45" s="473"/>
      <c r="GH45" s="735"/>
      <c r="GL45" s="962"/>
    </row>
    <row r="46" spans="4:196" ht="16" x14ac:dyDescent="0.35">
      <c r="K46" s="353"/>
      <c r="U46" s="375"/>
      <c r="V46" s="343"/>
      <c r="Z46" s="353"/>
      <c r="AA46" s="1090"/>
      <c r="AB46" s="1088"/>
      <c r="AC46" s="1088"/>
      <c r="AG46" s="411"/>
      <c r="AH46" s="374"/>
      <c r="AI46" s="1004"/>
      <c r="AJ46" s="1013"/>
      <c r="AK46" s="1014"/>
      <c r="AS46" s="353"/>
      <c r="AW46" s="353"/>
      <c r="AZ46" s="466">
        <f>($AI$5*0.855+$AI$41*0.095+$AI$5*0.05)/BA46</f>
        <v>21698.232519324225</v>
      </c>
      <c r="BA46" s="577">
        <f>SUM(BA47:BA49,BA53)</f>
        <v>0.95235331388965472</v>
      </c>
      <c r="BB46" s="580">
        <f>SUM(BA47*BB47,BA49*BB49,BA53*BB53)</f>
        <v>1.0395787442582065</v>
      </c>
      <c r="BD46" s="438">
        <f>(0.855*AK6+AK42*0.095+0.05*AK6)*BA46</f>
        <v>0.77389942729004124</v>
      </c>
      <c r="BE46" s="468">
        <f>($N$5/BD46)*0.905+($N$41/BD46)*0.095</f>
        <v>21984.698030858515</v>
      </c>
      <c r="BF46" s="679">
        <f>BE46-AZ46</f>
        <v>286.46551153429027</v>
      </c>
      <c r="BG46" s="463"/>
      <c r="CY46" s="465" t="str">
        <f>LEFT($CH$2,3)&amp;" "&amp;RIGHT($BK$14,5)&amp;"_"&amp;"A"&amp;"2"&amp;" DT"</f>
        <v>Vảy  B6.2_A2 DT</v>
      </c>
      <c r="CZ46" s="761"/>
      <c r="DA46" s="773" t="s">
        <v>871</v>
      </c>
      <c r="DB46" s="476">
        <f>DB44*$CZ$47</f>
        <v>16028.674973876938</v>
      </c>
      <c r="DC46" s="476">
        <f>DC44*$CZ$47</f>
        <v>11501.657312336019</v>
      </c>
      <c r="DD46" s="456">
        <f>DD44*$CZ$47</f>
        <v>2924.150164153225</v>
      </c>
      <c r="DE46" s="456">
        <f t="shared" ref="DE46" si="741">DE44*$CZ$47</f>
        <v>1619.58313754345</v>
      </c>
      <c r="DF46" s="476">
        <f t="shared" ref="DF46" si="742">DF44*$CZ$47</f>
        <v>1019.084679846991</v>
      </c>
      <c r="DG46" s="476">
        <f>DG44*$CZ$47</f>
        <v>-684.51333333333332</v>
      </c>
      <c r="DH46" s="476">
        <f>DH44*$CZ$47</f>
        <v>-264.53333333333336</v>
      </c>
      <c r="DI46" s="476">
        <f>DI44*$CZ$47</f>
        <v>1602.8674973876934</v>
      </c>
      <c r="DK46" s="486">
        <f t="shared" si="679"/>
        <v>17718.296124600714</v>
      </c>
      <c r="DL46" s="453">
        <f t="shared" si="680"/>
        <v>668.61494809814019</v>
      </c>
      <c r="DM46" s="494">
        <f t="shared" si="681"/>
        <v>738.61494809814019</v>
      </c>
      <c r="DN46" s="780">
        <f>DM46/$DM$48</f>
        <v>1.2837979646622859</v>
      </c>
      <c r="DQ46" s="489"/>
      <c r="DS46" s="387"/>
      <c r="DT46" s="768"/>
      <c r="DU46" s="501">
        <f>BZ14*0.89+BZ10*0.11</f>
        <v>18191.40673625869</v>
      </c>
      <c r="FP46" s="961"/>
      <c r="FQ46" s="961"/>
      <c r="FR46" s="473"/>
      <c r="FS46" s="735"/>
      <c r="FT46" s="479"/>
      <c r="FU46" s="974"/>
      <c r="FV46" s="295"/>
      <c r="FW46" s="985"/>
      <c r="FX46" s="473"/>
      <c r="FY46" s="473"/>
      <c r="FZ46" s="735"/>
      <c r="GA46" s="473"/>
      <c r="GB46" s="473"/>
      <c r="GC46" s="473"/>
      <c r="GD46" s="735"/>
      <c r="GE46" s="473"/>
      <c r="GF46" s="473"/>
      <c r="GG46" s="473"/>
      <c r="GH46" s="735"/>
      <c r="GL46" s="962"/>
    </row>
    <row r="47" spans="4:196" ht="16" x14ac:dyDescent="0.35">
      <c r="K47" s="353"/>
      <c r="U47" s="375"/>
      <c r="V47" s="343"/>
      <c r="Z47" s="353"/>
      <c r="AG47" s="476">
        <f>$AI$41*$AI47</f>
        <v>10908.700542480603</v>
      </c>
      <c r="AH47" s="374">
        <v>0.1333</v>
      </c>
      <c r="AI47" s="1052" t="s">
        <v>702</v>
      </c>
      <c r="AJ47" s="1011" t="s">
        <v>819</v>
      </c>
      <c r="AK47" s="1012"/>
      <c r="AS47" s="353"/>
      <c r="AT47" s="1057"/>
      <c r="AU47" s="1057"/>
      <c r="AV47" s="349"/>
      <c r="AW47" s="369"/>
      <c r="AX47" s="370"/>
      <c r="AY47" s="370"/>
      <c r="AZ47" s="467">
        <f>$AZ$46/$BB$46*BB47</f>
        <v>22787.014628805668</v>
      </c>
      <c r="BA47" s="576">
        <v>0.94703290431485221</v>
      </c>
      <c r="BB47" s="580">
        <f>BB9</f>
        <v>1.0917431192660549</v>
      </c>
      <c r="BC47" s="433" t="s">
        <v>595</v>
      </c>
      <c r="BD47" s="423"/>
      <c r="BE47" s="376"/>
      <c r="BF47" s="376"/>
      <c r="BG47" s="376"/>
      <c r="BH47" s="376"/>
      <c r="BI47" s="376"/>
      <c r="CZ47" s="387">
        <v>0.8</v>
      </c>
      <c r="DA47" s="768" t="s">
        <v>872</v>
      </c>
      <c r="DB47" s="453">
        <f>DB45*$CZ$47</f>
        <v>16028.674973876938</v>
      </c>
      <c r="DC47" s="453">
        <f t="shared" ref="DC47:DI47" si="743">DC45*$CZ$47</f>
        <v>11501.657312336019</v>
      </c>
      <c r="DD47" s="456">
        <f t="shared" si="743"/>
        <v>2924.150164153225</v>
      </c>
      <c r="DE47" s="456">
        <f t="shared" ref="DE47" si="744">DE45*$CZ$47</f>
        <v>2592.735434452808</v>
      </c>
      <c r="DF47" s="453">
        <f t="shared" ref="DF47" si="745">DF45*$CZ$47</f>
        <v>1288.6786096676763</v>
      </c>
      <c r="DG47" s="453">
        <f>DG45*$CZ$47</f>
        <v>-684.51333333333332</v>
      </c>
      <c r="DH47" s="453">
        <f t="shared" si="743"/>
        <v>-264.53333333333336</v>
      </c>
      <c r="DI47" s="453">
        <f t="shared" si="743"/>
        <v>1602.8674973876934</v>
      </c>
      <c r="DK47" s="727">
        <f t="shared" si="679"/>
        <v>18961.042351330758</v>
      </c>
      <c r="DL47" s="453">
        <f t="shared" si="680"/>
        <v>715.51103212568898</v>
      </c>
      <c r="DM47" s="476">
        <f t="shared" si="681"/>
        <v>785.51103212568898</v>
      </c>
      <c r="DN47" s="781"/>
      <c r="DP47" s="920" t="s">
        <v>545</v>
      </c>
      <c r="DQ47" s="500"/>
      <c r="DR47" s="499" t="s">
        <v>545</v>
      </c>
      <c r="DS47" s="764"/>
      <c r="DT47" s="773" t="s">
        <v>871</v>
      </c>
      <c r="DU47" s="501">
        <f>BZ14*0.89+BZ10*0.11</f>
        <v>18191.40673625869</v>
      </c>
      <c r="DV47" s="502">
        <f>(0*$DC$6+0*$DC$17+0.89*$DC$44+0.11*$DC$26+0*$DC$35+0*$DC$6)/$DS$48</f>
        <v>15563.220954722789</v>
      </c>
      <c r="DW47" s="502">
        <f>(0*($DD$6+$DE$6+$DF$6)+0*($DD$17+$DE$17+$DF$17)+0.11*($DD$26+$DE$26+$DF$26)+0*($DD$35+$DE$35+$DF$35)+0.89*($DD$44+$DE$44+$DF$44)+0*($DD$6+$DE$6+$DF$6))/$DS$43</f>
        <v>7903.7130734572202</v>
      </c>
      <c r="DX47" s="901">
        <f>(0*$DG$6+0*$DG$17+0.11*$DG$26+0.1*$DG$35+0.89*$DG$44+0*$DG$6)/$DS$43</f>
        <v>-1013.7484442590949</v>
      </c>
      <c r="DY47" s="901">
        <f>(0*$DH$6+0*$DH$17+0.11*$DH$26+0*$DH$35+0.89*$DH$44+0*$DH$6)/$DS$43</f>
        <v>-392.83485540334857</v>
      </c>
      <c r="DZ47" s="901">
        <f t="shared" ref="DZ47:EA47" si="746">DZ25</f>
        <v>-321.81131370545882</v>
      </c>
      <c r="EA47" s="901">
        <f t="shared" si="746"/>
        <v>2103.2594021091791</v>
      </c>
      <c r="EB47" s="502">
        <f>EB6</f>
        <v>2000.939404729972</v>
      </c>
      <c r="EC47" s="502">
        <f>EC6</f>
        <v>0</v>
      </c>
      <c r="ED47" s="502"/>
      <c r="EE47" s="987" t="s">
        <v>970</v>
      </c>
      <c r="EF47" s="502">
        <v>24986.472927073384</v>
      </c>
      <c r="EG47" s="927" t="e">
        <f t="shared" ref="EG47:EG52" si="747">EE47/$EG$1</f>
        <v>#VALUE!</v>
      </c>
      <c r="EH47" s="499"/>
      <c r="EI47" s="502">
        <f t="shared" ref="EI47:EK48" si="748">EI6</f>
        <v>2173</v>
      </c>
      <c r="EJ47" s="583">
        <f t="shared" si="748"/>
        <v>1166</v>
      </c>
      <c r="EK47" s="583">
        <f t="shared" si="748"/>
        <v>371</v>
      </c>
      <c r="EL47" s="501">
        <f t="shared" ref="EL47:EL52" si="749">SUM(EI47:EK47)</f>
        <v>3710</v>
      </c>
      <c r="EM47" s="501" t="e">
        <f t="shared" ref="EM47:EM54" si="750">EE47+EL47</f>
        <v>#VALUE!</v>
      </c>
      <c r="EN47" s="987" t="e">
        <f>EG47+$EN$1</f>
        <v>#VALUE!</v>
      </c>
      <c r="EO47" s="502">
        <f>EO40</f>
        <v>50</v>
      </c>
      <c r="EP47" s="901" t="e">
        <f t="shared" ref="EP47:EP54" si="751">EN47+EO47</f>
        <v>#VALUE!</v>
      </c>
      <c r="EQ47" s="499"/>
      <c r="ER47" s="901">
        <f t="shared" ref="ER47:ER54" si="752">SUM(DV47,EA47,DX47:DZ47)/$EG$1</f>
        <v>601.43719786656857</v>
      </c>
      <c r="ES47" s="901">
        <f t="shared" ref="ES47:ES54" si="753">(SUM(DW47,EB47,EC47:ED47,EI47:EK47))/$EG$1</f>
        <v>513.76047087498841</v>
      </c>
      <c r="ET47" s="901">
        <f t="shared" ref="ET47:ET54" si="754">EO47</f>
        <v>50</v>
      </c>
      <c r="EU47" s="927">
        <f t="shared" ref="EU47:EU54" si="755">SUM(ER47:ET47)</f>
        <v>1165.197668741557</v>
      </c>
      <c r="EV47" s="499"/>
      <c r="EW47" s="901">
        <f>SUM(DV47,EA47,DX47:DZ47)</f>
        <v>15938.085743464067</v>
      </c>
      <c r="EX47" s="901">
        <f>SUM(DW47,EB47,EC47,EI47:EK47)</f>
        <v>13614.652478187192</v>
      </c>
      <c r="EY47" s="901">
        <f t="shared" ref="EY47:EY54" si="756">EO47*$EG$1</f>
        <v>1325</v>
      </c>
      <c r="EZ47" s="927">
        <f t="shared" ref="EZ47" si="757">SUM(EW47:EY47)</f>
        <v>30877.73822165126</v>
      </c>
      <c r="FA47" s="499"/>
      <c r="FB47" s="901">
        <f>DV47/$EG$1</f>
        <v>587.29135678199202</v>
      </c>
      <c r="FC47" s="901">
        <f>SUM(DX47:EA47)/$EG$1</f>
        <v>14.14584108457648</v>
      </c>
      <c r="FD47" s="901">
        <f>SUM(DW47,EB47,EC47:ED47)/$EG$1</f>
        <v>373.76047087498836</v>
      </c>
      <c r="FE47" s="901">
        <f t="shared" ref="FE47:FE54" si="758">SUM(EI47:EK47)/$EG$1</f>
        <v>140</v>
      </c>
      <c r="FF47" s="901">
        <f t="shared" ref="FF47:FF54" si="759">ET47</f>
        <v>50</v>
      </c>
      <c r="FG47" s="927">
        <f t="shared" ref="FG47:FG54" si="760">SUM(FB47:FF47)</f>
        <v>1165.1976687415568</v>
      </c>
      <c r="FH47" s="902">
        <f t="shared" ref="FH47:FH54" si="761">FG47-EU47</f>
        <v>0</v>
      </c>
      <c r="FI47" s="901">
        <f t="shared" ref="FI47:FI54" si="762">DV47</f>
        <v>15563.220954722789</v>
      </c>
      <c r="FJ47" s="901">
        <f t="shared" ref="FJ47:FJ54" si="763">SUM(DX47:EA47)</f>
        <v>374.8647887412767</v>
      </c>
      <c r="FK47" s="901">
        <f t="shared" ref="FK47:FK54" si="764">SUM(DW47,EB47,EC47)</f>
        <v>9904.6524781871922</v>
      </c>
      <c r="FL47" s="901">
        <f t="shared" ref="FL47:FL54" si="765">SUM(EI47:EK47)</f>
        <v>3710</v>
      </c>
      <c r="FM47" s="901">
        <f t="shared" ref="FM47:FM54" si="766">EY47</f>
        <v>1325</v>
      </c>
      <c r="FN47" s="927">
        <f t="shared" ref="FN47:FN54" si="767">SUM(FI47:FM47)</f>
        <v>30877.738221651256</v>
      </c>
      <c r="FO47" s="502">
        <f>FN47-EZ47</f>
        <v>0</v>
      </c>
      <c r="FP47" s="903">
        <f>(FF47+FE47)/FG47</f>
        <v>0.16306246150080686</v>
      </c>
      <c r="FQ47" s="903">
        <f t="shared" ref="FQ47:FQ54" si="768">FF47/FG47</f>
        <v>4.2911174079159696E-2</v>
      </c>
      <c r="FR47" s="499"/>
      <c r="FS47" s="927">
        <f>$FS$10-130</f>
        <v>1250</v>
      </c>
      <c r="FT47" s="502">
        <f t="shared" ref="FT47:FT54" si="769">FS47-SUM(FB47:FD47)</f>
        <v>274.80233125844325</v>
      </c>
      <c r="FU47" s="977">
        <f t="shared" ref="FU47:FU54" si="770">FT47/FS47</f>
        <v>0.21984186500675459</v>
      </c>
      <c r="FV47" s="904">
        <f t="shared" ref="FV47:FV54" si="771">FS47-FG47</f>
        <v>84.802331258443246</v>
      </c>
      <c r="FW47" s="281">
        <f t="shared" ref="FW47:FW54" si="772">FV47/FS47</f>
        <v>6.7841865006754598E-2</v>
      </c>
      <c r="FX47" s="499"/>
      <c r="FY47" s="499" t="str">
        <f t="shared" si="157"/>
        <v>Hạt WSS03NC</v>
      </c>
      <c r="FZ47" s="906"/>
      <c r="GA47" s="904"/>
      <c r="GB47" s="905"/>
      <c r="GC47" s="499"/>
      <c r="GD47" s="906"/>
      <c r="GE47" s="904"/>
      <c r="GF47" s="905"/>
      <c r="GG47" s="499"/>
      <c r="GH47" s="906"/>
      <c r="GI47" s="904"/>
      <c r="GJ47" s="905"/>
      <c r="GK47" s="499"/>
      <c r="GL47" s="906"/>
      <c r="GM47" s="797"/>
      <c r="GN47" s="296"/>
    </row>
    <row r="48" spans="4:196" x14ac:dyDescent="0.35">
      <c r="K48" s="353"/>
      <c r="U48" s="389">
        <f>Z48+AH50</f>
        <v>0.10080831983765647</v>
      </c>
      <c r="V48" s="343"/>
      <c r="Z48" s="390">
        <f>SUM(Z49:Z66)</f>
        <v>9.0660916463949331E-2</v>
      </c>
      <c r="AA48" s="563">
        <f>SUM(AA49:AA65)</f>
        <v>707.44547994627874</v>
      </c>
      <c r="AH48" s="374"/>
      <c r="AI48" s="1052"/>
      <c r="AJ48" s="1013"/>
      <c r="AK48" s="1014"/>
      <c r="AS48" s="353"/>
      <c r="AT48" s="1057"/>
      <c r="AU48" s="1057"/>
      <c r="AV48" s="349"/>
      <c r="AW48" s="369"/>
      <c r="AX48" s="377"/>
      <c r="AY48" s="377"/>
      <c r="AZ48" s="469">
        <f>AZ47-AZ49</f>
        <v>574.46255366736659</v>
      </c>
      <c r="BA48" s="356"/>
      <c r="BB48" s="356"/>
      <c r="BC48" s="424"/>
      <c r="BD48" s="425"/>
      <c r="BE48" s="376"/>
      <c r="BF48" s="376"/>
      <c r="BG48" s="376"/>
      <c r="BH48" s="376"/>
      <c r="BI48" s="376"/>
      <c r="CY48" s="465" t="str">
        <f>LEFT($CH$2,3)&amp;" "&amp;RIGHT($BK$14,5)&amp;"_"&amp;"A"&amp;"3"&amp;" DT"</f>
        <v>Vảy  B6.2_A3 DT</v>
      </c>
      <c r="CZ48" s="761"/>
      <c r="DA48" s="773" t="s">
        <v>871</v>
      </c>
      <c r="DB48" s="476">
        <f>DB44*$CZ$49</f>
        <v>12021.506230407702</v>
      </c>
      <c r="DC48" s="476">
        <f t="shared" ref="DC48:DI48" si="773">DC44*$CZ$49</f>
        <v>8626.2429842520141</v>
      </c>
      <c r="DD48" s="456">
        <f t="shared" si="773"/>
        <v>2193.1126231149183</v>
      </c>
      <c r="DE48" s="456">
        <f t="shared" ref="DE48" si="774">DE44*$CZ$49</f>
        <v>1214.6873531575875</v>
      </c>
      <c r="DF48" s="476">
        <f t="shared" ref="DF48" si="775">DF44*$CZ$49</f>
        <v>764.31350988524321</v>
      </c>
      <c r="DG48" s="476">
        <f>DG46*$CZ$49</f>
        <v>-410.70799999999997</v>
      </c>
      <c r="DH48" s="476">
        <f t="shared" si="773"/>
        <v>-198.4</v>
      </c>
      <c r="DI48" s="476">
        <f t="shared" si="773"/>
        <v>1202.1506230407699</v>
      </c>
      <c r="DK48" s="486">
        <f t="shared" si="679"/>
        <v>13391.399093450533</v>
      </c>
      <c r="DL48" s="453">
        <f t="shared" si="680"/>
        <v>505.33581484718991</v>
      </c>
      <c r="DM48" s="494">
        <f t="shared" si="681"/>
        <v>575.33581484718991</v>
      </c>
      <c r="DN48" s="780">
        <f>DM48/$DM$48</f>
        <v>1</v>
      </c>
      <c r="DQ48" s="500" t="s">
        <v>715</v>
      </c>
      <c r="DR48" s="499"/>
      <c r="DS48" s="926">
        <f>BA274</f>
        <v>0.91399999999999992</v>
      </c>
      <c r="DT48" s="768" t="s">
        <v>872</v>
      </c>
      <c r="DU48" s="502">
        <f>(0*$DB$7+0*$DB$18+0.89*$DB$45+0.11*$DB$27+0*$DB$36+0*$DB$7)/$DS$48</f>
        <v>21688.857827673943</v>
      </c>
      <c r="DV48" s="502">
        <f>(0*$DC$7+0*$DC$18+0.89*$DC$45+0.11*$DC$27+0*$DC$36+0*$DC$7)/$DS$48</f>
        <v>15563.220954722789</v>
      </c>
      <c r="DW48" s="502">
        <f>(0*($DD$7+$DE$7+$DF$7)+0*($DD$18+$DE$18+$DF$18)+0.11*($DD$27+$DE$27+$DF$27)+0*($DD$36+$DE$36+$DF$36)+0.89*($DD$45+$DE$45+$DF$45)+0*($DD$7+$DE$7+$DF$7))/$DS$43</f>
        <v>9717.5072817190503</v>
      </c>
      <c r="DX48" s="901">
        <f>(0*$DG$7+0*$DG$18+0.11*$DG$27+0.1*$DG$36+0.89*$DG$45+0*$DG$7)/$DS$43</f>
        <v>-1008.5373276108367</v>
      </c>
      <c r="DY48" s="901">
        <f>(0*$DH$7+0*$DH$18+0.11*$DH$27+0*$DH$36+0.89*$DH$45+0*$DH$7)/$DS$43</f>
        <v>-392.83485540334857</v>
      </c>
      <c r="DZ48" s="901">
        <f t="shared" ref="DZ48:EA48" si="776">DZ26</f>
        <v>-321.81131370545882</v>
      </c>
      <c r="EA48" s="901">
        <f t="shared" si="776"/>
        <v>2103.2594021091791</v>
      </c>
      <c r="EB48" s="502">
        <f>EB7</f>
        <v>2796.8565141477497</v>
      </c>
      <c r="EC48" s="502"/>
      <c r="ED48" s="502"/>
      <c r="EE48" s="502">
        <f t="shared" ref="EE48" si="777">SUM(DV48:ED48)</f>
        <v>28457.660655979122</v>
      </c>
      <c r="EF48" s="502">
        <v>24986.472927073384</v>
      </c>
      <c r="EG48" s="501">
        <f t="shared" ref="EG48" si="778">EE48/$EG$1</f>
        <v>1073.87398701808</v>
      </c>
      <c r="EH48" s="499"/>
      <c r="EI48" s="502">
        <f t="shared" si="748"/>
        <v>2173</v>
      </c>
      <c r="EJ48" s="583">
        <f t="shared" si="748"/>
        <v>1166</v>
      </c>
      <c r="EK48" s="583">
        <f t="shared" si="748"/>
        <v>371</v>
      </c>
      <c r="EL48" s="501">
        <f t="shared" ref="EL48" si="779">SUM(EI48:EK48)</f>
        <v>3710</v>
      </c>
      <c r="EM48" s="501">
        <f t="shared" ref="EM48" si="780">EE48+EL48</f>
        <v>32167.660655979122</v>
      </c>
      <c r="EN48" s="502">
        <f>EG48+$EN$1</f>
        <v>1213.87398701808</v>
      </c>
      <c r="EO48" s="502">
        <f>EO41</f>
        <v>50</v>
      </c>
      <c r="EP48" s="901">
        <f t="shared" ref="EP48" si="781">EN48+EO48</f>
        <v>1263.87398701808</v>
      </c>
      <c r="EQ48" s="499"/>
      <c r="ER48" s="901">
        <f t="shared" ref="ER48" si="782">SUM(DV48,EA48,DX48:DZ48)/$EG$1</f>
        <v>601.63384377782359</v>
      </c>
      <c r="ES48" s="901">
        <f t="shared" ref="ES48" si="783">(SUM(DW48,EB48,EC48:ED48,EI48:EK48))/$EG$1</f>
        <v>612.24014324025666</v>
      </c>
      <c r="ET48" s="901">
        <f t="shared" ref="ET48" si="784">EO48</f>
        <v>50</v>
      </c>
      <c r="EU48" s="901">
        <f t="shared" ref="EU48" si="785">SUM(ER48:ET48)</f>
        <v>1263.8739870180802</v>
      </c>
      <c r="EV48" s="499"/>
      <c r="EW48" s="901">
        <f>SUM(DV48,EA48,DX48:DZ48)</f>
        <v>15943.296860112325</v>
      </c>
      <c r="EX48" s="901">
        <f>SUM(DW48,EB48,EC48,EI48:EK48)</f>
        <v>16224.363795866801</v>
      </c>
      <c r="EY48" s="901">
        <f t="shared" ref="EY48" si="786">EO48*$EG$1</f>
        <v>1325</v>
      </c>
      <c r="EZ48" s="901">
        <f t="shared" ref="EZ48" si="787">SUM(EW48:EY48)</f>
        <v>33492.660655979125</v>
      </c>
      <c r="FA48" s="499"/>
      <c r="FB48" s="901">
        <f>DV48/$EG$1</f>
        <v>587.29135678199202</v>
      </c>
      <c r="FC48" s="901">
        <f>SUM(DX48:EA48)/$EG$1</f>
        <v>14.342486995831505</v>
      </c>
      <c r="FD48" s="901">
        <f>SUM(DW48,EB48,EC48:ED48)/$EG$1</f>
        <v>472.2401432402566</v>
      </c>
      <c r="FE48" s="901">
        <f t="shared" ref="FE48" si="788">SUM(EI48:EK48)/$EG$1</f>
        <v>140</v>
      </c>
      <c r="FF48" s="901">
        <f t="shared" ref="FF48" si="789">ET48</f>
        <v>50</v>
      </c>
      <c r="FG48" s="901">
        <f t="shared" ref="FG48" si="790">SUM(FB48:FF48)</f>
        <v>1263.87398701808</v>
      </c>
      <c r="FH48" s="902">
        <f t="shared" ref="FH48" si="791">FG48-EU48</f>
        <v>0</v>
      </c>
      <c r="FI48" s="901">
        <f t="shared" ref="FI48" si="792">DV48</f>
        <v>15563.220954722789</v>
      </c>
      <c r="FJ48" s="901">
        <f t="shared" ref="FJ48" si="793">SUM(DX48:EA48)</f>
        <v>380.07590538953491</v>
      </c>
      <c r="FK48" s="901">
        <f t="shared" ref="FK48" si="794">SUM(DW48,EB48,EC48)</f>
        <v>12514.363795866801</v>
      </c>
      <c r="FL48" s="901">
        <f t="shared" ref="FL48" si="795">SUM(EI48:EK48)</f>
        <v>3710</v>
      </c>
      <c r="FM48" s="901">
        <f t="shared" ref="FM48" si="796">EY48</f>
        <v>1325</v>
      </c>
      <c r="FN48" s="901">
        <f t="shared" ref="FN48" si="797">SUM(FI48:FM48)</f>
        <v>33492.660655979125</v>
      </c>
      <c r="FO48" s="502">
        <f>FN48-EZ48</f>
        <v>0</v>
      </c>
      <c r="FP48" s="963">
        <f>(FF48+FE48)/FG48</f>
        <v>0.15033144281122229</v>
      </c>
      <c r="FQ48" s="963">
        <f t="shared" ref="FQ48" si="798">FF48/FG48</f>
        <v>3.9560906002953235E-2</v>
      </c>
      <c r="FR48" s="499"/>
      <c r="FS48" s="901">
        <f>FS47</f>
        <v>1250</v>
      </c>
      <c r="FT48" s="502">
        <f t="shared" ref="FT48" si="799">FS48-SUM(FB48:FD48)</f>
        <v>176.12601298191998</v>
      </c>
      <c r="FU48" s="978">
        <f t="shared" ref="FU48" si="800">FT48/FS48</f>
        <v>0.14090081038553598</v>
      </c>
      <c r="FV48" s="904">
        <f t="shared" ref="FV48" si="801">FS48-FG48</f>
        <v>-13.873987018080015</v>
      </c>
      <c r="FW48" s="985">
        <f t="shared" ref="FW48" si="802">FV48/FS48</f>
        <v>-1.1099189614464012E-2</v>
      </c>
      <c r="FX48" s="499"/>
      <c r="FY48" s="499">
        <f t="shared" ref="FY48" si="803">DR48</f>
        <v>0</v>
      </c>
      <c r="FZ48" s="965"/>
      <c r="GA48" s="904"/>
      <c r="GB48" s="964"/>
      <c r="GC48" s="499"/>
      <c r="GD48" s="965"/>
      <c r="GE48" s="904"/>
      <c r="GF48" s="964"/>
      <c r="GG48" s="499"/>
      <c r="GH48" s="965"/>
      <c r="GI48" s="904"/>
      <c r="GJ48" s="964"/>
      <c r="GK48" s="499"/>
      <c r="GL48" s="906"/>
      <c r="GM48" s="797"/>
      <c r="GN48" s="296"/>
    </row>
    <row r="49" spans="11:196" x14ac:dyDescent="0.35">
      <c r="K49" s="353"/>
      <c r="U49" s="375"/>
      <c r="V49" s="343"/>
      <c r="Y49" s="463">
        <f>Y13</f>
        <v>10000</v>
      </c>
      <c r="Z49" s="362">
        <v>4.1730000000000003E-2</v>
      </c>
      <c r="AA49" s="1009">
        <f>Y49*Z49</f>
        <v>417.3</v>
      </c>
      <c r="AB49" s="1027" t="s">
        <v>731</v>
      </c>
      <c r="AC49" s="1012"/>
      <c r="AH49" s="374"/>
      <c r="AI49" s="564"/>
      <c r="AJ49" s="1027"/>
      <c r="AK49" s="1027"/>
      <c r="AS49" s="353"/>
      <c r="AT49" s="1057"/>
      <c r="AU49" s="1057"/>
      <c r="AV49" s="349"/>
      <c r="AW49" s="352"/>
      <c r="AX49" s="1015" t="s">
        <v>596</v>
      </c>
      <c r="AY49" s="1016"/>
      <c r="AZ49" s="467">
        <f>$AZ$46/$BB$46*BB49</f>
        <v>22212.552075138301</v>
      </c>
      <c r="BA49" s="348">
        <v>5.3204095748025405E-3</v>
      </c>
      <c r="BB49" s="451">
        <f>BB11</f>
        <v>1.0642201834862386</v>
      </c>
      <c r="BC49" s="433" t="s">
        <v>597</v>
      </c>
      <c r="BD49" s="423"/>
      <c r="BE49" s="376"/>
      <c r="BF49" s="376"/>
      <c r="BG49" s="376"/>
      <c r="BH49" s="376"/>
      <c r="BI49" s="376"/>
      <c r="CZ49" s="387">
        <v>0.6</v>
      </c>
      <c r="DA49" s="768" t="s">
        <v>872</v>
      </c>
      <c r="DB49" s="453">
        <f>DB45*$CZ$49</f>
        <v>12021.506230407702</v>
      </c>
      <c r="DC49" s="453">
        <f t="shared" ref="DC49:DI49" si="804">DC45*$CZ$49</f>
        <v>8626.2429842520141</v>
      </c>
      <c r="DD49" s="456">
        <f t="shared" si="804"/>
        <v>2193.1126231149183</v>
      </c>
      <c r="DE49" s="456">
        <f t="shared" ref="DE49" si="805">DE45*$CZ$49</f>
        <v>1944.5515758396057</v>
      </c>
      <c r="DF49" s="453">
        <f t="shared" ref="DF49" si="806">DF45*$CZ$49</f>
        <v>966.50895725075713</v>
      </c>
      <c r="DG49" s="476">
        <f>DG47*$CZ$49</f>
        <v>-410.70799999999997</v>
      </c>
      <c r="DH49" s="453">
        <f t="shared" si="804"/>
        <v>-198.4</v>
      </c>
      <c r="DI49" s="453">
        <f t="shared" si="804"/>
        <v>1202.1506230407699</v>
      </c>
      <c r="DK49" s="727">
        <f t="shared" si="679"/>
        <v>14323.458763498063</v>
      </c>
      <c r="DL49" s="453">
        <f t="shared" si="680"/>
        <v>540.50787786785145</v>
      </c>
      <c r="DM49" s="476">
        <f t="shared" si="681"/>
        <v>610.50787786785145</v>
      </c>
      <c r="DN49" s="340"/>
      <c r="DP49" s="920" t="str">
        <f>AT277</f>
        <v>Tạo hạt WSS04NC</v>
      </c>
      <c r="DQ49" s="500"/>
      <c r="DR49" s="499" t="str">
        <f>BC275</f>
        <v>Hạt nhựa rPET WSS04SB</v>
      </c>
      <c r="DS49" s="764"/>
      <c r="DT49" s="773" t="s">
        <v>871</v>
      </c>
      <c r="DU49" s="501">
        <f>AZ274</f>
        <v>22018.860776157508</v>
      </c>
      <c r="DV49" s="502">
        <f>(0.25*$DC$6+0.15*$DC$17+0.55*$DC$44+0*$DC$26+0*$DC$35+0.05*$DC$6)/$DS$48</f>
        <v>15800.020367756264</v>
      </c>
      <c r="DW49" s="502">
        <f>(0.25*($DD$6+$DE$6+$DF$6)+0.15*($DD$17+$DE$17+$DF$17)+0*($DD$26+$DE$26+$DF$26)+0*($DD$35+$DE$35+$DF$35)+0.55*($DD$44+$DE$44+$DF$44)+0*($DD$6+$DE$6+$DF$6))/$DS$43</f>
        <v>7536.0935185252856</v>
      </c>
      <c r="DX49" s="501">
        <f>(0.25*$DG$6+0.15*$DG$17+0*$DG$26+0*$DG$35+0.55*$DG$44+0.05*$DG$6)/$DS$43</f>
        <v>-898.05767601053185</v>
      </c>
      <c r="DY49" s="501">
        <f>(0.25*$DH$6+0.15*$DH$17+0*$DH$26+0*$DH$35+0.55*$DH$44+0.05*$DH$6)/$DS$43</f>
        <v>-322.71736884389475</v>
      </c>
      <c r="DZ49" s="501">
        <f t="shared" ref="DZ49:EA49" si="807">DZ27</f>
        <v>-321.81131370545882</v>
      </c>
      <c r="EA49" s="501">
        <f t="shared" si="807"/>
        <v>2103.2594021091791</v>
      </c>
      <c r="EB49" s="502">
        <f>EB6</f>
        <v>2000.939404729972</v>
      </c>
      <c r="EC49" s="502">
        <f>EC6</f>
        <v>0</v>
      </c>
      <c r="ED49" s="502"/>
      <c r="EE49" s="502">
        <f t="shared" si="573"/>
        <v>25897.726334560815</v>
      </c>
      <c r="EF49" s="502">
        <v>24986.472927073384</v>
      </c>
      <c r="EG49" s="501">
        <f t="shared" si="747"/>
        <v>977.27269187021943</v>
      </c>
      <c r="EH49" s="499"/>
      <c r="EI49" s="502">
        <f t="shared" ref="EI49:EK50" si="808">EI6</f>
        <v>2173</v>
      </c>
      <c r="EJ49" s="583">
        <f t="shared" si="808"/>
        <v>1166</v>
      </c>
      <c r="EK49" s="583">
        <f t="shared" si="808"/>
        <v>371</v>
      </c>
      <c r="EL49" s="501">
        <f t="shared" si="749"/>
        <v>3710</v>
      </c>
      <c r="EM49" s="501">
        <f t="shared" si="750"/>
        <v>29607.726334560815</v>
      </c>
      <c r="EN49" s="502">
        <f>EG49+$EN$1</f>
        <v>1117.2726918702194</v>
      </c>
      <c r="EO49" s="502">
        <f>EO47</f>
        <v>50</v>
      </c>
      <c r="EP49" s="901">
        <f t="shared" si="751"/>
        <v>1167.2726918702194</v>
      </c>
      <c r="EQ49" s="499"/>
      <c r="ER49" s="901">
        <f t="shared" si="752"/>
        <v>617.38465703039833</v>
      </c>
      <c r="ES49" s="901">
        <f t="shared" si="753"/>
        <v>499.88803483982105</v>
      </c>
      <c r="ET49" s="901">
        <f t="shared" si="754"/>
        <v>50</v>
      </c>
      <c r="EU49" s="901">
        <f t="shared" si="755"/>
        <v>1167.2726918702194</v>
      </c>
      <c r="EV49" s="499"/>
      <c r="EW49" s="901">
        <f>SUM(DV49,EA49,DX49:DZ49)</f>
        <v>16360.693411305556</v>
      </c>
      <c r="EX49" s="901">
        <f>SUM(DW49,EB49,EC49,EI49:EK49)</f>
        <v>13247.032923255258</v>
      </c>
      <c r="EY49" s="901">
        <f t="shared" si="756"/>
        <v>1325</v>
      </c>
      <c r="EZ49" s="901">
        <f t="shared" ref="EZ49" si="809">SUM(EW49:EY49)</f>
        <v>30932.726334560815</v>
      </c>
      <c r="FA49" s="499"/>
      <c r="FB49" s="901">
        <f t="shared" ref="FB49:FB54" si="810">DV49/$EG$1</f>
        <v>596.2271836889156</v>
      </c>
      <c r="FC49" s="901">
        <f t="shared" ref="FC49:FC54" si="811">SUM(DX49:EA49)/$EG$1</f>
        <v>21.157473341482778</v>
      </c>
      <c r="FD49" s="901">
        <f>SUM(DW49,EB49,EC49:ED49)/$EG$1</f>
        <v>359.88803483982105</v>
      </c>
      <c r="FE49" s="901">
        <f t="shared" si="758"/>
        <v>140</v>
      </c>
      <c r="FF49" s="901">
        <f t="shared" si="759"/>
        <v>50</v>
      </c>
      <c r="FG49" s="901">
        <f t="shared" si="760"/>
        <v>1167.2726918702194</v>
      </c>
      <c r="FH49" s="902">
        <f t="shared" si="761"/>
        <v>0</v>
      </c>
      <c r="FI49" s="901">
        <f t="shared" si="762"/>
        <v>15800.020367756264</v>
      </c>
      <c r="FJ49" s="901">
        <f t="shared" si="763"/>
        <v>560.67304354929365</v>
      </c>
      <c r="FK49" s="901">
        <f t="shared" si="764"/>
        <v>9537.0329232552576</v>
      </c>
      <c r="FL49" s="901">
        <f t="shared" si="765"/>
        <v>3710</v>
      </c>
      <c r="FM49" s="901">
        <f t="shared" si="766"/>
        <v>1325</v>
      </c>
      <c r="FN49" s="901">
        <f t="shared" si="767"/>
        <v>30932.726334560815</v>
      </c>
      <c r="FO49" s="502">
        <f>FN49-EZ49</f>
        <v>0</v>
      </c>
      <c r="FP49" s="903">
        <f t="shared" ref="FP49:FP54" si="812">(FF49+FE49)/FG49</f>
        <v>0.16277259060655272</v>
      </c>
      <c r="FQ49" s="903">
        <f t="shared" si="768"/>
        <v>4.2834892264882296E-2</v>
      </c>
      <c r="FR49" s="499"/>
      <c r="FS49" s="901">
        <f>$FS$10-130</f>
        <v>1250</v>
      </c>
      <c r="FT49" s="502">
        <f t="shared" si="769"/>
        <v>272.72730812978057</v>
      </c>
      <c r="FU49" s="977">
        <f t="shared" si="770"/>
        <v>0.21818184650382447</v>
      </c>
      <c r="FV49" s="904">
        <f t="shared" si="771"/>
        <v>82.727308129780567</v>
      </c>
      <c r="FW49" s="281">
        <f t="shared" si="772"/>
        <v>6.6181846503824457E-2</v>
      </c>
      <c r="FX49" s="499"/>
      <c r="FY49" s="499" t="str">
        <f t="shared" si="157"/>
        <v>Hạt nhựa rPET WSS04SB</v>
      </c>
      <c r="FZ49" s="906"/>
      <c r="GA49" s="904"/>
      <c r="GB49" s="905"/>
      <c r="GC49" s="499"/>
      <c r="GD49" s="906"/>
      <c r="GE49" s="904"/>
      <c r="GF49" s="905"/>
      <c r="GG49" s="499"/>
      <c r="GH49" s="906"/>
      <c r="GI49" s="904"/>
      <c r="GJ49" s="905"/>
      <c r="GK49" s="499"/>
      <c r="GL49" s="906"/>
      <c r="GM49" s="797"/>
      <c r="GN49" s="296"/>
    </row>
    <row r="50" spans="11:196" ht="30.5" x14ac:dyDescent="0.35">
      <c r="K50" s="353"/>
      <c r="U50" s="341"/>
      <c r="V50" s="343"/>
      <c r="Z50" s="341"/>
      <c r="AA50" s="1010"/>
      <c r="AB50" s="1028"/>
      <c r="AC50" s="1014"/>
      <c r="AH50" s="391">
        <f>SUM(AH51:AH59)</f>
        <v>1.0147403373707136E-2</v>
      </c>
      <c r="AI50" s="563">
        <f>SUM(AI51:AI60)</f>
        <v>45.990237210778169</v>
      </c>
      <c r="AJ50" s="1028"/>
      <c r="AK50" s="1028"/>
      <c r="AS50" s="353"/>
      <c r="AT50" s="1057"/>
      <c r="AU50" s="1057"/>
      <c r="AW50" s="353"/>
      <c r="AX50" s="1017"/>
      <c r="AY50" s="1018"/>
      <c r="BA50" s="361"/>
      <c r="BB50" s="361"/>
      <c r="BC50" s="431"/>
      <c r="BD50" s="432"/>
      <c r="BE50" s="376"/>
      <c r="BF50" s="376"/>
      <c r="BG50" s="376"/>
      <c r="BH50" s="376"/>
      <c r="BI50" s="376"/>
      <c r="DQ50" s="500" t="str">
        <f>AX277</f>
        <v>30%  B1-A3/A2.2 MN + 15% B2.2-A3/A2 + 55% B6.2 Nạp Star/A2 + 5% Hạt WSS03G PL</v>
      </c>
      <c r="DR50" s="499"/>
      <c r="DT50" s="768" t="s">
        <v>872</v>
      </c>
      <c r="DU50" s="502">
        <f>(0.25*$DB$7+0.15*$DB$18+0.55*$DB$45+0*$DB$27+0*$DB$36+0.05*$DB$7)/$DS$48</f>
        <v>22018.860776157508</v>
      </c>
      <c r="DV50" s="502">
        <f>(0.25*$DC$7+0.15*$DC$18+0.55*$DC$45+0*$DC$27+0*$DC$36+0.05*$DC$7)/$DS$48</f>
        <v>15800.020367756264</v>
      </c>
      <c r="DW50" s="502">
        <f>(0.25*($DD$7+$DE$7+$DF$7)+0.15*($DD$18+$DE$18+$DF$18)+0*($DD$27+$DE$27+$DF$27)+0*($DD$36+$DE$36+$DF$36)+0.55*($DD$45+$DE$45+$DF$45)+0*($DD$7+$DE$7+$DF$7))/$DS$43</f>
        <v>9523.1681567874475</v>
      </c>
      <c r="DX50" s="501">
        <f>(0.25*$DG$7+0.15*$DG$18+0*$DG$27+0*$DG$36+0.55*$DG$45+0.05*$DG$7)/$DS$43</f>
        <v>-898.05767601053185</v>
      </c>
      <c r="DY50" s="501">
        <f>(0.25*$DH$7+0.15*$DH$18+0*$DH$27+0*$DH$36+0.55*$DH$45+0.05*$DH$7)/$DS$43</f>
        <v>-322.71736884389475</v>
      </c>
      <c r="DZ50" s="501">
        <f t="shared" ref="DZ50:EA50" si="813">DZ28</f>
        <v>-321.81131370545882</v>
      </c>
      <c r="EA50" s="501">
        <f t="shared" si="813"/>
        <v>2103.2594021091791</v>
      </c>
      <c r="EB50" s="502">
        <f>EB7</f>
        <v>2796.8565141477497</v>
      </c>
      <c r="EC50" s="502"/>
      <c r="ED50" s="502"/>
      <c r="EE50" s="502">
        <f t="shared" ref="EE50" si="814">SUM(DV50:ED50)</f>
        <v>28680.71808224075</v>
      </c>
      <c r="EF50" s="502">
        <f t="shared" ref="EF50" si="815">$EF$6</f>
        <v>23509.852491131598</v>
      </c>
      <c r="EG50" s="501">
        <f t="shared" ref="EG50" si="816">EE50/$EG$1</f>
        <v>1082.2912483864434</v>
      </c>
      <c r="EH50" s="499"/>
      <c r="EI50" s="502">
        <f t="shared" si="808"/>
        <v>2173</v>
      </c>
      <c r="EJ50" s="583">
        <f t="shared" si="808"/>
        <v>1166</v>
      </c>
      <c r="EK50" s="583">
        <f t="shared" si="808"/>
        <v>371</v>
      </c>
      <c r="EL50" s="501">
        <f t="shared" ref="EL50" si="817">SUM(EI50:EK50)</f>
        <v>3710</v>
      </c>
      <c r="EM50" s="501">
        <f t="shared" ref="EM50" si="818">EE50+EL50</f>
        <v>32390.71808224075</v>
      </c>
      <c r="EN50" s="502">
        <f>EG50+$EN$1</f>
        <v>1222.2912483864434</v>
      </c>
      <c r="EO50" s="502">
        <f>EO48</f>
        <v>50</v>
      </c>
      <c r="EP50" s="901">
        <f t="shared" ref="EP50" si="819">EN50+EO50</f>
        <v>1272.2912483864434</v>
      </c>
      <c r="EQ50" s="499"/>
      <c r="ER50" s="901">
        <f t="shared" ref="ER50" si="820">SUM(DV50,EA50,DX50:DZ50)/$EG$1</f>
        <v>617.38465703039833</v>
      </c>
      <c r="ES50" s="901">
        <f t="shared" ref="ES50" si="821">(SUM(DW50,EB50,EC50:ED50,EI50:EK50))/$EG$1</f>
        <v>604.90659135604517</v>
      </c>
      <c r="ET50" s="901">
        <f t="shared" ref="ET50" si="822">EO50</f>
        <v>50</v>
      </c>
      <c r="EU50" s="901">
        <f t="shared" ref="EU50" si="823">SUM(ER50:ET50)</f>
        <v>1272.2912483864434</v>
      </c>
      <c r="EV50" s="499"/>
      <c r="EW50" s="901">
        <f>SUM(DV50,EA50,DX50:DZ50)</f>
        <v>16360.693411305556</v>
      </c>
      <c r="EX50" s="901">
        <f>SUM(DW50,EB50,EC50,EI50:EK50)</f>
        <v>16030.024670935198</v>
      </c>
      <c r="EY50" s="901">
        <f t="shared" ref="EY50" si="824">EO50*$EG$1</f>
        <v>1325</v>
      </c>
      <c r="EZ50" s="901">
        <f t="shared" ref="EZ50" si="825">SUM(EW50:EY50)</f>
        <v>33715.718082240754</v>
      </c>
      <c r="FA50" s="499"/>
      <c r="FB50" s="901">
        <f t="shared" ref="FB50" si="826">DV50/$EG$1</f>
        <v>596.2271836889156</v>
      </c>
      <c r="FC50" s="901">
        <f t="shared" ref="FC50" si="827">SUM(DX50:EA50)/$EG$1</f>
        <v>21.157473341482778</v>
      </c>
      <c r="FD50" s="901">
        <f>SUM(DW50,EB50,EC50:ED50)/$EG$1</f>
        <v>464.90659135604517</v>
      </c>
      <c r="FE50" s="901">
        <f t="shared" ref="FE50" si="828">SUM(EI50:EK50)/$EG$1</f>
        <v>140</v>
      </c>
      <c r="FF50" s="901">
        <f t="shared" ref="FF50" si="829">ET50</f>
        <v>50</v>
      </c>
      <c r="FG50" s="901">
        <f t="shared" ref="FG50" si="830">SUM(FB50:FF50)</f>
        <v>1272.2912483864434</v>
      </c>
      <c r="FH50" s="902">
        <f t="shared" ref="FH50" si="831">FG50-EU50</f>
        <v>0</v>
      </c>
      <c r="FI50" s="901">
        <f t="shared" ref="FI50" si="832">DV50</f>
        <v>15800.020367756264</v>
      </c>
      <c r="FJ50" s="901">
        <f t="shared" ref="FJ50" si="833">SUM(DX50:EA50)</f>
        <v>560.67304354929365</v>
      </c>
      <c r="FK50" s="901">
        <f t="shared" ref="FK50" si="834">SUM(DW50,EB50,EC50)</f>
        <v>12320.024670935198</v>
      </c>
      <c r="FL50" s="901">
        <f t="shared" ref="FL50" si="835">SUM(EI50:EK50)</f>
        <v>3710</v>
      </c>
      <c r="FM50" s="901">
        <f t="shared" ref="FM50" si="836">EY50</f>
        <v>1325</v>
      </c>
      <c r="FN50" s="901">
        <f t="shared" ref="FN50" si="837">SUM(FI50:FM50)</f>
        <v>33715.718082240754</v>
      </c>
      <c r="FO50" s="502">
        <f>FN50-EZ50</f>
        <v>0</v>
      </c>
      <c r="FP50" s="963">
        <f t="shared" ref="FP50" si="838">(FF50+FE50)/FG50</f>
        <v>0.14933687568861573</v>
      </c>
      <c r="FQ50" s="963">
        <f t="shared" ref="FQ50" si="839">FF50/FG50</f>
        <v>3.9299177812793608E-2</v>
      </c>
      <c r="FR50" s="499"/>
      <c r="FS50" s="901">
        <f>FS49</f>
        <v>1250</v>
      </c>
      <c r="FT50" s="502">
        <f t="shared" ref="FT50" si="840">FS50-SUM(FB50:FD50)</f>
        <v>167.70875161355661</v>
      </c>
      <c r="FU50" s="978">
        <f t="shared" ref="FU50" si="841">FT50/FS50</f>
        <v>0.1341670012908453</v>
      </c>
      <c r="FV50" s="904">
        <f t="shared" ref="FV50" si="842">FS50-FG50</f>
        <v>-22.291248386443385</v>
      </c>
      <c r="FW50" s="985">
        <f t="shared" ref="FW50" si="843">FV50/FS50</f>
        <v>-1.783299870915471E-2</v>
      </c>
      <c r="FX50" s="499"/>
      <c r="FY50" s="499">
        <f t="shared" ref="FY50" si="844">DR50</f>
        <v>0</v>
      </c>
      <c r="FZ50" s="965"/>
      <c r="GA50" s="904"/>
      <c r="GB50" s="964"/>
      <c r="GC50" s="499"/>
      <c r="GD50" s="965"/>
      <c r="GE50" s="904"/>
      <c r="GF50" s="964"/>
      <c r="GG50" s="499"/>
      <c r="GH50" s="965"/>
      <c r="GI50" s="904"/>
      <c r="GJ50" s="964"/>
      <c r="GK50" s="499"/>
      <c r="GL50" s="965"/>
      <c r="GM50" s="797"/>
      <c r="GN50" s="959"/>
    </row>
    <row r="51" spans="11:196" x14ac:dyDescent="0.35">
      <c r="K51" s="353"/>
      <c r="U51" s="341"/>
      <c r="V51" s="343"/>
      <c r="Y51" s="453">
        <v>12000</v>
      </c>
      <c r="Z51" s="559">
        <v>8.8730000000000007E-3</v>
      </c>
      <c r="AA51" s="1009">
        <f>Y51*Z51</f>
        <v>106.47600000000001</v>
      </c>
      <c r="AB51" s="1080" t="s">
        <v>598</v>
      </c>
      <c r="AC51" s="1081"/>
      <c r="AG51" s="463">
        <f>AG33</f>
        <v>4500</v>
      </c>
      <c r="AH51" s="362">
        <v>1.9230707593885918E-3</v>
      </c>
      <c r="AI51" s="1009">
        <f>AG51*AH51</f>
        <v>8.6538184172486634</v>
      </c>
      <c r="AJ51" s="1015" t="s">
        <v>599</v>
      </c>
      <c r="AK51" s="1016"/>
      <c r="AM51" s="341"/>
      <c r="AS51" s="353"/>
      <c r="AT51" s="1057"/>
      <c r="AU51" s="1057"/>
      <c r="AW51" s="353"/>
      <c r="AX51" s="368"/>
      <c r="AY51" s="368"/>
      <c r="BA51" s="357">
        <v>5.3204095748025405E-3</v>
      </c>
      <c r="BB51" s="357"/>
      <c r="BC51" s="434" t="s">
        <v>600</v>
      </c>
      <c r="BD51" s="434"/>
      <c r="BE51" s="368"/>
      <c r="BF51" s="368"/>
      <c r="BG51" s="368"/>
      <c r="BH51" s="368"/>
      <c r="BI51" s="368"/>
      <c r="DQ51" s="500"/>
      <c r="DR51" s="499"/>
      <c r="DS51" s="926">
        <f>BA290</f>
        <v>0.69300000000000006</v>
      </c>
      <c r="DT51" s="768"/>
      <c r="DU51" s="501">
        <f>BZ14*0.95+BZ10*0.05</f>
        <v>18336.286279619013</v>
      </c>
      <c r="DV51" s="502"/>
      <c r="DW51" s="502"/>
      <c r="DX51" s="502"/>
      <c r="DY51" s="502"/>
      <c r="DZ51" s="502"/>
      <c r="EA51" s="502"/>
      <c r="EB51" s="502"/>
      <c r="EC51" s="502"/>
      <c r="ED51" s="502"/>
      <c r="EE51" s="502"/>
      <c r="EF51" s="474"/>
      <c r="EG51" s="501"/>
      <c r="EI51" s="502"/>
      <c r="EJ51" s="583"/>
      <c r="EK51" s="583"/>
      <c r="EL51" s="501"/>
      <c r="EM51" s="475"/>
      <c r="EN51" s="502"/>
      <c r="EO51" s="463"/>
      <c r="EP51" s="736"/>
      <c r="EQ51" s="471"/>
      <c r="ER51" s="736"/>
      <c r="ES51" s="736"/>
      <c r="ET51" s="736"/>
      <c r="EU51" s="736"/>
      <c r="EW51" s="736"/>
      <c r="EX51" s="736"/>
      <c r="EY51" s="736"/>
      <c r="EZ51" s="736"/>
      <c r="FB51" s="736"/>
      <c r="FC51" s="736"/>
      <c r="FD51" s="736"/>
      <c r="FE51" s="736"/>
      <c r="FF51" s="736"/>
      <c r="FG51" s="736"/>
      <c r="FH51" s="732"/>
      <c r="FI51" s="736"/>
      <c r="FJ51" s="736"/>
      <c r="FK51" s="736"/>
      <c r="FL51" s="736"/>
      <c r="FM51" s="736"/>
      <c r="FN51" s="736"/>
      <c r="FP51" s="958"/>
      <c r="FQ51" s="958"/>
      <c r="FS51" s="736"/>
      <c r="FT51" s="474"/>
      <c r="FU51" s="979"/>
      <c r="FV51" s="797"/>
      <c r="FW51" s="985"/>
      <c r="FZ51" s="966"/>
      <c r="GA51" s="797"/>
      <c r="GB51" s="959"/>
      <c r="GD51" s="966"/>
      <c r="GE51" s="797"/>
      <c r="GF51" s="959"/>
      <c r="GH51" s="966"/>
      <c r="GI51" s="797"/>
      <c r="GJ51" s="959"/>
      <c r="GL51" s="966"/>
      <c r="GM51" s="797"/>
      <c r="GN51" s="959"/>
    </row>
    <row r="52" spans="11:196" x14ac:dyDescent="0.35">
      <c r="K52" s="353"/>
      <c r="U52" s="341"/>
      <c r="V52" s="343"/>
      <c r="Z52" s="350"/>
      <c r="AA52" s="1010"/>
      <c r="AB52" s="1082"/>
      <c r="AC52" s="1083"/>
      <c r="AH52" s="343"/>
      <c r="AI52" s="1010"/>
      <c r="AJ52" s="1017"/>
      <c r="AK52" s="1018"/>
      <c r="AM52" s="341"/>
      <c r="AS52" s="353"/>
      <c r="AT52" s="1057"/>
      <c r="AU52" s="1057"/>
      <c r="AW52" s="353"/>
      <c r="AX52" s="368"/>
      <c r="AY52" s="368"/>
      <c r="AZ52" s="463">
        <f>AZ49-AZ53</f>
        <v>574.46255366737023</v>
      </c>
      <c r="BA52" s="361"/>
      <c r="BB52" s="361"/>
      <c r="BC52" s="434"/>
      <c r="BD52" s="434"/>
      <c r="BE52" s="368"/>
      <c r="BF52" s="368"/>
      <c r="BG52" s="368"/>
      <c r="BH52" s="368"/>
      <c r="BI52" s="368"/>
      <c r="DP52" s="921" t="str">
        <f>AT293</f>
        <v>Tạo hạt WSS04SB</v>
      </c>
      <c r="DQ52" s="909" t="s">
        <v>680</v>
      </c>
      <c r="DR52" s="908" t="str">
        <f>BC291</f>
        <v>Hạt nhựa rPET WSS04SB</v>
      </c>
      <c r="DS52" s="764"/>
      <c r="DT52" s="773" t="s">
        <v>871</v>
      </c>
      <c r="DU52" s="931">
        <f>AZ290</f>
        <v>29040.748556144237</v>
      </c>
      <c r="DV52" s="932">
        <f>(0*$DC$6+0*$DC$17+0.95*$DC$44+0.05*$DC$26+0*$DC$35+0*$DC$6)/$DS$51</f>
        <v>20646.248144510464</v>
      </c>
      <c r="DW52" s="932">
        <f>(0*($DD$6+$DE$6+$DF$6)+0*($DD$17+$DE$17+$DF$17)+0.05*($DD$26+$DE$26+$DF$26)+0*($DD$35+$DE$35+$DF$35)+0.95*($DD$44+$DE$44+$DF$44)+0*($DD$6+$DE$6+$DF$6))/$DS$51</f>
        <v>10014.351059073868</v>
      </c>
      <c r="DX52" s="931">
        <f>(0*$DG$6+0*$DG$17+0.05*$DG$26+0.95*$DG$44+0*$DG$6)/$DS$51</f>
        <v>-1221.5289802789798</v>
      </c>
      <c r="DY52" s="931">
        <f>(0*$DH$6+0*$DH$17+0.05*$DH$26+0.95*$DH$44+0*$DH$6)/$DS$51</f>
        <v>-485.97883597883589</v>
      </c>
      <c r="DZ52" s="931">
        <f t="shared" ref="DZ52:EA56" si="845">DZ30</f>
        <v>-321.81131370545882</v>
      </c>
      <c r="EA52" s="931">
        <f t="shared" si="845"/>
        <v>2048.8647623994589</v>
      </c>
      <c r="EB52" s="932">
        <f>EB6</f>
        <v>2000.939404729972</v>
      </c>
      <c r="EC52" s="932">
        <f>EC6</f>
        <v>0</v>
      </c>
      <c r="ED52" s="932"/>
      <c r="EE52" s="951">
        <f t="shared" si="573"/>
        <v>32681.084240750486</v>
      </c>
      <c r="EF52" s="932">
        <f t="shared" ref="EF52" si="846">$EF$6</f>
        <v>23509.852491131598</v>
      </c>
      <c r="EG52" s="950">
        <f t="shared" si="747"/>
        <v>1233.2484619151128</v>
      </c>
      <c r="EH52" s="908"/>
      <c r="EI52" s="932">
        <f t="shared" ref="EI52:EK53" si="847">EI6</f>
        <v>2173</v>
      </c>
      <c r="EJ52" s="943">
        <f t="shared" si="847"/>
        <v>1166</v>
      </c>
      <c r="EK52" s="943">
        <f t="shared" si="847"/>
        <v>371</v>
      </c>
      <c r="EL52" s="931">
        <f t="shared" si="749"/>
        <v>3710</v>
      </c>
      <c r="EM52" s="931">
        <f t="shared" si="750"/>
        <v>36391.084240750482</v>
      </c>
      <c r="EN52" s="951">
        <f>EG52+$EN$1</f>
        <v>1373.2484619151128</v>
      </c>
      <c r="EO52" s="932">
        <f>EO47</f>
        <v>50</v>
      </c>
      <c r="EP52" s="944">
        <f t="shared" si="751"/>
        <v>1423.2484619151128</v>
      </c>
      <c r="EQ52" s="908"/>
      <c r="ER52" s="944">
        <f t="shared" si="752"/>
        <v>779.84127460176012</v>
      </c>
      <c r="ES52" s="944">
        <f t="shared" si="753"/>
        <v>593.40718731335244</v>
      </c>
      <c r="ET52" s="944">
        <f t="shared" si="754"/>
        <v>50</v>
      </c>
      <c r="EU52" s="950">
        <f t="shared" si="755"/>
        <v>1423.2484619151126</v>
      </c>
      <c r="EV52" s="908"/>
      <c r="EW52" s="944">
        <f>SUM(DV52,EA52,DX52:DZ52)</f>
        <v>20665.793776946644</v>
      </c>
      <c r="EX52" s="944">
        <f>SUM(DW52,EB52,EC52,EI52:EK52)</f>
        <v>15725.29046380384</v>
      </c>
      <c r="EY52" s="944">
        <f t="shared" si="756"/>
        <v>1325</v>
      </c>
      <c r="EZ52" s="950">
        <f t="shared" ref="EZ52" si="848">SUM(EW52:EY52)</f>
        <v>37716.084240750482</v>
      </c>
      <c r="FA52" s="908"/>
      <c r="FB52" s="944">
        <f t="shared" si="810"/>
        <v>779.10370356643261</v>
      </c>
      <c r="FC52" s="944">
        <f t="shared" si="811"/>
        <v>0.7375710353277134</v>
      </c>
      <c r="FD52" s="944">
        <f>SUM(DW52,EB52,EC52:ED52)/$EG$1</f>
        <v>453.40718731335244</v>
      </c>
      <c r="FE52" s="944">
        <f t="shared" si="758"/>
        <v>140</v>
      </c>
      <c r="FF52" s="944">
        <f t="shared" si="759"/>
        <v>50</v>
      </c>
      <c r="FG52" s="950">
        <f t="shared" si="760"/>
        <v>1423.2484619151128</v>
      </c>
      <c r="FH52" s="945">
        <f t="shared" si="761"/>
        <v>0</v>
      </c>
      <c r="FI52" s="944">
        <f t="shared" si="762"/>
        <v>20646.248144510464</v>
      </c>
      <c r="FJ52" s="944">
        <f t="shared" si="763"/>
        <v>19.545632436184405</v>
      </c>
      <c r="FK52" s="944">
        <f t="shared" si="764"/>
        <v>12015.29046380384</v>
      </c>
      <c r="FL52" s="944">
        <f t="shared" si="765"/>
        <v>3710</v>
      </c>
      <c r="FM52" s="944">
        <f t="shared" si="766"/>
        <v>1325</v>
      </c>
      <c r="FN52" s="950">
        <f t="shared" si="767"/>
        <v>37716.08424075049</v>
      </c>
      <c r="FO52" s="932">
        <f>FN52-EZ52</f>
        <v>0</v>
      </c>
      <c r="FP52" s="946">
        <f t="shared" si="812"/>
        <v>0.13349742162681658</v>
      </c>
      <c r="FQ52" s="946">
        <f t="shared" si="768"/>
        <v>3.5130900428109624E-2</v>
      </c>
      <c r="FR52" s="908"/>
      <c r="FS52" s="950">
        <f>$FS$10-130</f>
        <v>1250</v>
      </c>
      <c r="FT52" s="932">
        <f t="shared" si="769"/>
        <v>16.751538084887216</v>
      </c>
      <c r="FU52" s="980">
        <f t="shared" si="770"/>
        <v>1.3401230467909772E-2</v>
      </c>
      <c r="FV52" s="947">
        <f t="shared" si="771"/>
        <v>-173.24846191511278</v>
      </c>
      <c r="FW52" s="281">
        <f t="shared" si="772"/>
        <v>-0.13859876953209022</v>
      </c>
      <c r="FX52" s="908"/>
      <c r="FY52" s="908" t="str">
        <f t="shared" si="157"/>
        <v>Hạt nhựa rPET WSS04SB</v>
      </c>
      <c r="FZ52" s="949"/>
      <c r="GA52" s="947"/>
      <c r="GB52" s="948"/>
      <c r="GC52" s="908"/>
      <c r="GD52" s="949"/>
      <c r="GE52" s="947"/>
      <c r="GF52" s="948"/>
      <c r="GG52" s="908"/>
      <c r="GH52" s="949"/>
      <c r="GI52" s="947"/>
      <c r="GJ52" s="948"/>
      <c r="GK52" s="908"/>
      <c r="GL52" s="949"/>
      <c r="GM52" s="947"/>
      <c r="GN52" s="948"/>
    </row>
    <row r="53" spans="11:196" ht="15" customHeight="1" x14ac:dyDescent="0.35">
      <c r="K53" s="353"/>
      <c r="U53" s="341"/>
      <c r="V53" s="343"/>
      <c r="Y53" s="463">
        <f>Y15</f>
        <v>2000</v>
      </c>
      <c r="Z53" s="350">
        <v>1.4863671985386871E-2</v>
      </c>
      <c r="AA53" s="1009">
        <f>Y53*Z53</f>
        <v>29.727343970773742</v>
      </c>
      <c r="AB53" s="1023" t="s">
        <v>568</v>
      </c>
      <c r="AC53" s="1024"/>
      <c r="AG53" s="463">
        <f>Y84</f>
        <v>6000</v>
      </c>
      <c r="AH53" s="350">
        <v>1.9230707593885918E-3</v>
      </c>
      <c r="AI53" s="1009">
        <f>AG53*AH53</f>
        <v>11.538424556331551</v>
      </c>
      <c r="AJ53" s="1023" t="s">
        <v>601</v>
      </c>
      <c r="AK53" s="1024"/>
      <c r="AM53" s="341"/>
      <c r="AS53" s="353"/>
      <c r="AT53" s="1057"/>
      <c r="AU53" s="1057"/>
      <c r="AW53" s="353"/>
      <c r="AX53" s="378"/>
      <c r="AY53" s="378"/>
      <c r="AZ53" s="467">
        <f>$AZ$46/$BB$46*BB53</f>
        <v>21638.089521470931</v>
      </c>
      <c r="BA53" s="357">
        <v>0</v>
      </c>
      <c r="BB53" s="450">
        <f>BB13</f>
        <v>1.036697247706422</v>
      </c>
      <c r="BC53" s="434" t="s">
        <v>590</v>
      </c>
      <c r="BD53" s="434"/>
      <c r="BE53" s="378"/>
      <c r="BF53" s="378"/>
      <c r="BG53" s="378"/>
      <c r="BH53" s="378"/>
      <c r="BI53" s="378"/>
      <c r="DP53" s="908"/>
      <c r="DQ53" s="910" t="str">
        <f>AX293</f>
        <v xml:space="preserve">100%  B1.1-A2.2 DT </v>
      </c>
      <c r="DR53" s="908"/>
      <c r="DS53" s="926">
        <f>BA305</f>
        <v>0.95058803508799916</v>
      </c>
      <c r="DT53" s="768" t="s">
        <v>872</v>
      </c>
      <c r="DU53" s="932">
        <f>(0*$DB$7+0*$DB$18+0.95*$DB$45+0.05*$DB$27+0*$DB$36+0*$DB$7)/$DS$51</f>
        <v>28772.549203272582</v>
      </c>
      <c r="DV53" s="932">
        <f>(0*$DC$7+0*$DC$18+0.95*$DC$45+0.05*$DC$27+0*$DC$36+0*$DC$7)/$DS$51</f>
        <v>20646.248144510464</v>
      </c>
      <c r="DW53" s="932">
        <f>(0*($DD$7+$DE$7+$DF$7)+0*($DD$18+$DE$18+$DF$18)+0.05*($DD$27+$DE$27+$DF$27)+0*($DD$36+$DE$36+$DF$36)+0.95*($DD$45+$DE$45+$DF$45)+0*($DD$7+$DE$7+$DF$7))/$DS$51</f>
        <v>12279.209426207823</v>
      </c>
      <c r="DX53" s="931">
        <f>(0*$DG$7+0*$DG$18+0.05*$DG$27+0.95*$DG$45+0*$DG$7)/$DS$51</f>
        <v>-1221.5289802789798</v>
      </c>
      <c r="DY53" s="931">
        <f>(0*$DH$7+0*$DH$18+0.05*$DH$27+0.95*$DH$45+0*$DH$7)/$DS$51</f>
        <v>-485.97883597883589</v>
      </c>
      <c r="DZ53" s="931">
        <f t="shared" si="845"/>
        <v>-321.81131370545882</v>
      </c>
      <c r="EA53" s="931">
        <f t="shared" ref="EA53" si="849">EA31</f>
        <v>2048.8647623994589</v>
      </c>
      <c r="EB53" s="932">
        <f>EB7</f>
        <v>2796.8565141477497</v>
      </c>
      <c r="EC53" s="932"/>
      <c r="ED53" s="932"/>
      <c r="EE53" s="932">
        <f t="shared" ref="EE53" si="850">SUM(DV53:ED53)</f>
        <v>35741.859717302228</v>
      </c>
      <c r="EF53" s="932"/>
      <c r="EG53" s="931">
        <f t="shared" ref="EG53" si="851">EE53/$EG$1</f>
        <v>1348.7494232944237</v>
      </c>
      <c r="EH53" s="908"/>
      <c r="EI53" s="932">
        <f t="shared" si="847"/>
        <v>2173</v>
      </c>
      <c r="EJ53" s="943">
        <f t="shared" si="847"/>
        <v>1166</v>
      </c>
      <c r="EK53" s="943">
        <f t="shared" si="847"/>
        <v>371</v>
      </c>
      <c r="EL53" s="931">
        <f t="shared" ref="EL53" si="852">SUM(EI53:EK53)</f>
        <v>3710</v>
      </c>
      <c r="EM53" s="931">
        <f t="shared" ref="EM53" si="853">EE53+EL53</f>
        <v>39451.859717302228</v>
      </c>
      <c r="EN53" s="932">
        <f>EG53+$EN$1</f>
        <v>1488.7494232944237</v>
      </c>
      <c r="EO53" s="932">
        <f>EO48</f>
        <v>50</v>
      </c>
      <c r="EP53" s="944">
        <f t="shared" ref="EP53" si="854">EN53+EO53</f>
        <v>1538.7494232944237</v>
      </c>
      <c r="EQ53" s="908"/>
      <c r="ER53" s="944">
        <f t="shared" ref="ER53" si="855">SUM(DV53,EA53,DX53:DZ53)/$EG$1</f>
        <v>779.84127460176012</v>
      </c>
      <c r="ES53" s="944">
        <f t="shared" ref="ES53" si="856">(SUM(DW53,EB53,EC53:ED53,EI53:EK53))/$EG$1</f>
        <v>708.90814869266308</v>
      </c>
      <c r="ET53" s="944">
        <f t="shared" ref="ET53" si="857">EO53</f>
        <v>50</v>
      </c>
      <c r="EU53" s="944">
        <f t="shared" ref="EU53" si="858">SUM(ER53:ET53)</f>
        <v>1538.7494232944232</v>
      </c>
      <c r="EV53" s="908"/>
      <c r="EW53" s="944">
        <f>SUM(DV53,EA53,DX53:DZ53)</f>
        <v>20665.793776946644</v>
      </c>
      <c r="EX53" s="944">
        <f>SUM(DW53,EB53,EC53,EI53:EK53)</f>
        <v>18786.065940355573</v>
      </c>
      <c r="EY53" s="944">
        <f t="shared" ref="EY53" si="859">EO53*$EG$1</f>
        <v>1325</v>
      </c>
      <c r="EZ53" s="944">
        <f t="shared" ref="EZ53" si="860">SUM(EW53:EY53)</f>
        <v>40776.859717302214</v>
      </c>
      <c r="FA53" s="908"/>
      <c r="FB53" s="944">
        <f t="shared" ref="FB53" si="861">DV53/$EG$1</f>
        <v>779.10370356643261</v>
      </c>
      <c r="FC53" s="944">
        <f t="shared" ref="FC53" si="862">SUM(DX53:EA53)/$EG$1</f>
        <v>0.7375710353277134</v>
      </c>
      <c r="FD53" s="944">
        <f>SUM(DW53,EB53,EC53:ED53)/$EG$1</f>
        <v>568.90814869266308</v>
      </c>
      <c r="FE53" s="944">
        <f t="shared" ref="FE53" si="863">SUM(EI53:EK53)/$EG$1</f>
        <v>140</v>
      </c>
      <c r="FF53" s="944">
        <f t="shared" ref="FF53" si="864">ET53</f>
        <v>50</v>
      </c>
      <c r="FG53" s="944">
        <f t="shared" ref="FG53" si="865">SUM(FB53:FF53)</f>
        <v>1538.7494232944234</v>
      </c>
      <c r="FH53" s="945">
        <f t="shared" ref="FH53" si="866">FG53-EU53</f>
        <v>0</v>
      </c>
      <c r="FI53" s="944">
        <f t="shared" ref="FI53" si="867">DV53</f>
        <v>20646.248144510464</v>
      </c>
      <c r="FJ53" s="944">
        <f t="shared" ref="FJ53" si="868">SUM(DX53:EA53)</f>
        <v>19.545632436184405</v>
      </c>
      <c r="FK53" s="944">
        <f t="shared" ref="FK53" si="869">SUM(DW53,EB53,EC53)</f>
        <v>15076.065940355573</v>
      </c>
      <c r="FL53" s="944">
        <f t="shared" ref="FL53" si="870">SUM(EI53:EK53)</f>
        <v>3710</v>
      </c>
      <c r="FM53" s="944">
        <f t="shared" ref="FM53" si="871">EY53</f>
        <v>1325</v>
      </c>
      <c r="FN53" s="944">
        <f t="shared" ref="FN53" si="872">SUM(FI53:FM53)</f>
        <v>40776.859717302221</v>
      </c>
      <c r="FO53" s="932">
        <f>FN53-EZ53</f>
        <v>0</v>
      </c>
      <c r="FP53" s="967">
        <f t="shared" ref="FP53" si="873">(FF53+FE53)/FG53</f>
        <v>0.12347689436868468</v>
      </c>
      <c r="FQ53" s="967">
        <f t="shared" ref="FQ53" si="874">FF53/FG53</f>
        <v>3.2493919570706499E-2</v>
      </c>
      <c r="FR53" s="908"/>
      <c r="FS53" s="944">
        <f>FS52</f>
        <v>1250</v>
      </c>
      <c r="FT53" s="932">
        <f t="shared" ref="FT53" si="875">FS53-SUM(FB53:FD53)</f>
        <v>-98.749423294423423</v>
      </c>
      <c r="FU53" s="981">
        <f t="shared" ref="FU53" si="876">FT53/FS53</f>
        <v>-7.8999538635538741E-2</v>
      </c>
      <c r="FV53" s="947">
        <f t="shared" ref="FV53" si="877">FS53-FG53</f>
        <v>-288.74942329442342</v>
      </c>
      <c r="FW53" s="985">
        <f t="shared" ref="FW53" si="878">FV53/FS53</f>
        <v>-0.23099953863553874</v>
      </c>
      <c r="FX53" s="908"/>
      <c r="FY53" s="908">
        <f t="shared" ref="FY53" si="879">DR53</f>
        <v>0</v>
      </c>
      <c r="FZ53" s="969"/>
      <c r="GA53" s="947"/>
      <c r="GB53" s="968"/>
      <c r="GC53" s="908"/>
      <c r="GD53" s="969"/>
      <c r="GE53" s="947"/>
      <c r="GF53" s="968"/>
      <c r="GG53" s="908"/>
      <c r="GH53" s="969"/>
      <c r="GI53" s="947"/>
      <c r="GJ53" s="908"/>
      <c r="GK53" s="908"/>
      <c r="GL53" s="969"/>
      <c r="GM53" s="947"/>
      <c r="GN53" s="908"/>
    </row>
    <row r="54" spans="11:196" ht="19" customHeight="1" x14ac:dyDescent="0.35">
      <c r="K54" s="353"/>
      <c r="U54" s="341"/>
      <c r="V54" s="343"/>
      <c r="Z54" s="350"/>
      <c r="AA54" s="1010"/>
      <c r="AB54" s="1025"/>
      <c r="AC54" s="1026"/>
      <c r="AH54" s="343"/>
      <c r="AI54" s="1010"/>
      <c r="AJ54" s="1025"/>
      <c r="AK54" s="1026"/>
      <c r="AM54" s="341"/>
      <c r="AS54" s="353"/>
      <c r="AT54" s="1057"/>
      <c r="AU54" s="1057"/>
      <c r="AW54" s="353"/>
      <c r="AX54" s="378"/>
      <c r="AY54" s="378"/>
      <c r="BA54" s="361"/>
      <c r="BB54" s="361"/>
      <c r="BC54" s="434"/>
      <c r="BD54" s="434"/>
      <c r="BE54" s="378"/>
      <c r="BF54" s="378"/>
      <c r="BG54" s="378"/>
      <c r="BH54" s="378"/>
      <c r="BI54" s="378"/>
      <c r="DP54" s="908" t="s">
        <v>716</v>
      </c>
      <c r="DQ54" s="909" t="s">
        <v>563</v>
      </c>
      <c r="DR54" s="908" t="str">
        <f>BC306</f>
        <v>Hạt nhựa rPET WSS04SB</v>
      </c>
      <c r="DS54" s="925"/>
      <c r="DT54" s="773" t="s">
        <v>871</v>
      </c>
      <c r="DU54" s="931">
        <f>AZ305</f>
        <v>21962.69195816743</v>
      </c>
      <c r="DV54" s="932">
        <f>(0.7*$DC$6+0*$DC$17+0*$DC$26+0*$DC$35+0.3*$DC$44+0*$DC$6)/$DS$53</f>
        <v>15759.715445657979</v>
      </c>
      <c r="DW54" s="932">
        <f>(0.7*($DD$6+$DE$6+$DF$6)+0*($DD$17+$DE$17+$DF$17)+0*($DD$26+$DE$26+$DF$26)+0*($DD$35+$DE$35+$DF$35)+0.3*($DD$44+$DE$44+$DF$44)+0*($DD$6+$DE$6+$DF$6))/$DS$53</f>
        <v>7466.4718395601194</v>
      </c>
      <c r="DX54" s="931">
        <f>(0.7*$DG$6+0*$DG$17+0*$DG$26+0.3*$DG$44+0*$DG$6)/$DS$53</f>
        <v>-785.45381595612866</v>
      </c>
      <c r="DY54" s="931">
        <f>(0.7*$DH$6+0*$DH$17+0*$DH$26+0.3*$DH$44+0*$DH$6)/$DS$53</f>
        <v>-334.93180177480247</v>
      </c>
      <c r="DZ54" s="931">
        <f t="shared" si="845"/>
        <v>-321.81131370545882</v>
      </c>
      <c r="EA54" s="931">
        <f t="shared" ref="EA54" si="880">EA32</f>
        <v>2103.2594021091791</v>
      </c>
      <c r="EB54" s="932">
        <f>EB6</f>
        <v>2000.939404729972</v>
      </c>
      <c r="EC54" s="932">
        <f>EC6</f>
        <v>0</v>
      </c>
      <c r="ED54" s="932"/>
      <c r="EE54" s="950">
        <f t="shared" si="573"/>
        <v>25888.189160620859</v>
      </c>
      <c r="EF54" s="932">
        <f t="shared" ref="EF54" si="881">$EF$6</f>
        <v>23509.852491131598</v>
      </c>
      <c r="EG54" s="950">
        <f>EE54/$EG$1</f>
        <v>976.91279851399463</v>
      </c>
      <c r="EH54" s="908"/>
      <c r="EI54" s="932">
        <f>EI6</f>
        <v>2173</v>
      </c>
      <c r="EJ54" s="932">
        <f>EJ6</f>
        <v>1166</v>
      </c>
      <c r="EK54" s="932">
        <f>EK6</f>
        <v>371</v>
      </c>
      <c r="EL54" s="931">
        <f>SUM(EI54:EK54)</f>
        <v>3710</v>
      </c>
      <c r="EM54" s="931">
        <f t="shared" si="750"/>
        <v>29598.189160620859</v>
      </c>
      <c r="EN54" s="951">
        <f>EG54+$EN$1</f>
        <v>1116.9127985139946</v>
      </c>
      <c r="EO54" s="932">
        <f>EO49</f>
        <v>50</v>
      </c>
      <c r="EP54" s="944">
        <f t="shared" si="751"/>
        <v>1166.9127985139946</v>
      </c>
      <c r="EQ54" s="908"/>
      <c r="ER54" s="944">
        <f t="shared" si="752"/>
        <v>619.65199684267066</v>
      </c>
      <c r="ES54" s="944">
        <f t="shared" si="753"/>
        <v>497.2608016713242</v>
      </c>
      <c r="ET54" s="944">
        <f t="shared" si="754"/>
        <v>50</v>
      </c>
      <c r="EU54" s="950">
        <f t="shared" si="755"/>
        <v>1166.9127985139949</v>
      </c>
      <c r="EV54" s="908"/>
      <c r="EW54" s="944">
        <f>SUM(DV54,EA54,DX54:DZ54)</f>
        <v>16420.777916330771</v>
      </c>
      <c r="EX54" s="944">
        <f>SUM(DW54,EB54,EC54,EI54:EK54)</f>
        <v>13177.411244290091</v>
      </c>
      <c r="EY54" s="944">
        <f t="shared" si="756"/>
        <v>1325</v>
      </c>
      <c r="EZ54" s="950">
        <f t="shared" ref="EZ54:EZ57" si="882">SUM(EW54:EY54)</f>
        <v>30923.189160620863</v>
      </c>
      <c r="FA54" s="908"/>
      <c r="FB54" s="944">
        <f t="shared" si="810"/>
        <v>594.70624323237655</v>
      </c>
      <c r="FC54" s="944">
        <f t="shared" si="811"/>
        <v>24.945753610293924</v>
      </c>
      <c r="FD54" s="944">
        <f>SUM(DW54,EB54,EC54:ED54)/$EG$1</f>
        <v>357.2608016713242</v>
      </c>
      <c r="FE54" s="944">
        <f t="shared" si="758"/>
        <v>140</v>
      </c>
      <c r="FF54" s="944">
        <f t="shared" si="759"/>
        <v>50</v>
      </c>
      <c r="FG54" s="950">
        <f t="shared" si="760"/>
        <v>1166.9127985139946</v>
      </c>
      <c r="FH54" s="945">
        <f t="shared" si="761"/>
        <v>0</v>
      </c>
      <c r="FI54" s="944">
        <f t="shared" si="762"/>
        <v>15759.715445657979</v>
      </c>
      <c r="FJ54" s="944">
        <f t="shared" si="763"/>
        <v>661.062470672789</v>
      </c>
      <c r="FK54" s="944">
        <f t="shared" si="764"/>
        <v>9467.4112442900914</v>
      </c>
      <c r="FL54" s="944">
        <f t="shared" si="765"/>
        <v>3710</v>
      </c>
      <c r="FM54" s="944">
        <f t="shared" si="766"/>
        <v>1325</v>
      </c>
      <c r="FN54" s="950">
        <f t="shared" si="767"/>
        <v>30923.189160620859</v>
      </c>
      <c r="FO54" s="932">
        <f>FN54-EZ54</f>
        <v>0</v>
      </c>
      <c r="FP54" s="946">
        <f t="shared" si="812"/>
        <v>0.16282279210747841</v>
      </c>
      <c r="FQ54" s="946">
        <f t="shared" si="768"/>
        <v>4.2848103186178529E-2</v>
      </c>
      <c r="FR54" s="908"/>
      <c r="FS54" s="950">
        <f>FS52</f>
        <v>1250</v>
      </c>
      <c r="FT54" s="932">
        <f t="shared" si="769"/>
        <v>273.08720148600537</v>
      </c>
      <c r="FU54" s="980">
        <f t="shared" si="770"/>
        <v>0.21846976118880429</v>
      </c>
      <c r="FV54" s="947">
        <f t="shared" si="771"/>
        <v>83.08720148600537</v>
      </c>
      <c r="FW54" s="281">
        <f t="shared" si="772"/>
        <v>6.6469761188804294E-2</v>
      </c>
      <c r="FX54" s="908"/>
      <c r="FY54" s="908" t="str">
        <f t="shared" si="157"/>
        <v>Hạt nhựa rPET WSS04SB</v>
      </c>
      <c r="FZ54" s="949"/>
      <c r="GA54" s="947"/>
      <c r="GB54" s="948"/>
      <c r="GC54" s="908"/>
      <c r="GD54" s="949"/>
      <c r="GE54" s="947"/>
      <c r="GF54" s="948"/>
      <c r="GG54" s="908"/>
      <c r="GH54" s="949"/>
      <c r="GI54" s="947"/>
      <c r="GJ54" s="948"/>
      <c r="GK54" s="908"/>
      <c r="GL54" s="949"/>
      <c r="GM54" s="947"/>
      <c r="GN54" s="948"/>
    </row>
    <row r="55" spans="11:196" ht="15" customHeight="1" x14ac:dyDescent="0.35">
      <c r="K55" s="353"/>
      <c r="U55" s="341"/>
      <c r="V55" s="343"/>
      <c r="Y55" s="463">
        <f>Y19</f>
        <v>7000</v>
      </c>
      <c r="Z55" s="350">
        <v>1.6055212918750891E-2</v>
      </c>
      <c r="AA55" s="1009">
        <f>Y55*Z55</f>
        <v>112.38649043125623</v>
      </c>
      <c r="AB55" s="1027" t="s">
        <v>572</v>
      </c>
      <c r="AC55" s="1012"/>
      <c r="AG55" s="463">
        <f>AG21</f>
        <v>8000</v>
      </c>
      <c r="AH55" s="350">
        <v>1.9230707593885918E-3</v>
      </c>
      <c r="AI55" s="1009">
        <f>AG55*AH55</f>
        <v>15.384566075108735</v>
      </c>
      <c r="AJ55" s="1011" t="s">
        <v>575</v>
      </c>
      <c r="AK55" s="1012"/>
      <c r="AM55" s="341"/>
      <c r="AS55" s="353"/>
      <c r="AT55" s="1057"/>
      <c r="AU55" s="1057"/>
      <c r="AW55" s="353"/>
      <c r="BA55" s="357"/>
      <c r="BB55" s="350"/>
      <c r="BC55" s="368"/>
      <c r="BD55" s="368"/>
      <c r="DP55" s="908"/>
      <c r="DQ55" s="910" t="str">
        <f>AX308</f>
        <v>70%  B1-A3 DT/MN +30% B6.2-A2/A3.1</v>
      </c>
      <c r="DR55" s="908"/>
      <c r="DS55" s="926">
        <f>BA321</f>
        <v>0.86899999999999999</v>
      </c>
      <c r="DT55" s="768" t="s">
        <v>872</v>
      </c>
      <c r="DU55" s="932">
        <f>(0.7*$DB$7+0*$DB$18+0*$DB$27+0*$DB$36+0.3*$DB$45+0*$DB$7)/$DS$53</f>
        <v>21962.69195816743</v>
      </c>
      <c r="DV55" s="932">
        <f>(0.7*$DC$7+0*$DC$18+0*$DC$27+0*$DC$36+0.3*$DC$45+0*$DC$7)/$DS$53</f>
        <v>15759.715445657979</v>
      </c>
      <c r="DW55" s="932">
        <f>(0.7*($DD$7+$DE$7+$DF$7)+0*($DD$18+$DE$18+$DF$18)+0*($DD$27+$DE$27+$DF$27)+0*($DD$36+$DE$36+$DF$36)+0.3*($DD$45+$DE$45+$DF$45)+0*($DD$7+$DE$7+$DF$7))/$DS$53</f>
        <v>9593.96073728591</v>
      </c>
      <c r="DX55" s="931">
        <f>(0.7*$DG$7+0*$DG$18+0*$DG$27+0.3*$DG$45+0*$DG$7)/$DS$53</f>
        <v>-785.45381595612866</v>
      </c>
      <c r="DY55" s="931">
        <f>(0.7*$DH$7+0*$DH$18+0*$DH$27+0.3*$DH$45+0*$DH$7)/$DS$53</f>
        <v>-334.93180177480247</v>
      </c>
      <c r="DZ55" s="931">
        <f t="shared" si="845"/>
        <v>-321.81131370545882</v>
      </c>
      <c r="EA55" s="931">
        <f t="shared" ref="EA55" si="883">EA33</f>
        <v>2103.2594021091791</v>
      </c>
      <c r="EB55" s="932">
        <f>EB7</f>
        <v>2796.8565141477497</v>
      </c>
      <c r="EC55" s="908"/>
      <c r="ED55" s="908"/>
      <c r="EE55" s="932">
        <f t="shared" ref="EE55:EE57" si="884">SUM(DV55:ED55)</f>
        <v>28811.59516776443</v>
      </c>
      <c r="EF55" s="932"/>
      <c r="EG55" s="931">
        <f t="shared" ref="EG55:EG57" si="885">EE55/$EG$1</f>
        <v>1087.2300063307332</v>
      </c>
      <c r="EH55" s="908"/>
      <c r="EI55" s="932">
        <f t="shared" ref="EI55:EK55" si="886">EI9</f>
        <v>2173</v>
      </c>
      <c r="EJ55" s="943">
        <f t="shared" si="886"/>
        <v>1166</v>
      </c>
      <c r="EK55" s="943">
        <f t="shared" si="886"/>
        <v>371</v>
      </c>
      <c r="EL55" s="931">
        <f t="shared" ref="EL55:EL57" si="887">SUM(EI55:EK55)</f>
        <v>3710</v>
      </c>
      <c r="EM55" s="931">
        <f t="shared" ref="EM55:EM57" si="888">EE55+EL55</f>
        <v>32521.59516776443</v>
      </c>
      <c r="EN55" s="932">
        <f t="shared" ref="EN55:EN57" si="889">EG55+$EN$1</f>
        <v>1227.2300063307332</v>
      </c>
      <c r="EO55" s="932">
        <f t="shared" ref="EO55:EO66" si="890">EO50</f>
        <v>50</v>
      </c>
      <c r="EP55" s="944">
        <f t="shared" ref="EP55:EP57" si="891">EN55+EO55</f>
        <v>1277.2300063307332</v>
      </c>
      <c r="EQ55" s="908"/>
      <c r="ER55" s="944">
        <f t="shared" ref="ER55:ER57" si="892">SUM(DV55,EA55,DX55:DZ55)/$EG$1</f>
        <v>619.65199684267066</v>
      </c>
      <c r="ES55" s="944">
        <f t="shared" ref="ES55:ES57" si="893">(SUM(DW55,EB55,EC55:ED55,EI55:EK55))/$EG$1</f>
        <v>607.57800948806266</v>
      </c>
      <c r="ET55" s="944">
        <f t="shared" ref="ET55:ET57" si="894">EO55</f>
        <v>50</v>
      </c>
      <c r="EU55" s="944">
        <f t="shared" ref="EU55:EU57" si="895">SUM(ER55:ET55)</f>
        <v>1277.2300063307334</v>
      </c>
      <c r="EV55" s="908"/>
      <c r="EW55" s="944">
        <f t="shared" ref="EW55:EW57" si="896">SUM(DV55,EA55,DX55:DZ55)</f>
        <v>16420.777916330771</v>
      </c>
      <c r="EX55" s="944">
        <f t="shared" ref="EX55:EX57" si="897">SUM(DW55,EB55,EC55,EI55:EK55)</f>
        <v>16100.81725143366</v>
      </c>
      <c r="EY55" s="944">
        <f t="shared" ref="EY55:EY57" si="898">EO55*$EG$1</f>
        <v>1325</v>
      </c>
      <c r="EZ55" s="944">
        <f t="shared" si="882"/>
        <v>33846.595167764433</v>
      </c>
      <c r="FA55" s="908"/>
      <c r="FB55" s="944">
        <f t="shared" ref="FB55:FB57" si="899">DV55/$EG$1</f>
        <v>594.70624323237655</v>
      </c>
      <c r="FC55" s="944">
        <f t="shared" ref="FC55:FC57" si="900">SUM(DX55:EA55)/$EG$1</f>
        <v>24.945753610293924</v>
      </c>
      <c r="FD55" s="944">
        <f t="shared" ref="FD55:FD57" si="901">SUM(DW55,EB55,EC55:ED55)/$EG$1</f>
        <v>467.57800948806266</v>
      </c>
      <c r="FE55" s="944">
        <f t="shared" ref="FE55:FE57" si="902">SUM(EI55:EK55)/$EG$1</f>
        <v>140</v>
      </c>
      <c r="FF55" s="944">
        <f t="shared" ref="FF55:FF57" si="903">ET55</f>
        <v>50</v>
      </c>
      <c r="FG55" s="944">
        <f t="shared" ref="FG55:FG57" si="904">SUM(FB55:FF55)</f>
        <v>1277.230006330733</v>
      </c>
      <c r="FH55" s="945">
        <f t="shared" ref="FH55:FH57" si="905">FG55-EU55</f>
        <v>0</v>
      </c>
      <c r="FI55" s="944">
        <f t="shared" ref="FI55:FI57" si="906">DV55</f>
        <v>15759.715445657979</v>
      </c>
      <c r="FJ55" s="944">
        <f t="shared" ref="FJ55:FJ57" si="907">SUM(DX55:EA55)</f>
        <v>661.062470672789</v>
      </c>
      <c r="FK55" s="944">
        <f t="shared" ref="FK55:FK57" si="908">SUM(DW55,EB55,EC55)</f>
        <v>12390.81725143366</v>
      </c>
      <c r="FL55" s="944">
        <f t="shared" ref="FL55:FL57" si="909">SUM(EI55:EK55)</f>
        <v>3710</v>
      </c>
      <c r="FM55" s="944">
        <f t="shared" ref="FM55:FM57" si="910">EY55</f>
        <v>1325</v>
      </c>
      <c r="FN55" s="944">
        <f t="shared" ref="FN55:FN57" si="911">SUM(FI55:FM55)</f>
        <v>33846.595167764426</v>
      </c>
      <c r="FO55" s="932">
        <f t="shared" ref="FO55:FO57" si="912">FN55-EZ55</f>
        <v>0</v>
      </c>
      <c r="FP55" s="967">
        <f t="shared" ref="FP55:FP57" si="913">(FF55+FE55)/FG55</f>
        <v>0.14875942395515593</v>
      </c>
      <c r="FQ55" s="967">
        <f t="shared" ref="FQ55:FQ57" si="914">FF55/FG55</f>
        <v>3.9147216830304192E-2</v>
      </c>
      <c r="FR55" s="908"/>
      <c r="FS55" s="944">
        <f>FS54</f>
        <v>1250</v>
      </c>
      <c r="FT55" s="932">
        <f t="shared" ref="FT55:FT57" si="915">FS55-SUM(FB55:FD55)</f>
        <v>162.76999366926702</v>
      </c>
      <c r="FU55" s="981">
        <f t="shared" ref="FU55:FU57" si="916">FT55/FS55</f>
        <v>0.13021599493541361</v>
      </c>
      <c r="FV55" s="947">
        <f t="shared" ref="FV55:FV57" si="917">FS55-FG55</f>
        <v>-27.230006330732976</v>
      </c>
      <c r="FW55" s="985">
        <f t="shared" ref="FW55:FW57" si="918">FV55/FS55</f>
        <v>-2.178400506458638E-2</v>
      </c>
      <c r="FX55" s="908"/>
      <c r="FY55" s="908">
        <f t="shared" ref="FY55:FY57" si="919">DR55</f>
        <v>0</v>
      </c>
      <c r="FZ55" s="969"/>
      <c r="GA55" s="947"/>
      <c r="GB55" s="968"/>
      <c r="GC55" s="908"/>
      <c r="GD55" s="969"/>
      <c r="GE55" s="947"/>
      <c r="GF55" s="968"/>
      <c r="GG55" s="908"/>
      <c r="GH55" s="969"/>
      <c r="GI55" s="947"/>
      <c r="GJ55" s="908"/>
      <c r="GK55" s="908"/>
      <c r="GL55" s="969"/>
      <c r="GM55" s="947"/>
      <c r="GN55" s="908"/>
    </row>
    <row r="56" spans="11:196" x14ac:dyDescent="0.35">
      <c r="K56" s="353"/>
      <c r="U56" s="341"/>
      <c r="V56" s="343"/>
      <c r="W56" s="341"/>
      <c r="Z56" s="350"/>
      <c r="AA56" s="1010"/>
      <c r="AB56" s="1028"/>
      <c r="AC56" s="1014"/>
      <c r="AH56" s="343"/>
      <c r="AI56" s="1010"/>
      <c r="AJ56" s="1013"/>
      <c r="AK56" s="1014"/>
      <c r="AS56" s="353"/>
      <c r="AT56" s="1057"/>
      <c r="AU56" s="1057"/>
      <c r="AW56" s="353"/>
      <c r="BA56" s="361"/>
      <c r="BB56" s="681">
        <f>SUM(BB57:BB61)</f>
        <v>227.79357778196965</v>
      </c>
      <c r="BC56" s="436"/>
      <c r="BD56" s="436"/>
      <c r="DP56" s="908"/>
      <c r="DQ56" s="910"/>
      <c r="DR56" s="908" t="str">
        <f>BC321</f>
        <v>Hạt nhựa rPET WSS04SB</v>
      </c>
      <c r="DT56" s="773" t="s">
        <v>871</v>
      </c>
      <c r="DU56" s="931">
        <f>AZ320</f>
        <v>24199.763934577844</v>
      </c>
      <c r="DV56" s="932">
        <f>(0.95*$DC$6+0*$DC$17+0*$DC$26+0.05*$DC$35+0*$DC$44+0*$DC$6)/$DS$55</f>
        <v>17364.965742244374</v>
      </c>
      <c r="DW56" s="932">
        <f>(0.95*($DD$6+$DE$6+$DF$6)+0*($DD$17+$DE$17+$DF$17)+0*($DD$26+$DE$26+$DF$26)+0.05*($DD$35+$DE$35+$DF$35)+0*($DD$44+$DE$44+$DF$44)+0*($DD$6+$DE$6+$DF$6))/$DS$55</f>
        <v>8196.5461458333684</v>
      </c>
      <c r="DX56" s="931">
        <f>(0.95*$DG$6+0*$DG$17+0*$DG$26+0.05*$DG$35+0*$DG$44+0*$DG$6)/$DS$55</f>
        <v>-795.36029660886709</v>
      </c>
      <c r="DY56" s="931">
        <f>(0.95*$DH$6+0*$DH$17+0*$DH$26+0.05*$DH$35+0*$DH$44+0*$DH$6)/$DS$55</f>
        <v>-370.4677875566548</v>
      </c>
      <c r="DZ56" s="931">
        <f t="shared" si="845"/>
        <v>-321.81131370545882</v>
      </c>
      <c r="EA56" s="931">
        <f t="shared" ref="EA56" si="920">EA34</f>
        <v>2048.8647623994589</v>
      </c>
      <c r="EB56" s="932">
        <f>EB8</f>
        <v>2000.939404729972</v>
      </c>
      <c r="EC56" s="908"/>
      <c r="ED56" s="908"/>
      <c r="EE56" s="932">
        <f t="shared" si="884"/>
        <v>28123.676657336193</v>
      </c>
      <c r="EF56" s="932">
        <f t="shared" ref="EF56" si="921">$EF$6</f>
        <v>23509.852491131598</v>
      </c>
      <c r="EG56" s="931">
        <f t="shared" si="885"/>
        <v>1061.2708172579696</v>
      </c>
      <c r="EH56" s="908"/>
      <c r="EI56" s="932">
        <f t="shared" ref="EI56:EK56" si="922">EI10</f>
        <v>2173</v>
      </c>
      <c r="EJ56" s="943">
        <f t="shared" si="922"/>
        <v>1166</v>
      </c>
      <c r="EK56" s="943">
        <f t="shared" si="922"/>
        <v>371</v>
      </c>
      <c r="EL56" s="931">
        <f t="shared" si="887"/>
        <v>3710</v>
      </c>
      <c r="EM56" s="931">
        <f t="shared" si="888"/>
        <v>31833.676657336193</v>
      </c>
      <c r="EN56" s="932">
        <f t="shared" si="889"/>
        <v>1201.2708172579696</v>
      </c>
      <c r="EO56" s="932">
        <f>EO55</f>
        <v>50</v>
      </c>
      <c r="EP56" s="944">
        <f t="shared" si="891"/>
        <v>1251.2708172579696</v>
      </c>
      <c r="EQ56" s="908"/>
      <c r="ER56" s="944">
        <f t="shared" si="892"/>
        <v>676.46004176501322</v>
      </c>
      <c r="ES56" s="944">
        <f t="shared" si="893"/>
        <v>524.81077549295628</v>
      </c>
      <c r="ET56" s="944">
        <f t="shared" si="894"/>
        <v>50</v>
      </c>
      <c r="EU56" s="944">
        <f t="shared" si="895"/>
        <v>1251.2708172579696</v>
      </c>
      <c r="EV56" s="908"/>
      <c r="EW56" s="944">
        <f t="shared" si="896"/>
        <v>17926.191106772851</v>
      </c>
      <c r="EX56" s="944">
        <f t="shared" si="897"/>
        <v>13907.48555056334</v>
      </c>
      <c r="EY56" s="944">
        <f t="shared" si="898"/>
        <v>1325</v>
      </c>
      <c r="EZ56" s="944">
        <f t="shared" si="882"/>
        <v>33158.676657336189</v>
      </c>
      <c r="FA56" s="908"/>
      <c r="FB56" s="944">
        <f t="shared" si="899"/>
        <v>655.28172612242918</v>
      </c>
      <c r="FC56" s="944">
        <f t="shared" si="900"/>
        <v>21.178315642584082</v>
      </c>
      <c r="FD56" s="944">
        <f t="shared" si="901"/>
        <v>384.81077549295622</v>
      </c>
      <c r="FE56" s="944">
        <f t="shared" si="902"/>
        <v>140</v>
      </c>
      <c r="FF56" s="944">
        <f t="shared" si="903"/>
        <v>50</v>
      </c>
      <c r="FG56" s="944">
        <f t="shared" si="904"/>
        <v>1251.2708172579694</v>
      </c>
      <c r="FH56" s="945">
        <f t="shared" si="905"/>
        <v>0</v>
      </c>
      <c r="FI56" s="944">
        <f t="shared" si="906"/>
        <v>17364.965742244374</v>
      </c>
      <c r="FJ56" s="944">
        <f t="shared" si="907"/>
        <v>561.22536452847817</v>
      </c>
      <c r="FK56" s="944">
        <f t="shared" si="908"/>
        <v>10197.48555056334</v>
      </c>
      <c r="FL56" s="944">
        <f t="shared" si="909"/>
        <v>3710</v>
      </c>
      <c r="FM56" s="944">
        <f t="shared" si="910"/>
        <v>1325</v>
      </c>
      <c r="FN56" s="944">
        <f t="shared" si="911"/>
        <v>33158.676657336189</v>
      </c>
      <c r="FO56" s="932">
        <f t="shared" si="912"/>
        <v>0</v>
      </c>
      <c r="FP56" s="946">
        <f t="shared" si="913"/>
        <v>0.15184562556678605</v>
      </c>
      <c r="FQ56" s="946">
        <f t="shared" si="914"/>
        <v>3.9959375149154222E-2</v>
      </c>
      <c r="FR56" s="908"/>
      <c r="FS56" s="944">
        <f>FS52</f>
        <v>1250</v>
      </c>
      <c r="FT56" s="932">
        <f t="shared" si="915"/>
        <v>188.72918274203062</v>
      </c>
      <c r="FU56" s="980">
        <f t="shared" si="916"/>
        <v>0.1509833461936245</v>
      </c>
      <c r="FV56" s="947">
        <f t="shared" si="917"/>
        <v>-1.2708172579693837</v>
      </c>
      <c r="FW56" s="281">
        <f t="shared" si="918"/>
        <v>-1.0166538063755069E-3</v>
      </c>
      <c r="FX56" s="908"/>
      <c r="FY56" s="908" t="str">
        <f t="shared" si="919"/>
        <v>Hạt nhựa rPET WSS04SB</v>
      </c>
      <c r="FZ56" s="949"/>
      <c r="GA56" s="947"/>
      <c r="GB56" s="948"/>
      <c r="GC56" s="908"/>
      <c r="GD56" s="949"/>
      <c r="GE56" s="947"/>
      <c r="GF56" s="948"/>
      <c r="GG56" s="908"/>
      <c r="GH56" s="949"/>
      <c r="GI56" s="947"/>
      <c r="GJ56" s="908"/>
      <c r="GK56" s="908"/>
      <c r="GL56" s="949"/>
      <c r="GM56" s="947"/>
      <c r="GN56" s="908"/>
    </row>
    <row r="57" spans="11:196" ht="17.25" customHeight="1" x14ac:dyDescent="0.35">
      <c r="K57" s="353"/>
      <c r="V57" s="343"/>
      <c r="Y57" s="463">
        <f>Y13</f>
        <v>10000</v>
      </c>
      <c r="Z57" s="350">
        <v>2.5637066536927573E-3</v>
      </c>
      <c r="AA57" s="1009">
        <f>Y57*Z57</f>
        <v>25.637066536927573</v>
      </c>
      <c r="AB57" s="1011" t="s">
        <v>565</v>
      </c>
      <c r="AC57" s="1012"/>
      <c r="AG57" s="463">
        <f>AG27</f>
        <v>4166.6666666666661</v>
      </c>
      <c r="AH57" s="350">
        <v>1.4423030695414438E-3</v>
      </c>
      <c r="AI57" s="1009">
        <f>AG57*AH57</f>
        <v>6.0095961230893487</v>
      </c>
      <c r="AJ57" s="1011" t="s">
        <v>583</v>
      </c>
      <c r="AK57" s="1012"/>
      <c r="AS57" s="353"/>
      <c r="AW57" s="353"/>
      <c r="AZ57" s="453">
        <v>19065</v>
      </c>
      <c r="BA57" s="362">
        <v>3.2406131046524562E-3</v>
      </c>
      <c r="BB57" s="680">
        <f>AZ57*BA57</f>
        <v>61.78228884019908</v>
      </c>
      <c r="BC57" s="431" t="s">
        <v>603</v>
      </c>
      <c r="BD57" s="430"/>
      <c r="DP57" s="908"/>
      <c r="DQ57" s="910" t="str">
        <f>AX323</f>
        <v>100%  B1.1-A2.2 DT + 5% B5-A2</v>
      </c>
      <c r="DR57" s="908"/>
      <c r="DT57" s="768" t="s">
        <v>872</v>
      </c>
      <c r="DU57" s="463">
        <f>(0.95*$DB$7+0*$DB$18+0*$DB$27+0.05*$DB$36+0*$DB$45+0*$DB$7)/$DS$55</f>
        <v>24199.763934577844</v>
      </c>
      <c r="DV57" s="463">
        <f>(0.95*$DC$7+0*$DC$18+0*$DC$27+0.05*$DC$36+0*$DC$45+0*$DC$7)/$DS$55</f>
        <v>17364.965742244374</v>
      </c>
      <c r="DW57" s="502">
        <f>(0.95*($DD$7+$DE$7+$DF$7)+0*($DD$18+$DE$18+$DF$18)+0*($DD$27+$DE$27+$DF$27)+0.05*($DD$36+$DE$36+$DF$36)+0*($DD$45+$DE$45+$DF$45)+0*($DD$7+$DE$7+$DF$7))/$DS$55</f>
        <v>10715.455613279311</v>
      </c>
      <c r="DX57" s="501">
        <f>(0.95*$DG$7+0*$DG$18+0*$DG$27+0.05*$DG$36+0*$DG$45+0*$DG$7)/$DS$55</f>
        <v>-792.73374989777722</v>
      </c>
      <c r="DY57" s="501">
        <f>(0.95*$DH$7+0*$DH$18+0*$DH$27+0.05*$DH$36+0*$DH$45+0*$DH$7)/$DS$55</f>
        <v>-370.4677875566548</v>
      </c>
      <c r="DZ57" s="501">
        <f>DZ35</f>
        <v>-321.81131370545882</v>
      </c>
      <c r="EA57" s="501">
        <f t="shared" ref="EA57" si="923">EA35</f>
        <v>2048.8647623994589</v>
      </c>
      <c r="EB57" s="502">
        <f>EB9</f>
        <v>2796.8565141477497</v>
      </c>
      <c r="EE57" s="530">
        <f t="shared" si="884"/>
        <v>31441.129780911004</v>
      </c>
      <c r="EF57" s="474"/>
      <c r="EG57" s="529">
        <f t="shared" si="885"/>
        <v>1186.4577275815473</v>
      </c>
      <c r="EH57" s="551"/>
      <c r="EI57" s="530">
        <f t="shared" ref="EI57:EK57" si="924">EI11</f>
        <v>2173</v>
      </c>
      <c r="EJ57" s="584">
        <f t="shared" si="924"/>
        <v>1166</v>
      </c>
      <c r="EK57" s="584">
        <f t="shared" si="924"/>
        <v>371</v>
      </c>
      <c r="EL57" s="529">
        <f t="shared" si="887"/>
        <v>3710</v>
      </c>
      <c r="EM57" s="475">
        <f t="shared" si="888"/>
        <v>35151.129780911004</v>
      </c>
      <c r="EN57" s="530">
        <f t="shared" si="889"/>
        <v>1326.4577275815473</v>
      </c>
      <c r="EO57" s="463">
        <f t="shared" si="890"/>
        <v>50</v>
      </c>
      <c r="EP57" s="736">
        <f t="shared" si="891"/>
        <v>1376.4577275815473</v>
      </c>
      <c r="EQ57" s="471"/>
      <c r="ER57" s="736">
        <f t="shared" si="892"/>
        <v>676.55915673524316</v>
      </c>
      <c r="ES57" s="736">
        <f t="shared" si="893"/>
        <v>649.8985708463041</v>
      </c>
      <c r="ET57" s="736">
        <f t="shared" si="894"/>
        <v>50</v>
      </c>
      <c r="EU57" s="736">
        <f t="shared" si="895"/>
        <v>1376.4577275815473</v>
      </c>
      <c r="EW57" s="736">
        <f t="shared" si="896"/>
        <v>17928.817653483944</v>
      </c>
      <c r="EX57" s="736">
        <f t="shared" si="897"/>
        <v>17222.31212742706</v>
      </c>
      <c r="EY57" s="736">
        <f t="shared" si="898"/>
        <v>1325</v>
      </c>
      <c r="EZ57" s="736">
        <f t="shared" si="882"/>
        <v>36476.129780911004</v>
      </c>
      <c r="FB57" s="736">
        <f t="shared" si="899"/>
        <v>655.28172612242918</v>
      </c>
      <c r="FC57" s="736">
        <f t="shared" si="900"/>
        <v>21.277430612813884</v>
      </c>
      <c r="FD57" s="736">
        <f t="shared" si="901"/>
        <v>509.89857084630421</v>
      </c>
      <c r="FE57" s="736">
        <f t="shared" si="902"/>
        <v>140</v>
      </c>
      <c r="FF57" s="736">
        <f t="shared" si="903"/>
        <v>50</v>
      </c>
      <c r="FG57" s="736">
        <f t="shared" si="904"/>
        <v>1376.4577275815473</v>
      </c>
      <c r="FH57" s="732">
        <f t="shared" si="905"/>
        <v>0</v>
      </c>
      <c r="FI57" s="736">
        <f t="shared" si="906"/>
        <v>17364.965742244374</v>
      </c>
      <c r="FJ57" s="736">
        <f t="shared" si="907"/>
        <v>563.85191123956793</v>
      </c>
      <c r="FK57" s="736">
        <f t="shared" si="908"/>
        <v>13512.312127427062</v>
      </c>
      <c r="FL57" s="736">
        <f t="shared" si="909"/>
        <v>3710</v>
      </c>
      <c r="FM57" s="736">
        <f t="shared" si="910"/>
        <v>1325</v>
      </c>
      <c r="FN57" s="736">
        <f t="shared" si="911"/>
        <v>36476.129780911004</v>
      </c>
      <c r="FO57" s="479">
        <f t="shared" si="912"/>
        <v>0</v>
      </c>
      <c r="FP57" s="967">
        <f t="shared" si="913"/>
        <v>0.13803547772864211</v>
      </c>
      <c r="FQ57" s="967">
        <f t="shared" si="914"/>
        <v>3.6325125718063712E-2</v>
      </c>
      <c r="FR57" s="908"/>
      <c r="FS57" s="944">
        <f>FS56</f>
        <v>1250</v>
      </c>
      <c r="FT57" s="932">
        <f t="shared" si="915"/>
        <v>63.54227241845274</v>
      </c>
      <c r="FU57" s="981">
        <f t="shared" si="916"/>
        <v>5.0833817934762195E-2</v>
      </c>
      <c r="FV57" s="947">
        <f t="shared" si="917"/>
        <v>-126.45772758154726</v>
      </c>
      <c r="FW57" s="985">
        <f t="shared" si="918"/>
        <v>-0.10116618206523781</v>
      </c>
      <c r="FX57" s="908"/>
      <c r="FY57" s="908">
        <f t="shared" si="919"/>
        <v>0</v>
      </c>
      <c r="FZ57" s="969"/>
      <c r="GA57" s="947"/>
      <c r="GB57" s="968"/>
      <c r="GC57" s="908"/>
      <c r="GD57" s="969"/>
      <c r="GE57" s="947"/>
      <c r="GF57" s="968"/>
      <c r="GG57" s="908"/>
      <c r="GH57" s="969"/>
      <c r="GI57" s="947"/>
      <c r="GJ57" s="908"/>
      <c r="GK57" s="908"/>
      <c r="GL57" s="969"/>
      <c r="GM57" s="947"/>
      <c r="GN57" s="296"/>
    </row>
    <row r="58" spans="11:196" ht="15.75" customHeight="1" x14ac:dyDescent="0.35">
      <c r="K58" s="353"/>
      <c r="V58" s="343"/>
      <c r="Z58" s="350"/>
      <c r="AA58" s="1010"/>
      <c r="AB58" s="1013"/>
      <c r="AC58" s="1014"/>
      <c r="AH58" s="350"/>
      <c r="AI58" s="1010"/>
      <c r="AJ58" s="1013"/>
      <c r="AK58" s="1014"/>
      <c r="AS58" s="353"/>
      <c r="AW58" s="353"/>
      <c r="BA58" s="343"/>
      <c r="BB58" s="343"/>
      <c r="BC58" s="430"/>
      <c r="BD58" s="430"/>
      <c r="DP58" s="908"/>
      <c r="DQ58" s="910"/>
      <c r="DR58" s="908"/>
      <c r="DS58" s="387">
        <f>BA337</f>
        <v>0.89300000000000002</v>
      </c>
      <c r="DT58" s="768"/>
      <c r="DV58" s="463"/>
      <c r="GD58" s="453"/>
      <c r="GH58" s="453"/>
      <c r="GL58" s="453"/>
    </row>
    <row r="59" spans="11:196" ht="16" x14ac:dyDescent="0.35">
      <c r="K59" s="353"/>
      <c r="V59" s="343"/>
      <c r="Y59" s="463">
        <f>Y17</f>
        <v>4166.6666666666661</v>
      </c>
      <c r="Z59" s="350">
        <v>3.4959636186719417E-3</v>
      </c>
      <c r="AA59" s="1009">
        <f>Y59*Z59</f>
        <v>14.566515077799755</v>
      </c>
      <c r="AB59" s="1011" t="s">
        <v>571</v>
      </c>
      <c r="AC59" s="1012"/>
      <c r="AG59" s="463">
        <f>AG112</f>
        <v>1500</v>
      </c>
      <c r="AH59" s="350">
        <v>2.9358880259999168E-3</v>
      </c>
      <c r="AI59" s="1009">
        <f>AG59*AH59</f>
        <v>4.4038320389998749</v>
      </c>
      <c r="AJ59" s="1005" t="s">
        <v>602</v>
      </c>
      <c r="AK59" s="1006"/>
      <c r="AS59" s="353"/>
      <c r="AW59" s="353"/>
      <c r="AZ59" s="453">
        <v>6500</v>
      </c>
      <c r="BA59" s="576">
        <v>1.6164371635445537E-2</v>
      </c>
      <c r="BB59" s="680">
        <f>AZ59*BA59</f>
        <v>105.06841563039599</v>
      </c>
      <c r="BC59" s="431" t="s">
        <v>576</v>
      </c>
      <c r="BD59" s="432"/>
      <c r="DP59" s="922" t="str">
        <f>AT340</f>
        <v>Tạo hạt WSS05SB</v>
      </c>
      <c r="DQ59" s="912"/>
      <c r="DR59" s="911" t="str">
        <f>BC338</f>
        <v>Hạt nhựa rPET WSS05SB</v>
      </c>
      <c r="DS59" s="764"/>
      <c r="DT59" s="773" t="s">
        <v>871</v>
      </c>
      <c r="DU59" s="477">
        <f>AZ337</f>
        <v>8613.6618141097424</v>
      </c>
      <c r="DV59" s="478">
        <f t="shared" ref="DV59:DV66" si="925">DU59</f>
        <v>8613.6618141097424</v>
      </c>
      <c r="DW59" s="472"/>
      <c r="DX59" s="477"/>
      <c r="DY59" s="477"/>
      <c r="DZ59" s="477"/>
      <c r="EA59" s="477"/>
      <c r="EB59" s="478">
        <f>EB10</f>
        <v>2000.939404729972</v>
      </c>
      <c r="EC59" s="472"/>
      <c r="ED59" s="472"/>
      <c r="EE59" s="940">
        <f t="shared" ref="EE59:EE66" si="926">SUM(DV59:ED59)</f>
        <v>10614.601218839714</v>
      </c>
      <c r="EF59" s="478">
        <f t="shared" ref="EF59" si="927">$EF$6</f>
        <v>23509.852491131598</v>
      </c>
      <c r="EG59" s="837">
        <f t="shared" ref="EG59:EG66" si="928">EE59/$EG$1</f>
        <v>400.5509893901779</v>
      </c>
      <c r="EH59" s="472"/>
      <c r="EI59" s="478">
        <f t="shared" ref="EI59:EK59" si="929">EI13</f>
        <v>2173</v>
      </c>
      <c r="EJ59" s="941">
        <f t="shared" si="929"/>
        <v>1166</v>
      </c>
      <c r="EK59" s="941">
        <f t="shared" si="929"/>
        <v>371</v>
      </c>
      <c r="EL59" s="477">
        <f t="shared" ref="EL59:EL66" si="930">SUM(EI59:EK59)</f>
        <v>3710</v>
      </c>
      <c r="EM59" s="477">
        <f t="shared" ref="EM59:EM66" si="931">EE59+EL59</f>
        <v>14324.601218839714</v>
      </c>
      <c r="EN59" s="940">
        <f t="shared" ref="EN59:EN66" si="932">EG59+$EN$1</f>
        <v>540.55098939017785</v>
      </c>
      <c r="EO59" s="478">
        <f t="shared" si="890"/>
        <v>50</v>
      </c>
      <c r="EP59" s="734">
        <f t="shared" ref="EP59:EP66" si="933">EN59+EO59</f>
        <v>590.55098939017785</v>
      </c>
      <c r="EQ59" s="472"/>
      <c r="ER59" s="734">
        <f>SUM(DV59,EA59,DX59:DZ59)/$EG$1</f>
        <v>325.0438420418771</v>
      </c>
      <c r="ES59" s="734">
        <f t="shared" ref="ES59:ES66" si="934">(SUM(DW59,EB59,EC59:ED59,EI59:EK59))/$EG$1</f>
        <v>215.50714734830083</v>
      </c>
      <c r="ET59" s="734">
        <f t="shared" ref="ET59:ET66" si="935">EO59</f>
        <v>50</v>
      </c>
      <c r="EU59" s="837">
        <f t="shared" ref="EU59:EU66" si="936">SUM(ER59:ET59)</f>
        <v>590.55098939017796</v>
      </c>
      <c r="EV59" s="472"/>
      <c r="EW59" s="734">
        <f t="shared" ref="EW59:EW66" si="937">SUM(DV59,EA59,DX59:DZ59)</f>
        <v>8613.6618141097424</v>
      </c>
      <c r="EX59" s="734">
        <f t="shared" ref="EX59:EX66" si="938">SUM(DW59,EB59,EC59,EI59:EK59)</f>
        <v>5710.939404729972</v>
      </c>
      <c r="EY59" s="734">
        <f t="shared" ref="EY59:EY66" si="939">EO59*$EG$1</f>
        <v>1325</v>
      </c>
      <c r="EZ59" s="837">
        <f t="shared" ref="EZ59:EZ66" si="940">SUM(EW59:EY59)</f>
        <v>15649.601218839714</v>
      </c>
      <c r="FA59" s="472"/>
      <c r="FB59" s="734">
        <f t="shared" ref="FB59:FB66" si="941">DV59/$EG$1</f>
        <v>325.0438420418771</v>
      </c>
      <c r="FC59" s="734">
        <f t="shared" ref="FC59:FC66" si="942">SUM(DX59:EA59)/$EG$1</f>
        <v>0</v>
      </c>
      <c r="FD59" s="734">
        <f t="shared" ref="FD59:FD66" si="943">SUM(DW59,EB59,EC59:ED59)/$EG$1</f>
        <v>75.507147348300833</v>
      </c>
      <c r="FE59" s="734">
        <f t="shared" ref="FE59:FE66" si="944">SUM(EI59:EK59)/$EG$1</f>
        <v>140</v>
      </c>
      <c r="FF59" s="734">
        <f t="shared" ref="FF59:FF66" si="945">ET59</f>
        <v>50</v>
      </c>
      <c r="FG59" s="837">
        <f t="shared" ref="FG59:FG66" si="946">SUM(FB59:FF59)</f>
        <v>590.55098939017796</v>
      </c>
      <c r="FH59" s="814">
        <f t="shared" ref="FH59:FH66" si="947">FG59-EU59</f>
        <v>0</v>
      </c>
      <c r="FI59" s="734">
        <f t="shared" ref="FI59:FI66" si="948">DV59</f>
        <v>8613.6618141097424</v>
      </c>
      <c r="FJ59" s="734">
        <f t="shared" ref="FJ59:FJ66" si="949">SUM(DX59:EA59)</f>
        <v>0</v>
      </c>
      <c r="FK59" s="734">
        <f t="shared" ref="FK59:FK66" si="950">SUM(DW59,EB59,EC59)</f>
        <v>2000.939404729972</v>
      </c>
      <c r="FL59" s="734">
        <f t="shared" ref="FL59:FL66" si="951">SUM(EI59:EK59)</f>
        <v>3710</v>
      </c>
      <c r="FM59" s="734">
        <f t="shared" ref="FM59:FM66" si="952">EY59</f>
        <v>1325</v>
      </c>
      <c r="FN59" s="837">
        <f t="shared" ref="FN59:FN66" si="953">SUM(FI59:FM59)</f>
        <v>15649.601218839714</v>
      </c>
      <c r="FO59" s="478">
        <f t="shared" ref="FO59:FO66" si="954">FN59-EZ59</f>
        <v>0</v>
      </c>
      <c r="FP59" s="525">
        <f t="shared" ref="FP59:FP66" si="955">(FF59+FE59)/FG59</f>
        <v>0.32173343777850605</v>
      </c>
      <c r="FQ59" s="525">
        <f t="shared" ref="FQ59:FQ66" si="956">FF59/FG59</f>
        <v>8.4666694152238431E-2</v>
      </c>
      <c r="FR59" s="472"/>
      <c r="FS59" s="837">
        <f>$FS$10-170</f>
        <v>1210</v>
      </c>
      <c r="FT59" s="478">
        <f t="shared" ref="FT59:FT66" si="957">FS59-SUM(FB59:FD59)</f>
        <v>809.44901060982204</v>
      </c>
      <c r="FU59" s="914">
        <f t="shared" ref="FU59:FU66" si="958">FT59/FS59</f>
        <v>0.66896612447092729</v>
      </c>
      <c r="FV59" s="796">
        <f t="shared" ref="FV59:FV66" si="959">FS59-FG59</f>
        <v>619.44901060982204</v>
      </c>
      <c r="FW59" s="281">
        <f t="shared" ref="FW59:FW66" si="960">FV59/FS59</f>
        <v>0.51194133108249751</v>
      </c>
      <c r="FX59" s="472"/>
      <c r="FY59" s="472" t="str">
        <f t="shared" ref="FY59:FY66" si="961">DR59</f>
        <v>Hạt nhựa rPET WSS05SB</v>
      </c>
      <c r="FZ59" s="858"/>
      <c r="GA59" s="796"/>
      <c r="GB59" s="942"/>
      <c r="GC59" s="472"/>
      <c r="GD59" s="858"/>
      <c r="GE59" s="796"/>
      <c r="GF59" s="942"/>
      <c r="GG59" s="472"/>
      <c r="GH59" s="858"/>
      <c r="GI59" s="796"/>
      <c r="GJ59" s="942"/>
      <c r="GK59" s="472"/>
      <c r="GL59" s="858"/>
      <c r="GM59" s="796"/>
      <c r="GN59" s="942"/>
    </row>
    <row r="60" spans="11:196" x14ac:dyDescent="0.35">
      <c r="K60" s="353"/>
      <c r="V60" s="343"/>
      <c r="Z60" s="380"/>
      <c r="AA60" s="1010"/>
      <c r="AB60" s="1013"/>
      <c r="AC60" s="1014"/>
      <c r="AH60" s="350"/>
      <c r="AI60" s="1010"/>
      <c r="AJ60" s="1007"/>
      <c r="AK60" s="1008"/>
      <c r="AS60" s="353"/>
      <c r="AW60" s="353"/>
      <c r="BA60" s="343"/>
      <c r="BB60" s="343"/>
      <c r="BC60" s="424"/>
      <c r="BD60" s="425"/>
      <c r="DP60" s="928">
        <f>DR80</f>
        <v>7692</v>
      </c>
      <c r="DQ60" s="912" t="str">
        <f>AX340</f>
        <v>100% Vảy PET HAD_A3</v>
      </c>
      <c r="DR60" s="911"/>
      <c r="DS60" s="387">
        <f>BA354</f>
        <v>0.85599999999999998</v>
      </c>
      <c r="DT60" s="768" t="s">
        <v>872</v>
      </c>
      <c r="DU60" s="477">
        <f>DP60/DS58</f>
        <v>8613.6618141097424</v>
      </c>
      <c r="DV60" s="478">
        <f t="shared" si="925"/>
        <v>8613.6618141097424</v>
      </c>
      <c r="DW60" s="472"/>
      <c r="DX60" s="477"/>
      <c r="DY60" s="477"/>
      <c r="DZ60" s="477"/>
      <c r="EA60" s="477"/>
      <c r="EB60" s="478">
        <f>EB11</f>
        <v>2796.8565141477497</v>
      </c>
      <c r="EC60" s="472"/>
      <c r="ED60" s="472"/>
      <c r="EE60" s="478">
        <f t="shared" si="926"/>
        <v>11410.518328257493</v>
      </c>
      <c r="EF60" s="478"/>
      <c r="EG60" s="477">
        <f t="shared" si="928"/>
        <v>430.58559729273554</v>
      </c>
      <c r="EH60" s="472"/>
      <c r="EI60" s="478">
        <f>EI59</f>
        <v>2173</v>
      </c>
      <c r="EJ60" s="941">
        <f>EJ59</f>
        <v>1166</v>
      </c>
      <c r="EK60" s="941">
        <f>EK59</f>
        <v>371</v>
      </c>
      <c r="EL60" s="477">
        <f t="shared" si="930"/>
        <v>3710</v>
      </c>
      <c r="EM60" s="477">
        <f t="shared" si="931"/>
        <v>15120.518328257493</v>
      </c>
      <c r="EN60" s="478">
        <f t="shared" si="932"/>
        <v>570.58559729273554</v>
      </c>
      <c r="EO60" s="478">
        <f t="shared" si="890"/>
        <v>50</v>
      </c>
      <c r="EP60" s="734">
        <f t="shared" si="933"/>
        <v>620.58559729273554</v>
      </c>
      <c r="EQ60" s="472"/>
      <c r="ER60" s="734">
        <f t="shared" ref="ER60:ER66" si="962">SUM(DV60,EA60,DX60:DZ60)/$EG$1</f>
        <v>325.0438420418771</v>
      </c>
      <c r="ES60" s="734">
        <f t="shared" si="934"/>
        <v>245.5417552508585</v>
      </c>
      <c r="ET60" s="734">
        <f t="shared" si="935"/>
        <v>50</v>
      </c>
      <c r="EU60" s="734">
        <f t="shared" si="936"/>
        <v>620.58559729273566</v>
      </c>
      <c r="EV60" s="472"/>
      <c r="EW60" s="734">
        <f t="shared" si="937"/>
        <v>8613.6618141097424</v>
      </c>
      <c r="EX60" s="734">
        <f t="shared" si="938"/>
        <v>6506.8565141477502</v>
      </c>
      <c r="EY60" s="734">
        <f t="shared" si="939"/>
        <v>1325</v>
      </c>
      <c r="EZ60" s="734">
        <f t="shared" si="940"/>
        <v>16445.518328257494</v>
      </c>
      <c r="FA60" s="472"/>
      <c r="FB60" s="734">
        <f t="shared" si="941"/>
        <v>325.0438420418771</v>
      </c>
      <c r="FC60" s="734">
        <f t="shared" si="942"/>
        <v>0</v>
      </c>
      <c r="FD60" s="734">
        <f t="shared" si="943"/>
        <v>105.54175525085849</v>
      </c>
      <c r="FE60" s="734">
        <f t="shared" si="944"/>
        <v>140</v>
      </c>
      <c r="FF60" s="734">
        <f t="shared" si="945"/>
        <v>50</v>
      </c>
      <c r="FG60" s="734">
        <f t="shared" si="946"/>
        <v>620.58559729273566</v>
      </c>
      <c r="FH60" s="814">
        <f t="shared" si="947"/>
        <v>0</v>
      </c>
      <c r="FI60" s="734">
        <f t="shared" si="948"/>
        <v>8613.6618141097424</v>
      </c>
      <c r="FJ60" s="734">
        <f t="shared" si="949"/>
        <v>0</v>
      </c>
      <c r="FK60" s="734">
        <f t="shared" si="950"/>
        <v>2796.8565141477497</v>
      </c>
      <c r="FL60" s="734">
        <f t="shared" si="951"/>
        <v>3710</v>
      </c>
      <c r="FM60" s="734">
        <f t="shared" si="952"/>
        <v>1325</v>
      </c>
      <c r="FN60" s="734">
        <f t="shared" si="953"/>
        <v>16445.518328257494</v>
      </c>
      <c r="FO60" s="478">
        <f t="shared" si="954"/>
        <v>0</v>
      </c>
      <c r="FP60" s="958">
        <f t="shared" si="955"/>
        <v>0.30616243887847649</v>
      </c>
      <c r="FQ60" s="958">
        <f t="shared" si="956"/>
        <v>8.0569062862756974E-2</v>
      </c>
      <c r="FR60" s="472"/>
      <c r="FS60" s="734">
        <f>FS59</f>
        <v>1210</v>
      </c>
      <c r="FT60" s="478">
        <f t="shared" si="957"/>
        <v>779.41440270726434</v>
      </c>
      <c r="FU60" s="971">
        <f t="shared" si="958"/>
        <v>0.64414413446881347</v>
      </c>
      <c r="FV60" s="796">
        <f t="shared" si="959"/>
        <v>589.41440270726434</v>
      </c>
      <c r="FW60" s="985">
        <f t="shared" si="960"/>
        <v>0.48711934108038374</v>
      </c>
      <c r="FX60" s="472"/>
      <c r="FY60" s="472">
        <f t="shared" si="961"/>
        <v>0</v>
      </c>
      <c r="FZ60" s="960"/>
      <c r="GA60" s="796"/>
      <c r="GB60" s="970"/>
      <c r="GC60" s="472"/>
      <c r="GD60" s="960"/>
      <c r="GE60" s="796"/>
      <c r="GF60" s="970"/>
      <c r="GG60" s="472"/>
      <c r="GH60" s="960"/>
      <c r="GI60" s="796"/>
      <c r="GJ60" s="970"/>
      <c r="GK60" s="472"/>
      <c r="GL60" s="960"/>
      <c r="GM60" s="796"/>
      <c r="GN60" s="942"/>
    </row>
    <row r="61" spans="11:196" ht="17.25" customHeight="1" x14ac:dyDescent="0.35">
      <c r="K61" s="353"/>
      <c r="V61" s="343"/>
      <c r="Y61" s="463">
        <f>Y21</f>
        <v>-300</v>
      </c>
      <c r="Z61" s="350">
        <v>2.2665497461056422E-3</v>
      </c>
      <c r="AA61" s="1009">
        <f>Y61*Z61</f>
        <v>-0.67996492383169271</v>
      </c>
      <c r="AB61" s="1027" t="s">
        <v>574</v>
      </c>
      <c r="AC61" s="1012"/>
      <c r="AG61" s="463">
        <f>Z41</f>
        <v>17138.996486873479</v>
      </c>
      <c r="AH61" s="388">
        <v>4.9500000000000002E-2</v>
      </c>
      <c r="AI61" s="738">
        <f>AG61*AH61</f>
        <v>848.3803261002372</v>
      </c>
      <c r="AJ61" s="1063" t="s">
        <v>482</v>
      </c>
      <c r="AK61" s="1064"/>
      <c r="AS61" s="353"/>
      <c r="AW61" s="353"/>
      <c r="AZ61" s="453">
        <v>8000</v>
      </c>
      <c r="BA61" s="350">
        <v>7.6178591639218191E-3</v>
      </c>
      <c r="BB61" s="680">
        <f>AZ61*BA61</f>
        <v>60.942873311374555</v>
      </c>
      <c r="BC61" s="422" t="s">
        <v>579</v>
      </c>
      <c r="BD61" s="423"/>
      <c r="DP61" s="911"/>
      <c r="DQ61" s="912"/>
      <c r="DR61" s="911" t="str">
        <f>BC355</f>
        <v>Hạt nhựa rPET WSS05SB</v>
      </c>
      <c r="DT61" s="773" t="s">
        <v>871</v>
      </c>
      <c r="DU61" s="477">
        <f>AZ354</f>
        <v>9345.7943925233649</v>
      </c>
      <c r="DV61" s="478">
        <f t="shared" si="925"/>
        <v>9345.7943925233649</v>
      </c>
      <c r="DW61" s="472"/>
      <c r="DX61" s="477"/>
      <c r="DY61" s="477"/>
      <c r="DZ61" s="477"/>
      <c r="EA61" s="477"/>
      <c r="EB61" s="478">
        <f>EB10</f>
        <v>2000.939404729972</v>
      </c>
      <c r="EC61" s="472"/>
      <c r="ED61" s="472"/>
      <c r="EE61" s="478">
        <f t="shared" si="926"/>
        <v>11346.733797253337</v>
      </c>
      <c r="EF61" s="478">
        <f t="shared" ref="EF61" si="963">$EF$6</f>
        <v>23509.852491131598</v>
      </c>
      <c r="EG61" s="477">
        <f t="shared" si="928"/>
        <v>428.17863385861648</v>
      </c>
      <c r="EH61" s="472"/>
      <c r="EI61" s="478">
        <f>EI59</f>
        <v>2173</v>
      </c>
      <c r="EJ61" s="941">
        <f>EJ60</f>
        <v>1166</v>
      </c>
      <c r="EK61" s="941">
        <f>EK60</f>
        <v>371</v>
      </c>
      <c r="EL61" s="477">
        <f t="shared" si="930"/>
        <v>3710</v>
      </c>
      <c r="EM61" s="477">
        <f t="shared" si="931"/>
        <v>15056.733797253337</v>
      </c>
      <c r="EN61" s="478">
        <f t="shared" si="932"/>
        <v>568.17863385861642</v>
      </c>
      <c r="EO61" s="478">
        <f t="shared" si="890"/>
        <v>50</v>
      </c>
      <c r="EP61" s="734">
        <f t="shared" si="933"/>
        <v>618.17863385861642</v>
      </c>
      <c r="EQ61" s="472"/>
      <c r="ER61" s="734">
        <f t="shared" si="962"/>
        <v>352.67148651031567</v>
      </c>
      <c r="ES61" s="734">
        <f t="shared" si="934"/>
        <v>215.50714734830083</v>
      </c>
      <c r="ET61" s="734">
        <f t="shared" si="935"/>
        <v>50</v>
      </c>
      <c r="EU61" s="734">
        <f t="shared" si="936"/>
        <v>618.17863385861654</v>
      </c>
      <c r="EV61" s="472"/>
      <c r="EW61" s="734">
        <f t="shared" si="937"/>
        <v>9345.7943925233649</v>
      </c>
      <c r="EX61" s="734">
        <f t="shared" si="938"/>
        <v>5710.939404729972</v>
      </c>
      <c r="EY61" s="734">
        <f t="shared" si="939"/>
        <v>1325</v>
      </c>
      <c r="EZ61" s="734">
        <f t="shared" si="940"/>
        <v>16381.733797253337</v>
      </c>
      <c r="FA61" s="472"/>
      <c r="FB61" s="734">
        <f t="shared" si="941"/>
        <v>352.67148651031567</v>
      </c>
      <c r="FC61" s="734">
        <f t="shared" si="942"/>
        <v>0</v>
      </c>
      <c r="FD61" s="734">
        <f t="shared" si="943"/>
        <v>75.507147348300833</v>
      </c>
      <c r="FE61" s="734">
        <f t="shared" si="944"/>
        <v>140</v>
      </c>
      <c r="FF61" s="734">
        <f t="shared" si="945"/>
        <v>50</v>
      </c>
      <c r="FG61" s="734">
        <f t="shared" si="946"/>
        <v>618.17863385861654</v>
      </c>
      <c r="FH61" s="814">
        <f t="shared" si="947"/>
        <v>0</v>
      </c>
      <c r="FI61" s="734">
        <f t="shared" si="948"/>
        <v>9345.7943925233649</v>
      </c>
      <c r="FJ61" s="734">
        <f t="shared" si="949"/>
        <v>0</v>
      </c>
      <c r="FK61" s="734">
        <f t="shared" si="950"/>
        <v>2000.939404729972</v>
      </c>
      <c r="FL61" s="734">
        <f t="shared" si="951"/>
        <v>3710</v>
      </c>
      <c r="FM61" s="734">
        <f t="shared" si="952"/>
        <v>1325</v>
      </c>
      <c r="FN61" s="734">
        <f t="shared" si="953"/>
        <v>16381.733797253337</v>
      </c>
      <c r="FO61" s="478">
        <f t="shared" si="954"/>
        <v>0</v>
      </c>
      <c r="FP61" s="525">
        <f t="shared" si="955"/>
        <v>0.30735452439376099</v>
      </c>
      <c r="FQ61" s="525">
        <f t="shared" si="956"/>
        <v>8.088276957730553E-2</v>
      </c>
      <c r="FR61" s="472"/>
      <c r="FS61" s="734">
        <f>FS59</f>
        <v>1210</v>
      </c>
      <c r="FT61" s="478">
        <f t="shared" si="957"/>
        <v>781.82136614138346</v>
      </c>
      <c r="FU61" s="914">
        <f t="shared" si="958"/>
        <v>0.64613336044742431</v>
      </c>
      <c r="FV61" s="796">
        <f t="shared" si="959"/>
        <v>591.82136614138346</v>
      </c>
      <c r="FW61" s="281">
        <f t="shared" si="960"/>
        <v>0.48910856705899458</v>
      </c>
      <c r="FX61" s="472"/>
      <c r="FY61" s="472" t="str">
        <f t="shared" si="961"/>
        <v>Hạt nhựa rPET WSS05SB</v>
      </c>
      <c r="FZ61" s="858"/>
      <c r="GA61" s="796"/>
      <c r="GB61" s="942"/>
      <c r="GC61" s="472"/>
      <c r="GD61" s="858"/>
      <c r="GE61" s="796"/>
      <c r="GF61" s="942"/>
      <c r="GG61" s="472"/>
      <c r="GH61" s="858"/>
      <c r="GI61" s="796"/>
      <c r="GJ61" s="472"/>
      <c r="GK61" s="472"/>
      <c r="GL61" s="858"/>
      <c r="GM61" s="796"/>
      <c r="GN61" s="472"/>
    </row>
    <row r="62" spans="11:196" x14ac:dyDescent="0.35">
      <c r="K62" s="353"/>
      <c r="V62" s="343"/>
      <c r="Z62" s="343"/>
      <c r="AA62" s="1010"/>
      <c r="AB62" s="1088"/>
      <c r="AC62" s="1069"/>
      <c r="AI62" s="738"/>
      <c r="AJ62" s="1065"/>
      <c r="AK62" s="1066"/>
      <c r="AS62" s="353"/>
      <c r="AW62" s="353"/>
      <c r="BA62" s="343"/>
      <c r="BB62" s="343"/>
      <c r="BC62" s="424"/>
      <c r="BD62" s="425"/>
      <c r="DP62" s="928">
        <f>DR78</f>
        <v>8000</v>
      </c>
      <c r="DQ62" s="912" t="str">
        <f>AX357</f>
        <v>100% Vảy PET Tomra_A3</v>
      </c>
      <c r="DR62" s="911"/>
      <c r="DS62" s="387">
        <f>BA371</f>
        <v>0.7</v>
      </c>
      <c r="DT62" s="768" t="s">
        <v>872</v>
      </c>
      <c r="DU62" s="477">
        <f>DP62/DS60</f>
        <v>9345.7943925233649</v>
      </c>
      <c r="DV62" s="478">
        <f t="shared" si="925"/>
        <v>9345.7943925233649</v>
      </c>
      <c r="DW62" s="472"/>
      <c r="DX62" s="477"/>
      <c r="DY62" s="477"/>
      <c r="DZ62" s="477"/>
      <c r="EA62" s="477"/>
      <c r="EB62" s="478">
        <f>EB11</f>
        <v>2796.8565141477497</v>
      </c>
      <c r="EC62" s="472"/>
      <c r="ED62" s="472"/>
      <c r="EE62" s="478">
        <f t="shared" si="926"/>
        <v>12142.650906671115</v>
      </c>
      <c r="EF62" s="478"/>
      <c r="EG62" s="477">
        <f t="shared" si="928"/>
        <v>458.21324176117417</v>
      </c>
      <c r="EH62" s="472"/>
      <c r="EI62" s="478">
        <f t="shared" ref="EI62:EK62" si="964">EI16</f>
        <v>2173</v>
      </c>
      <c r="EJ62" s="941">
        <f t="shared" si="964"/>
        <v>1166</v>
      </c>
      <c r="EK62" s="941">
        <f t="shared" si="964"/>
        <v>371</v>
      </c>
      <c r="EL62" s="477">
        <f t="shared" si="930"/>
        <v>3710</v>
      </c>
      <c r="EM62" s="477">
        <f t="shared" si="931"/>
        <v>15852.650906671115</v>
      </c>
      <c r="EN62" s="478">
        <f t="shared" si="932"/>
        <v>598.21324176117423</v>
      </c>
      <c r="EO62" s="478">
        <f t="shared" si="890"/>
        <v>50</v>
      </c>
      <c r="EP62" s="734">
        <f t="shared" si="933"/>
        <v>648.21324176117423</v>
      </c>
      <c r="EQ62" s="472"/>
      <c r="ER62" s="734">
        <f t="shared" si="962"/>
        <v>352.67148651031567</v>
      </c>
      <c r="ES62" s="734">
        <f t="shared" si="934"/>
        <v>245.5417552508585</v>
      </c>
      <c r="ET62" s="734">
        <f t="shared" si="935"/>
        <v>50</v>
      </c>
      <c r="EU62" s="734">
        <f t="shared" si="936"/>
        <v>648.21324176117423</v>
      </c>
      <c r="EV62" s="472"/>
      <c r="EW62" s="734">
        <f t="shared" si="937"/>
        <v>9345.7943925233649</v>
      </c>
      <c r="EX62" s="734">
        <f t="shared" si="938"/>
        <v>6506.8565141477502</v>
      </c>
      <c r="EY62" s="734">
        <f t="shared" si="939"/>
        <v>1325</v>
      </c>
      <c r="EZ62" s="734">
        <f t="shared" si="940"/>
        <v>17177.650906671115</v>
      </c>
      <c r="FA62" s="472"/>
      <c r="FB62" s="734">
        <f t="shared" si="941"/>
        <v>352.67148651031567</v>
      </c>
      <c r="FC62" s="734">
        <f t="shared" si="942"/>
        <v>0</v>
      </c>
      <c r="FD62" s="734">
        <f t="shared" si="943"/>
        <v>105.54175525085849</v>
      </c>
      <c r="FE62" s="734">
        <f t="shared" si="944"/>
        <v>140</v>
      </c>
      <c r="FF62" s="734">
        <f t="shared" si="945"/>
        <v>50</v>
      </c>
      <c r="FG62" s="734">
        <f t="shared" si="946"/>
        <v>648.21324176117423</v>
      </c>
      <c r="FH62" s="814">
        <f t="shared" si="947"/>
        <v>0</v>
      </c>
      <c r="FI62" s="734">
        <f t="shared" si="948"/>
        <v>9345.7943925233649</v>
      </c>
      <c r="FJ62" s="734">
        <f t="shared" si="949"/>
        <v>0</v>
      </c>
      <c r="FK62" s="734">
        <f t="shared" si="950"/>
        <v>2796.8565141477497</v>
      </c>
      <c r="FL62" s="734">
        <f t="shared" si="951"/>
        <v>3710</v>
      </c>
      <c r="FM62" s="734">
        <f t="shared" si="952"/>
        <v>1325</v>
      </c>
      <c r="FN62" s="734">
        <f t="shared" si="953"/>
        <v>17177.650906671115</v>
      </c>
      <c r="FO62" s="478">
        <f t="shared" si="954"/>
        <v>0</v>
      </c>
      <c r="FP62" s="958">
        <f t="shared" si="955"/>
        <v>0.29311341971937538</v>
      </c>
      <c r="FQ62" s="958">
        <f t="shared" si="956"/>
        <v>7.7135110452467195E-2</v>
      </c>
      <c r="FR62" s="472"/>
      <c r="FS62" s="734">
        <f>FS61</f>
        <v>1210</v>
      </c>
      <c r="FT62" s="478">
        <f t="shared" si="957"/>
        <v>751.78675823882577</v>
      </c>
      <c r="FU62" s="971">
        <f t="shared" si="958"/>
        <v>0.6213113704453106</v>
      </c>
      <c r="FV62" s="796">
        <f t="shared" si="959"/>
        <v>561.78675823882577</v>
      </c>
      <c r="FW62" s="985">
        <f t="shared" si="960"/>
        <v>0.46428657705688081</v>
      </c>
      <c r="FX62" s="472"/>
      <c r="FY62" s="472">
        <f t="shared" si="961"/>
        <v>0</v>
      </c>
      <c r="FZ62" s="960"/>
      <c r="GA62" s="796"/>
      <c r="GB62" s="970"/>
      <c r="GC62" s="472"/>
      <c r="GD62" s="960"/>
      <c r="GE62" s="796"/>
      <c r="GF62" s="970"/>
      <c r="GG62" s="472"/>
      <c r="GH62" s="960"/>
      <c r="GI62" s="796"/>
      <c r="GJ62" s="970"/>
      <c r="GK62" s="472"/>
      <c r="GL62" s="960"/>
      <c r="GM62" s="796"/>
      <c r="GN62" s="472"/>
    </row>
    <row r="63" spans="11:196" x14ac:dyDescent="0.35">
      <c r="K63" s="353"/>
      <c r="V63" s="343"/>
      <c r="Y63" s="463">
        <f>Y23</f>
        <v>2500</v>
      </c>
      <c r="Z63" s="350">
        <v>8.1281154134122649E-4</v>
      </c>
      <c r="AA63" s="1009">
        <f>Y63*Z63</f>
        <v>2.0320288533530664</v>
      </c>
      <c r="AB63" s="1062" t="s">
        <v>577</v>
      </c>
      <c r="AC63" s="1062"/>
      <c r="AH63" s="341"/>
      <c r="AS63" s="353"/>
      <c r="AW63" s="353"/>
      <c r="BA63" s="343"/>
      <c r="BB63" s="343"/>
      <c r="BC63" s="368"/>
      <c r="BD63" s="368"/>
      <c r="DP63" s="911"/>
      <c r="DQ63" s="912"/>
      <c r="DR63" s="911" t="str">
        <f>BC372</f>
        <v>Hạt nhựa rPET WSS05SB</v>
      </c>
      <c r="DT63" s="773" t="s">
        <v>871</v>
      </c>
      <c r="DU63" s="477">
        <f>AZ371</f>
        <v>12205.285714285714</v>
      </c>
      <c r="DV63" s="478">
        <f t="shared" si="925"/>
        <v>12205.285714285714</v>
      </c>
      <c r="DW63" s="472"/>
      <c r="DX63" s="477"/>
      <c r="DY63" s="477"/>
      <c r="DZ63" s="477"/>
      <c r="EA63" s="477"/>
      <c r="EB63" s="478">
        <f>EB10</f>
        <v>2000.939404729972</v>
      </c>
      <c r="EC63" s="472"/>
      <c r="ED63" s="472"/>
      <c r="EE63" s="478">
        <f t="shared" si="926"/>
        <v>14206.225119015686</v>
      </c>
      <c r="EF63" s="478">
        <f t="shared" ref="EF63" si="965">$EF$6</f>
        <v>23509.852491131598</v>
      </c>
      <c r="EG63" s="477">
        <f t="shared" si="928"/>
        <v>536.08396675530889</v>
      </c>
      <c r="EH63" s="472"/>
      <c r="EI63" s="478">
        <f t="shared" ref="EI63:EK63" si="966">EI17</f>
        <v>2173</v>
      </c>
      <c r="EJ63" s="941">
        <f t="shared" si="966"/>
        <v>1166</v>
      </c>
      <c r="EK63" s="941">
        <f t="shared" si="966"/>
        <v>371</v>
      </c>
      <c r="EL63" s="477">
        <f t="shared" si="930"/>
        <v>3710</v>
      </c>
      <c r="EM63" s="477">
        <f t="shared" si="931"/>
        <v>17916.225119015686</v>
      </c>
      <c r="EN63" s="478">
        <f t="shared" si="932"/>
        <v>676.08396675530889</v>
      </c>
      <c r="EO63" s="478">
        <f>EO62</f>
        <v>50</v>
      </c>
      <c r="EP63" s="734">
        <f t="shared" si="933"/>
        <v>726.08396675530889</v>
      </c>
      <c r="EQ63" s="472"/>
      <c r="ER63" s="734">
        <f t="shared" si="962"/>
        <v>460.57681940700809</v>
      </c>
      <c r="ES63" s="734">
        <f t="shared" si="934"/>
        <v>215.50714734830083</v>
      </c>
      <c r="ET63" s="734">
        <f t="shared" si="935"/>
        <v>50</v>
      </c>
      <c r="EU63" s="734">
        <f t="shared" si="936"/>
        <v>726.08396675530889</v>
      </c>
      <c r="EV63" s="472"/>
      <c r="EW63" s="734">
        <f t="shared" si="937"/>
        <v>12205.285714285714</v>
      </c>
      <c r="EX63" s="734">
        <f t="shared" si="938"/>
        <v>5710.939404729972</v>
      </c>
      <c r="EY63" s="734">
        <f t="shared" si="939"/>
        <v>1325</v>
      </c>
      <c r="EZ63" s="734">
        <f t="shared" si="940"/>
        <v>19241.225119015686</v>
      </c>
      <c r="FA63" s="472"/>
      <c r="FB63" s="734">
        <f t="shared" si="941"/>
        <v>460.57681940700809</v>
      </c>
      <c r="FC63" s="734">
        <f t="shared" si="942"/>
        <v>0</v>
      </c>
      <c r="FD63" s="734">
        <f t="shared" si="943"/>
        <v>75.507147348300833</v>
      </c>
      <c r="FE63" s="734">
        <f t="shared" si="944"/>
        <v>140</v>
      </c>
      <c r="FF63" s="734">
        <f t="shared" si="945"/>
        <v>50</v>
      </c>
      <c r="FG63" s="734">
        <f t="shared" si="946"/>
        <v>726.08396675530889</v>
      </c>
      <c r="FH63" s="814">
        <f t="shared" si="947"/>
        <v>0</v>
      </c>
      <c r="FI63" s="734">
        <f t="shared" si="948"/>
        <v>12205.285714285714</v>
      </c>
      <c r="FJ63" s="734">
        <f t="shared" si="949"/>
        <v>0</v>
      </c>
      <c r="FK63" s="734">
        <f t="shared" si="950"/>
        <v>2000.939404729972</v>
      </c>
      <c r="FL63" s="734">
        <f t="shared" si="951"/>
        <v>3710</v>
      </c>
      <c r="FM63" s="734">
        <f t="shared" si="952"/>
        <v>1325</v>
      </c>
      <c r="FN63" s="734">
        <f t="shared" si="953"/>
        <v>19241.225119015686</v>
      </c>
      <c r="FO63" s="478">
        <f t="shared" si="954"/>
        <v>0</v>
      </c>
      <c r="FP63" s="525">
        <f t="shared" si="955"/>
        <v>0.26167772420187624</v>
      </c>
      <c r="FQ63" s="525">
        <f t="shared" si="956"/>
        <v>6.8862559000493748E-2</v>
      </c>
      <c r="FR63" s="472"/>
      <c r="FS63" s="734">
        <f>FS59</f>
        <v>1210</v>
      </c>
      <c r="FT63" s="478">
        <f t="shared" si="957"/>
        <v>673.91603324469111</v>
      </c>
      <c r="FU63" s="914">
        <f t="shared" si="958"/>
        <v>0.55695539937577776</v>
      </c>
      <c r="FV63" s="796">
        <f t="shared" si="959"/>
        <v>483.91603324469111</v>
      </c>
      <c r="FW63" s="281">
        <f t="shared" si="960"/>
        <v>0.39993060598734803</v>
      </c>
      <c r="FX63" s="472"/>
      <c r="FY63" s="472" t="str">
        <f t="shared" si="961"/>
        <v>Hạt nhựa rPET WSS05SB</v>
      </c>
      <c r="FZ63" s="858"/>
      <c r="GA63" s="796"/>
      <c r="GB63" s="942"/>
      <c r="GC63" s="472"/>
      <c r="GD63" s="858"/>
      <c r="GE63" s="796"/>
      <c r="GF63" s="942"/>
      <c r="GG63" s="472"/>
      <c r="GH63" s="858"/>
      <c r="GI63" s="796"/>
      <c r="GJ63" s="472"/>
      <c r="GK63" s="472"/>
      <c r="GL63" s="858"/>
      <c r="GM63" s="796"/>
      <c r="GN63" s="472"/>
    </row>
    <row r="64" spans="11:196" ht="30.5" x14ac:dyDescent="0.35">
      <c r="K64" s="353"/>
      <c r="V64" s="343"/>
      <c r="AA64" s="1010"/>
      <c r="AB64" s="1062"/>
      <c r="AC64" s="1062"/>
      <c r="AH64" s="341"/>
      <c r="AS64" s="353"/>
      <c r="AW64" s="353"/>
      <c r="AZ64" s="463">
        <f>AZ66-AZ65</f>
        <v>-943.91248125795391</v>
      </c>
      <c r="BA64" s="343"/>
      <c r="BB64" s="579" t="s">
        <v>712</v>
      </c>
      <c r="BC64" s="517">
        <f>'Hảo_R&amp;D (Vảy sạch)'!BR3</f>
        <v>0.13333333333333333</v>
      </c>
      <c r="DP64" s="928">
        <f>0.7*DR80+0.3*DR77</f>
        <v>8543.6999999999989</v>
      </c>
      <c r="DQ64" s="912" t="str">
        <f>AX374</f>
        <v>70% Vảy PET HAD_A3+ 30% Vảy PET Zigzar_A3</v>
      </c>
      <c r="DR64" s="911"/>
      <c r="DS64" s="387">
        <f>BA387</f>
        <v>0.88</v>
      </c>
      <c r="DT64" s="768" t="s">
        <v>872</v>
      </c>
      <c r="DU64" s="477">
        <f>DP64/DS62</f>
        <v>12205.285714285714</v>
      </c>
      <c r="DV64" s="478">
        <f t="shared" si="925"/>
        <v>12205.285714285714</v>
      </c>
      <c r="DW64" s="472"/>
      <c r="DX64" s="477"/>
      <c r="DY64" s="477"/>
      <c r="DZ64" s="477"/>
      <c r="EA64" s="477"/>
      <c r="EB64" s="478">
        <f>EB11</f>
        <v>2796.8565141477497</v>
      </c>
      <c r="EC64" s="472"/>
      <c r="ED64" s="472"/>
      <c r="EE64" s="478">
        <f t="shared" si="926"/>
        <v>15002.142228433464</v>
      </c>
      <c r="EF64" s="478"/>
      <c r="EG64" s="477">
        <f t="shared" si="928"/>
        <v>566.11857465786659</v>
      </c>
      <c r="EH64" s="472"/>
      <c r="EI64" s="478">
        <f t="shared" ref="EI64:EK64" si="967">EI18</f>
        <v>2173</v>
      </c>
      <c r="EJ64" s="941">
        <f t="shared" si="967"/>
        <v>1166</v>
      </c>
      <c r="EK64" s="941">
        <f t="shared" si="967"/>
        <v>371</v>
      </c>
      <c r="EL64" s="477">
        <f t="shared" si="930"/>
        <v>3710</v>
      </c>
      <c r="EM64" s="477">
        <f t="shared" si="931"/>
        <v>18712.142228433462</v>
      </c>
      <c r="EN64" s="478">
        <f t="shared" si="932"/>
        <v>706.11857465786659</v>
      </c>
      <c r="EO64" s="478">
        <f t="shared" si="890"/>
        <v>50</v>
      </c>
      <c r="EP64" s="734">
        <f t="shared" si="933"/>
        <v>756.11857465786659</v>
      </c>
      <c r="EQ64" s="472"/>
      <c r="ER64" s="734">
        <f t="shared" si="962"/>
        <v>460.57681940700809</v>
      </c>
      <c r="ES64" s="734">
        <f t="shared" si="934"/>
        <v>245.5417552508585</v>
      </c>
      <c r="ET64" s="734">
        <f t="shared" si="935"/>
        <v>50</v>
      </c>
      <c r="EU64" s="734">
        <f t="shared" si="936"/>
        <v>756.11857465786659</v>
      </c>
      <c r="EV64" s="472"/>
      <c r="EW64" s="734">
        <f t="shared" si="937"/>
        <v>12205.285714285714</v>
      </c>
      <c r="EX64" s="734">
        <f t="shared" si="938"/>
        <v>6506.8565141477502</v>
      </c>
      <c r="EY64" s="734">
        <f t="shared" si="939"/>
        <v>1325</v>
      </c>
      <c r="EZ64" s="734">
        <f t="shared" si="940"/>
        <v>20037.142228433462</v>
      </c>
      <c r="FA64" s="472"/>
      <c r="FB64" s="734">
        <f t="shared" si="941"/>
        <v>460.57681940700809</v>
      </c>
      <c r="FC64" s="734">
        <f t="shared" si="942"/>
        <v>0</v>
      </c>
      <c r="FD64" s="734">
        <f t="shared" si="943"/>
        <v>105.54175525085849</v>
      </c>
      <c r="FE64" s="734">
        <f t="shared" si="944"/>
        <v>140</v>
      </c>
      <c r="FF64" s="734">
        <f t="shared" si="945"/>
        <v>50</v>
      </c>
      <c r="FG64" s="734">
        <f t="shared" si="946"/>
        <v>756.11857465786659</v>
      </c>
      <c r="FH64" s="814">
        <f t="shared" si="947"/>
        <v>0</v>
      </c>
      <c r="FI64" s="734">
        <f t="shared" si="948"/>
        <v>12205.285714285714</v>
      </c>
      <c r="FJ64" s="734">
        <f t="shared" si="949"/>
        <v>0</v>
      </c>
      <c r="FK64" s="734">
        <f t="shared" si="950"/>
        <v>2796.8565141477497</v>
      </c>
      <c r="FL64" s="734">
        <f t="shared" si="951"/>
        <v>3710</v>
      </c>
      <c r="FM64" s="734">
        <f t="shared" si="952"/>
        <v>1325</v>
      </c>
      <c r="FN64" s="734">
        <f t="shared" si="953"/>
        <v>20037.142228433462</v>
      </c>
      <c r="FO64" s="478">
        <f t="shared" si="954"/>
        <v>0</v>
      </c>
      <c r="FP64" s="958">
        <f t="shared" si="955"/>
        <v>0.2512833388413615</v>
      </c>
      <c r="FQ64" s="958">
        <f t="shared" si="956"/>
        <v>6.6127194431937236E-2</v>
      </c>
      <c r="FR64" s="472"/>
      <c r="FS64" s="734">
        <f>FS63</f>
        <v>1210</v>
      </c>
      <c r="FT64" s="478">
        <f t="shared" si="957"/>
        <v>643.88142534213341</v>
      </c>
      <c r="FU64" s="971">
        <f t="shared" si="958"/>
        <v>0.53213340937366393</v>
      </c>
      <c r="FV64" s="796">
        <f t="shared" si="959"/>
        <v>453.88142534213341</v>
      </c>
      <c r="FW64" s="985">
        <f t="shared" si="960"/>
        <v>0.37510861598523421</v>
      </c>
      <c r="FX64" s="472"/>
      <c r="FY64" s="472">
        <f t="shared" si="961"/>
        <v>0</v>
      </c>
      <c r="FZ64" s="960"/>
      <c r="GA64" s="796"/>
      <c r="GB64" s="970"/>
      <c r="GC64" s="472"/>
      <c r="GD64" s="960"/>
      <c r="GE64" s="796"/>
      <c r="GF64" s="970"/>
      <c r="GG64" s="472"/>
      <c r="GH64" s="960"/>
      <c r="GI64" s="796"/>
      <c r="GJ64" s="970"/>
      <c r="GK64" s="472"/>
      <c r="GL64" s="960"/>
      <c r="GM64" s="796"/>
      <c r="GN64" s="472"/>
    </row>
    <row r="65" spans="4:196" ht="16" x14ac:dyDescent="0.35">
      <c r="K65" s="353"/>
      <c r="V65" s="343"/>
      <c r="Z65" s="350"/>
      <c r="AA65" s="1089"/>
      <c r="AB65" s="1088"/>
      <c r="AC65" s="1088"/>
      <c r="AS65" s="353"/>
      <c r="AW65" s="353"/>
      <c r="AZ65" s="466">
        <f>($AI$5*0.6+$AI$123*0.25+$AI$5*0.15+$AI$5*0.05)/BA65</f>
        <v>23730.927110063622</v>
      </c>
      <c r="BA65" s="577">
        <f>SUM(BA66:BA68,BA72)</f>
        <v>0.91300000000000003</v>
      </c>
      <c r="BB65" s="580">
        <f>SUM(BA66*BB66,BA68*BB68,BA72*BB72)</f>
        <v>0.99084403669724752</v>
      </c>
      <c r="BD65" s="438">
        <f>(0.6*AK6+AK124*0.25+AK6*0.15+0.05*AK6)*BA65</f>
        <v>0.7678253349698998</v>
      </c>
      <c r="BE65" s="468">
        <f>($N$5/BD65)*0.6+($N$123/BD65)*0.25+($N$5/BD65)*0.15+($N$5/BD65)*0.05</f>
        <v>22957.462374805105</v>
      </c>
      <c r="BF65" s="679">
        <f>BE65-AZ65</f>
        <v>-773.46473525851616</v>
      </c>
      <c r="DP65" s="911"/>
      <c r="DQ65" s="912"/>
      <c r="DR65" s="911" t="str">
        <f>BC388</f>
        <v>Hạt nhựa rPET WSS05SB</v>
      </c>
      <c r="DT65" s="773" t="s">
        <v>871</v>
      </c>
      <c r="DU65" s="477">
        <f>AZ387</f>
        <v>10173.06818181818</v>
      </c>
      <c r="DV65" s="478">
        <f t="shared" si="925"/>
        <v>10173.06818181818</v>
      </c>
      <c r="DW65" s="472"/>
      <c r="DX65" s="477"/>
      <c r="DY65" s="477"/>
      <c r="DZ65" s="477"/>
      <c r="EA65" s="477"/>
      <c r="EB65" s="478">
        <f>EB10</f>
        <v>2000.939404729972</v>
      </c>
      <c r="EC65" s="472"/>
      <c r="ED65" s="472"/>
      <c r="EE65" s="478">
        <f t="shared" si="926"/>
        <v>12174.007586548152</v>
      </c>
      <c r="EF65" s="478">
        <f t="shared" ref="EF65" si="968">$EF$6</f>
        <v>23509.852491131598</v>
      </c>
      <c r="EG65" s="477">
        <f t="shared" si="928"/>
        <v>459.39651269993027</v>
      </c>
      <c r="EH65" s="472"/>
      <c r="EI65" s="478">
        <f t="shared" ref="EI65:EK65" si="969">EI19</f>
        <v>2173</v>
      </c>
      <c r="EJ65" s="941">
        <f t="shared" si="969"/>
        <v>1166</v>
      </c>
      <c r="EK65" s="941">
        <f t="shared" si="969"/>
        <v>371</v>
      </c>
      <c r="EL65" s="477">
        <f t="shared" si="930"/>
        <v>3710</v>
      </c>
      <c r="EM65" s="477">
        <f t="shared" si="931"/>
        <v>15884.007586548152</v>
      </c>
      <c r="EN65" s="478">
        <f t="shared" si="932"/>
        <v>599.39651269993033</v>
      </c>
      <c r="EO65" s="478">
        <f t="shared" si="890"/>
        <v>50</v>
      </c>
      <c r="EP65" s="734">
        <f t="shared" si="933"/>
        <v>649.39651269993033</v>
      </c>
      <c r="EQ65" s="472"/>
      <c r="ER65" s="734">
        <f t="shared" si="962"/>
        <v>383.88936535162946</v>
      </c>
      <c r="ES65" s="734">
        <f t="shared" si="934"/>
        <v>215.50714734830083</v>
      </c>
      <c r="ET65" s="734">
        <f t="shared" si="935"/>
        <v>50</v>
      </c>
      <c r="EU65" s="734">
        <f t="shared" si="936"/>
        <v>649.39651269993033</v>
      </c>
      <c r="EV65" s="472"/>
      <c r="EW65" s="734">
        <f t="shared" si="937"/>
        <v>10173.06818181818</v>
      </c>
      <c r="EX65" s="734">
        <f t="shared" si="938"/>
        <v>5710.939404729972</v>
      </c>
      <c r="EY65" s="734">
        <f t="shared" si="939"/>
        <v>1325</v>
      </c>
      <c r="EZ65" s="734">
        <f t="shared" si="940"/>
        <v>17209.007586548152</v>
      </c>
      <c r="FA65" s="472"/>
      <c r="FB65" s="734">
        <f t="shared" si="941"/>
        <v>383.88936535162946</v>
      </c>
      <c r="FC65" s="734">
        <f t="shared" si="942"/>
        <v>0</v>
      </c>
      <c r="FD65" s="734">
        <f t="shared" si="943"/>
        <v>75.507147348300833</v>
      </c>
      <c r="FE65" s="734">
        <f t="shared" si="944"/>
        <v>140</v>
      </c>
      <c r="FF65" s="734">
        <f t="shared" si="945"/>
        <v>50</v>
      </c>
      <c r="FG65" s="734">
        <f t="shared" si="946"/>
        <v>649.39651269993033</v>
      </c>
      <c r="FH65" s="814">
        <f t="shared" si="947"/>
        <v>0</v>
      </c>
      <c r="FI65" s="734">
        <f t="shared" si="948"/>
        <v>10173.06818181818</v>
      </c>
      <c r="FJ65" s="734">
        <f t="shared" si="949"/>
        <v>0</v>
      </c>
      <c r="FK65" s="734">
        <f t="shared" si="950"/>
        <v>2000.939404729972</v>
      </c>
      <c r="FL65" s="734">
        <f t="shared" si="951"/>
        <v>3710</v>
      </c>
      <c r="FM65" s="734">
        <f t="shared" si="952"/>
        <v>1325</v>
      </c>
      <c r="FN65" s="734">
        <f t="shared" si="953"/>
        <v>17209.007586548152</v>
      </c>
      <c r="FO65" s="478">
        <f t="shared" si="954"/>
        <v>0</v>
      </c>
      <c r="FP65" s="525">
        <f t="shared" si="955"/>
        <v>0.29257933525090268</v>
      </c>
      <c r="FQ65" s="525">
        <f t="shared" si="956"/>
        <v>7.6994561908132281E-2</v>
      </c>
      <c r="FR65" s="472"/>
      <c r="FS65" s="734">
        <f>FS59</f>
        <v>1210</v>
      </c>
      <c r="FT65" s="478">
        <f t="shared" si="957"/>
        <v>750.60348730006967</v>
      </c>
      <c r="FU65" s="914">
        <f t="shared" si="958"/>
        <v>0.62033346057856997</v>
      </c>
      <c r="FV65" s="796">
        <f t="shared" si="959"/>
        <v>560.60348730006967</v>
      </c>
      <c r="FW65" s="281">
        <f t="shared" si="960"/>
        <v>0.46330866719014024</v>
      </c>
      <c r="FX65" s="472"/>
      <c r="FY65" s="472" t="str">
        <f t="shared" si="961"/>
        <v>Hạt nhựa rPET WSS05SB</v>
      </c>
      <c r="FZ65" s="858"/>
      <c r="GA65" s="796"/>
      <c r="GB65" s="942"/>
      <c r="GC65" s="472"/>
      <c r="GD65" s="858"/>
      <c r="GE65" s="796"/>
      <c r="GF65" s="942"/>
      <c r="GG65" s="472"/>
      <c r="GH65" s="858"/>
      <c r="GI65" s="796"/>
      <c r="GJ65" s="472"/>
      <c r="GK65" s="472"/>
      <c r="GL65" s="858"/>
      <c r="GM65" s="796"/>
      <c r="GN65" s="472"/>
    </row>
    <row r="66" spans="4:196" ht="30.5" x14ac:dyDescent="0.35">
      <c r="K66" s="353"/>
      <c r="M66" s="340" t="s">
        <v>54</v>
      </c>
      <c r="N66" s="453">
        <f>$E$5*$L$71</f>
        <v>223.32266097474212</v>
      </c>
      <c r="V66" s="343"/>
      <c r="AA66" s="1090"/>
      <c r="AB66" s="1088"/>
      <c r="AC66" s="1088"/>
      <c r="AS66" s="353"/>
      <c r="AW66" s="369"/>
      <c r="AX66" s="370"/>
      <c r="AY66" s="370"/>
      <c r="AZ66" s="467">
        <f>$AZ$46/$BB$46*BB66</f>
        <v>22787.014628805668</v>
      </c>
      <c r="BA66" s="576">
        <v>0.72099999999999997</v>
      </c>
      <c r="BB66" s="580">
        <f>BB26</f>
        <v>1.0917431192660549</v>
      </c>
      <c r="BC66" s="433" t="s">
        <v>582</v>
      </c>
      <c r="BD66" s="423"/>
      <c r="BE66" s="376"/>
      <c r="BF66" s="376"/>
      <c r="DP66" s="928">
        <f>0.7*DR80+0.3*DR79</f>
        <v>8952.2999999999993</v>
      </c>
      <c r="DQ66" s="912" t="str">
        <f>AX390</f>
        <v>70% Vảy PET HAD_A3+ 30% Vảy PET Tuyển nổi_A3</v>
      </c>
      <c r="DR66" s="911"/>
      <c r="DS66" s="387"/>
      <c r="DT66" s="768" t="s">
        <v>872</v>
      </c>
      <c r="DU66" s="477">
        <f>DP66/DS64</f>
        <v>10173.06818181818</v>
      </c>
      <c r="DV66" s="478">
        <f t="shared" si="925"/>
        <v>10173.06818181818</v>
      </c>
      <c r="DW66" s="472"/>
      <c r="DX66" s="477"/>
      <c r="DY66" s="477"/>
      <c r="DZ66" s="477"/>
      <c r="EA66" s="477"/>
      <c r="EB66" s="478">
        <f>EB11</f>
        <v>2796.8565141477497</v>
      </c>
      <c r="EC66" s="472"/>
      <c r="ED66" s="472"/>
      <c r="EE66" s="478">
        <f t="shared" si="926"/>
        <v>12969.92469596593</v>
      </c>
      <c r="EF66" s="478"/>
      <c r="EG66" s="477">
        <f t="shared" si="928"/>
        <v>489.43112060248797</v>
      </c>
      <c r="EH66" s="472"/>
      <c r="EI66" s="478">
        <f t="shared" ref="EI66:EK66" si="970">EI20</f>
        <v>2173</v>
      </c>
      <c r="EJ66" s="941">
        <f t="shared" si="970"/>
        <v>1166</v>
      </c>
      <c r="EK66" s="941">
        <f t="shared" si="970"/>
        <v>371</v>
      </c>
      <c r="EL66" s="477">
        <f t="shared" si="930"/>
        <v>3710</v>
      </c>
      <c r="EM66" s="477">
        <f t="shared" si="931"/>
        <v>16679.924695965929</v>
      </c>
      <c r="EN66" s="478">
        <f t="shared" si="932"/>
        <v>629.43112060248791</v>
      </c>
      <c r="EO66" s="478">
        <f t="shared" si="890"/>
        <v>50</v>
      </c>
      <c r="EP66" s="734">
        <f t="shared" si="933"/>
        <v>679.43112060248791</v>
      </c>
      <c r="EQ66" s="472"/>
      <c r="ER66" s="734">
        <f t="shared" si="962"/>
        <v>383.88936535162946</v>
      </c>
      <c r="ES66" s="734">
        <f t="shared" si="934"/>
        <v>245.5417552508585</v>
      </c>
      <c r="ET66" s="734">
        <f t="shared" si="935"/>
        <v>50</v>
      </c>
      <c r="EU66" s="734">
        <f t="shared" si="936"/>
        <v>679.43112060248791</v>
      </c>
      <c r="EV66" s="472"/>
      <c r="EW66" s="734">
        <f t="shared" si="937"/>
        <v>10173.06818181818</v>
      </c>
      <c r="EX66" s="734">
        <f t="shared" si="938"/>
        <v>6506.8565141477502</v>
      </c>
      <c r="EY66" s="734">
        <f t="shared" si="939"/>
        <v>1325</v>
      </c>
      <c r="EZ66" s="734">
        <f t="shared" si="940"/>
        <v>18004.924695965929</v>
      </c>
      <c r="FA66" s="472"/>
      <c r="FB66" s="734">
        <f t="shared" si="941"/>
        <v>383.88936535162946</v>
      </c>
      <c r="FC66" s="734">
        <f t="shared" si="942"/>
        <v>0</v>
      </c>
      <c r="FD66" s="734">
        <f t="shared" si="943"/>
        <v>105.54175525085849</v>
      </c>
      <c r="FE66" s="734">
        <f t="shared" si="944"/>
        <v>140</v>
      </c>
      <c r="FF66" s="734">
        <f t="shared" si="945"/>
        <v>50</v>
      </c>
      <c r="FG66" s="734">
        <f t="shared" si="946"/>
        <v>679.43112060248791</v>
      </c>
      <c r="FH66" s="814">
        <f t="shared" si="947"/>
        <v>0</v>
      </c>
      <c r="FI66" s="734">
        <f t="shared" si="948"/>
        <v>10173.06818181818</v>
      </c>
      <c r="FJ66" s="734">
        <f t="shared" si="949"/>
        <v>0</v>
      </c>
      <c r="FK66" s="734">
        <f t="shared" si="950"/>
        <v>2796.8565141477497</v>
      </c>
      <c r="FL66" s="734">
        <f t="shared" si="951"/>
        <v>3710</v>
      </c>
      <c r="FM66" s="734">
        <f t="shared" si="952"/>
        <v>1325</v>
      </c>
      <c r="FN66" s="734">
        <f t="shared" si="953"/>
        <v>18004.924695965929</v>
      </c>
      <c r="FO66" s="478">
        <f t="shared" si="954"/>
        <v>0</v>
      </c>
      <c r="FP66" s="958">
        <f t="shared" si="955"/>
        <v>0.27964571277146805</v>
      </c>
      <c r="FQ66" s="958">
        <f t="shared" si="956"/>
        <v>7.3590977045123171E-2</v>
      </c>
      <c r="FR66" s="472"/>
      <c r="FS66" s="734">
        <f>FS65</f>
        <v>1210</v>
      </c>
      <c r="FT66" s="478">
        <f t="shared" si="957"/>
        <v>720.56887939751209</v>
      </c>
      <c r="FU66" s="971">
        <f t="shared" si="958"/>
        <v>0.59551147057645626</v>
      </c>
      <c r="FV66" s="796">
        <f t="shared" si="959"/>
        <v>530.56887939751209</v>
      </c>
      <c r="FW66" s="985">
        <f t="shared" si="960"/>
        <v>0.43848667718802653</v>
      </c>
      <c r="FX66" s="472"/>
      <c r="FY66" s="472">
        <f t="shared" si="961"/>
        <v>0</v>
      </c>
      <c r="FZ66" s="960"/>
      <c r="GA66" s="796"/>
      <c r="GB66" s="970"/>
      <c r="GC66" s="472"/>
      <c r="GD66" s="960"/>
      <c r="GE66" s="796"/>
      <c r="GF66" s="970"/>
      <c r="GG66" s="472"/>
      <c r="GH66" s="960"/>
      <c r="GI66" s="796"/>
      <c r="GJ66" s="970"/>
      <c r="GK66" s="472"/>
      <c r="GL66" s="960"/>
      <c r="GM66" s="796"/>
      <c r="GN66" s="472"/>
    </row>
    <row r="67" spans="4:196" ht="45.5" x14ac:dyDescent="0.35">
      <c r="K67" s="353"/>
      <c r="M67" s="340" t="s">
        <v>653</v>
      </c>
      <c r="N67" s="453">
        <f>(($E$5+$H$5)*$G$5/(1-$G$5)+$H$5)*$L$71</f>
        <v>87.899126447685688</v>
      </c>
      <c r="Q67" s="384" t="s">
        <v>857</v>
      </c>
      <c r="R67" s="340" t="s">
        <v>858</v>
      </c>
      <c r="S67" s="340" t="s">
        <v>859</v>
      </c>
      <c r="T67" s="340" t="s">
        <v>860</v>
      </c>
      <c r="V67" s="343"/>
      <c r="Z67" s="384" t="s">
        <v>857</v>
      </c>
      <c r="AA67" s="340" t="s">
        <v>858</v>
      </c>
      <c r="AB67" s="340" t="s">
        <v>859</v>
      </c>
      <c r="AC67" s="340" t="s">
        <v>860</v>
      </c>
      <c r="AH67" s="384" t="s">
        <v>861</v>
      </c>
      <c r="AI67" s="384" t="s">
        <v>862</v>
      </c>
      <c r="AJ67" s="384" t="s">
        <v>863</v>
      </c>
      <c r="AK67" s="340" t="s">
        <v>860</v>
      </c>
      <c r="AS67" s="353"/>
      <c r="AW67" s="369"/>
      <c r="AX67" s="377"/>
      <c r="AY67" s="377"/>
      <c r="AZ67" s="469">
        <f>AZ66-AZ68</f>
        <v>574.46255366736659</v>
      </c>
      <c r="BA67" s="356"/>
      <c r="BB67" s="356"/>
      <c r="BC67" s="424"/>
      <c r="BD67" s="425"/>
      <c r="BE67" s="376"/>
      <c r="BF67" s="376"/>
      <c r="DP67" s="911"/>
      <c r="DQ67" s="912"/>
      <c r="DR67" s="911"/>
      <c r="DS67" s="387"/>
      <c r="DT67" s="768"/>
      <c r="DV67" s="463"/>
      <c r="GD67" s="453"/>
      <c r="GH67" s="453"/>
      <c r="GL67" s="453"/>
    </row>
    <row r="68" spans="4:196" ht="16" x14ac:dyDescent="0.35">
      <c r="K68" s="353"/>
      <c r="L68" s="340" t="s">
        <v>712</v>
      </c>
      <c r="M68" s="340" t="s">
        <v>655</v>
      </c>
      <c r="N68" s="455">
        <f>N66+N67</f>
        <v>311.22178742242784</v>
      </c>
      <c r="Q68" s="453"/>
      <c r="R68" s="463"/>
      <c r="V68" s="343"/>
      <c r="Z68" s="468">
        <f>Q69/$Z$70</f>
        <v>11511.47736983207</v>
      </c>
      <c r="AA68" s="468">
        <f>R69/$Z$70</f>
        <v>1604.2360176413802</v>
      </c>
      <c r="AB68" s="468">
        <f t="shared" ref="AB68" si="971">S69/$Z$70</f>
        <v>2926.6467889403557</v>
      </c>
      <c r="AC68" s="463">
        <f>Z69-Z68-AA68-AB68</f>
        <v>0</v>
      </c>
      <c r="AH68" s="468">
        <f>Z68/$AH$71</f>
        <v>12992.638114934616</v>
      </c>
      <c r="AI68" s="468">
        <f t="shared" ref="AI68:AJ68" si="972">AA68/$AH$71</f>
        <v>1810.6501327780813</v>
      </c>
      <c r="AJ68" s="468">
        <f t="shared" si="972"/>
        <v>3303.2130800681216</v>
      </c>
      <c r="AK68" s="463">
        <f>AH70-AH68-AI68-AJ68</f>
        <v>0</v>
      </c>
      <c r="AQ68" s="452">
        <v>26.5</v>
      </c>
      <c r="AS68" s="353"/>
      <c r="AW68" s="352"/>
      <c r="AX68" s="1015" t="s">
        <v>822</v>
      </c>
      <c r="AY68" s="1016"/>
      <c r="AZ68" s="467">
        <f>$AZ$46/$BB$46*BB68</f>
        <v>22212.552075138301</v>
      </c>
      <c r="BA68" s="576">
        <v>0.16900000000000001</v>
      </c>
      <c r="BB68" s="451">
        <f>BB30</f>
        <v>1.0642201834862386</v>
      </c>
      <c r="BC68" s="433" t="s">
        <v>588</v>
      </c>
      <c r="BD68" s="423"/>
      <c r="BE68" s="376"/>
      <c r="BF68" s="376"/>
      <c r="DP68" s="923" t="s">
        <v>678</v>
      </c>
      <c r="DQ68" s="805"/>
      <c r="DR68" s="804" t="s">
        <v>678</v>
      </c>
      <c r="DS68" s="764"/>
      <c r="DT68" s="806" t="s">
        <v>871</v>
      </c>
      <c r="DU68" s="807">
        <f>(0.15*$DB$6+0.65*$DB$44+0.2*$DB$35)/$DS$5</f>
        <v>20376.279276497477</v>
      </c>
      <c r="DV68" s="807">
        <f>(0.15*$DC$6+0.65*$DC$44+0.2*$DC$35)/$DS$5</f>
        <v>14621.357156513728</v>
      </c>
      <c r="DW68" s="807">
        <f>(0.15*($DD$6+$DE$6+$DF$6)+0.65*($DD$44+$DE$44+$DF$44)+0.2*($DD$35+$DE$35+$DF$35))/$DS$5</f>
        <v>7144.0132317250182</v>
      </c>
      <c r="DX68" s="807">
        <f>(0.15*$DG$6+0.65*$DG$44+0.2*$DG$35)/$DS$5</f>
        <v>-795.53227806013479</v>
      </c>
      <c r="DY68" s="807">
        <f>(0.15*$DH$6+0.65*$DH$44+0.2*$DH$35)/$DS$5</f>
        <v>-373.62506725110848</v>
      </c>
      <c r="DZ68" s="807"/>
      <c r="EA68" s="807">
        <f>(0.15*$DI$6+0.65*$DI$44+0.2*$DI$35)/$DS$5</f>
        <v>2037.6279276497469</v>
      </c>
      <c r="EB68" s="804"/>
      <c r="EC68" s="807"/>
      <c r="ED68" s="807"/>
      <c r="EE68" s="808">
        <f>SUM(DV68:ED68)</f>
        <v>22633.84097057725</v>
      </c>
      <c r="EF68" s="807">
        <f>$EF$6</f>
        <v>23509.852491131598</v>
      </c>
      <c r="EG68" s="813">
        <f>EE68/$EG$1</f>
        <v>854.10720643687739</v>
      </c>
      <c r="EH68" s="804"/>
      <c r="EI68" s="807">
        <f t="shared" ref="EI68:EK69" si="973">EI6</f>
        <v>2173</v>
      </c>
      <c r="EJ68" s="807">
        <f t="shared" si="973"/>
        <v>1166</v>
      </c>
      <c r="EK68" s="807">
        <f t="shared" si="973"/>
        <v>371</v>
      </c>
      <c r="EL68" s="809">
        <f>SUM(EI68:EK68)</f>
        <v>3710</v>
      </c>
      <c r="EM68" s="809">
        <f t="shared" ref="EM68" si="974">EE68+EL68</f>
        <v>26343.84097057725</v>
      </c>
      <c r="EN68" s="808">
        <f>EG68+$EN$1/2</f>
        <v>924.10720643687739</v>
      </c>
      <c r="EO68" s="807">
        <f>EO54</f>
        <v>50</v>
      </c>
      <c r="EP68" s="810">
        <f t="shared" ref="EP68" si="975">EN68+EO68</f>
        <v>974.10720643687739</v>
      </c>
      <c r="EQ68" s="804"/>
      <c r="ER68" s="810">
        <f t="shared" ref="ER68" si="976">SUM(DV68,EA68,DX68:DZ68)/$EG$1</f>
        <v>584.52180146612204</v>
      </c>
      <c r="ES68" s="810">
        <f>(SUM(DW68,EB68,EC68:ED68,EI68:EK68))/$EG$1</f>
        <v>409.58540497075535</v>
      </c>
      <c r="ET68" s="810">
        <f t="shared" ref="ET68" si="977">EO68</f>
        <v>50</v>
      </c>
      <c r="EU68" s="813">
        <f t="shared" ref="EU68" si="978">SUM(ER68:ET68)</f>
        <v>1044.1072064368773</v>
      </c>
      <c r="EV68" s="804"/>
      <c r="EW68" s="810">
        <f t="shared" ref="EW68:EW69" si="979">SUM(DV68,EA68,DX68:DZ68)</f>
        <v>15489.827738852233</v>
      </c>
      <c r="EX68" s="810">
        <f t="shared" ref="EX68:EX69" si="980">SUM(DW68,EB68,EC68,EI68:EK68)</f>
        <v>10854.013231725017</v>
      </c>
      <c r="EY68" s="810">
        <f t="shared" ref="EY68:EY69" si="981">EO68*$EG$1</f>
        <v>1325</v>
      </c>
      <c r="EZ68" s="813">
        <f t="shared" ref="EZ68:EZ69" si="982">SUM(EW68:EY68)</f>
        <v>27668.84097057725</v>
      </c>
      <c r="FA68" s="804"/>
      <c r="FB68" s="810">
        <f>DV68/$EG$1</f>
        <v>551.74932666089535</v>
      </c>
      <c r="FC68" s="810">
        <f>SUM(DX68:EA68)/$EG$1</f>
        <v>32.772474805226551</v>
      </c>
      <c r="FD68" s="810">
        <f>SUM(DW68,EB68,EC68:ED68)/$EG$1</f>
        <v>269.58540497075541</v>
      </c>
      <c r="FE68" s="810">
        <f>SUM(EI68:EK68)/$EG$1</f>
        <v>140</v>
      </c>
      <c r="FF68" s="810">
        <f t="shared" ref="FF68" si="983">ET68</f>
        <v>50</v>
      </c>
      <c r="FG68" s="813">
        <f t="shared" ref="FG68" si="984">SUM(FB68:FF68)</f>
        <v>1044.1072064368773</v>
      </c>
      <c r="FH68" s="811">
        <f t="shared" ref="FH68" si="985">FG68-EU68</f>
        <v>0</v>
      </c>
      <c r="FI68" s="810">
        <f t="shared" ref="FI68:FI69" si="986">DV68</f>
        <v>14621.357156513728</v>
      </c>
      <c r="FJ68" s="810">
        <f t="shared" ref="FJ68:FJ69" si="987">SUM(DX68:EA68)</f>
        <v>868.47058233850362</v>
      </c>
      <c r="FK68" s="810">
        <f t="shared" ref="FK68:FK69" si="988">SUM(DW68,EB68,EC68)</f>
        <v>7144.0132317250182</v>
      </c>
      <c r="FL68" s="810">
        <f t="shared" ref="FL68:FL69" si="989">SUM(EI68:EK68)</f>
        <v>3710</v>
      </c>
      <c r="FM68" s="810">
        <f t="shared" ref="FM68:FM69" si="990">EY68</f>
        <v>1325</v>
      </c>
      <c r="FN68" s="813">
        <f t="shared" ref="FN68" si="991">SUM(FI68:FM68)</f>
        <v>27668.84097057725</v>
      </c>
      <c r="FO68" s="479">
        <f>FN68-EZ68</f>
        <v>0</v>
      </c>
      <c r="FP68" s="812">
        <f>(FF68+FE68)/FG68</f>
        <v>0.1819736506257767</v>
      </c>
      <c r="FQ68" s="812">
        <f>FF68/FG68</f>
        <v>4.7887802796257026E-2</v>
      </c>
      <c r="FR68" s="804"/>
      <c r="FS68" s="813">
        <v>1060</v>
      </c>
      <c r="FT68" s="807">
        <f t="shared" ref="FT68" si="992">FS68-SUM(FB68:FD68)</f>
        <v>205.89279356312272</v>
      </c>
      <c r="FU68" s="982">
        <f>FT68/FS68</f>
        <v>0.194238484493512</v>
      </c>
      <c r="FV68" s="298">
        <f t="shared" ref="FV68" si="993">FS68-FG68</f>
        <v>15.892793563122723</v>
      </c>
      <c r="FW68" s="281">
        <f t="shared" ref="FW68" si="994">FV68/FS68</f>
        <v>1.4993201474644079E-2</v>
      </c>
      <c r="FY68" s="340" t="str">
        <f t="shared" si="157"/>
        <v>Vảy FPET 201</v>
      </c>
      <c r="FZ68" s="861"/>
      <c r="GA68" s="298"/>
      <c r="GB68" s="299"/>
      <c r="GD68" s="861"/>
      <c r="GE68" s="298"/>
      <c r="GF68" s="299"/>
      <c r="GH68" s="861"/>
      <c r="GI68" s="298"/>
      <c r="GL68" s="861"/>
      <c r="GM68" s="298"/>
    </row>
    <row r="69" spans="4:196" ht="30.5" x14ac:dyDescent="0.35">
      <c r="K69" s="353"/>
      <c r="M69" s="340" t="s">
        <v>724</v>
      </c>
      <c r="N69" s="455">
        <f>N68/($J$71/(1-$G$5))*1000</f>
        <v>14004.980434009252</v>
      </c>
      <c r="O69" s="453">
        <f>'Giá mua Chai-Vảy'!E16</f>
        <v>13300</v>
      </c>
      <c r="P69" s="463">
        <f>N69-O69</f>
        <v>704.98043400925235</v>
      </c>
      <c r="Q69" s="788">
        <f>'Giá mua Chai-Vảy (Giá giảm)'!I26</f>
        <v>10049.519743863397</v>
      </c>
      <c r="R69" s="788">
        <f>'Giá mua Chai-Vảy (Giá giảm)'!K26</f>
        <v>1400.4980434009249</v>
      </c>
      <c r="S69" s="569">
        <f>'Giá mua Chai-Vảy (Giá giảm)'!L26</f>
        <v>2554.9626467449307</v>
      </c>
      <c r="T69" s="463">
        <f>N69-Q69-R69-S69</f>
        <v>0</v>
      </c>
      <c r="V69" s="343"/>
      <c r="Z69" s="465">
        <f>N69/Z70</f>
        <v>16042.360176413806</v>
      </c>
      <c r="AA69" s="465">
        <f>Z69-AA73</f>
        <v>15369.160176413805</v>
      </c>
      <c r="AI69" s="394" t="s">
        <v>712</v>
      </c>
      <c r="AJ69" s="342">
        <f>V71</f>
        <v>0.02</v>
      </c>
      <c r="AK69" s="454">
        <f>N69/AK70</f>
        <v>18106.501327780818</v>
      </c>
      <c r="AM69" s="453">
        <v>6000</v>
      </c>
      <c r="AP69" s="510">
        <f>AK69+AM69</f>
        <v>24106.501327780818</v>
      </c>
      <c r="AQ69" s="511">
        <f>AP69/AQ68</f>
        <v>909.67929538795534</v>
      </c>
      <c r="AS69" s="353"/>
      <c r="AW69" s="349"/>
      <c r="AX69" s="1017"/>
      <c r="AY69" s="1018"/>
      <c r="BA69" s="361"/>
      <c r="BB69" s="361"/>
      <c r="BC69" s="431"/>
      <c r="BD69" s="432"/>
      <c r="BE69" s="376"/>
      <c r="BF69" s="376"/>
      <c r="DP69" s="805"/>
      <c r="DQ69" s="805" t="s">
        <v>679</v>
      </c>
      <c r="DT69" s="768" t="s">
        <v>872</v>
      </c>
      <c r="DU69" s="807">
        <f>(0.15*$DB$7+0.65*$DB$45+0.2*$DB$36)/$DS$5</f>
        <v>20376.279276497477</v>
      </c>
      <c r="DV69" s="807">
        <f>(0.15*$DC$7+0.65*$DC$45+0.2*$DC$36)/$DS$5</f>
        <v>14621.357156513728</v>
      </c>
      <c r="DW69" s="807">
        <f>(0.15*($DD$7+$DE$7+$DF$7)+0.65*($DD$45+$DE$45+$DF$45)+0.2*($DD$36+$DE$36+$DF$36))/$DS$5</f>
        <v>8857.7015397986052</v>
      </c>
      <c r="DX69" s="807">
        <f>(0.15*$DG$7+0.65*$DG$45+0.2*$DG$36)/$DS$5</f>
        <v>-786.05161724211985</v>
      </c>
      <c r="DY69" s="807">
        <f>(0.15*$DH$7+0.65*$DH$45+0.2*$DH$36)/$DS$5</f>
        <v>-373.62506725110848</v>
      </c>
      <c r="DZ69" s="807"/>
      <c r="EA69" s="807">
        <f>(0.15*$DI$7+0.65*$DI$45+0.2*$DI$36)/$DS$5</f>
        <v>2037.6279276497469</v>
      </c>
      <c r="EE69" s="807">
        <f>SUM(DV69:ED69)</f>
        <v>24357.009939468855</v>
      </c>
      <c r="EF69" s="807"/>
      <c r="EG69" s="810">
        <f>EE69/$EG$1</f>
        <v>919.13245054599452</v>
      </c>
      <c r="EH69" s="804"/>
      <c r="EI69" s="807">
        <f t="shared" si="973"/>
        <v>2173</v>
      </c>
      <c r="EJ69" s="807">
        <f t="shared" si="973"/>
        <v>1166</v>
      </c>
      <c r="EK69" s="807">
        <f t="shared" si="973"/>
        <v>371</v>
      </c>
      <c r="EL69" s="810">
        <f>SUM(EI69:EK69)</f>
        <v>3710</v>
      </c>
      <c r="EM69" s="810">
        <f t="shared" ref="EM69" si="995">EE69+EL69</f>
        <v>28067.009939468855</v>
      </c>
      <c r="EN69" s="807">
        <f>EG69+$EN$1/2</f>
        <v>989.13245054599452</v>
      </c>
      <c r="EO69" s="807">
        <f>EO55</f>
        <v>50</v>
      </c>
      <c r="EP69" s="810">
        <f t="shared" ref="EP69" si="996">EN69+EO69</f>
        <v>1039.1324505459945</v>
      </c>
      <c r="EQ69" s="804"/>
      <c r="ER69" s="810">
        <f t="shared" ref="ER69" si="997">SUM(DV69,EA69,DX69:DZ69)/$EG$1</f>
        <v>584.87956225170751</v>
      </c>
      <c r="ES69" s="810">
        <f>(SUM(DW69,EB69,EC69:ED69,EI69:EK69))/$EG$1</f>
        <v>474.252888294287</v>
      </c>
      <c r="ET69" s="810">
        <f t="shared" ref="ET69" si="998">EO69</f>
        <v>50</v>
      </c>
      <c r="EU69" s="810">
        <f t="shared" ref="EU69" si="999">SUM(ER69:ET69)</f>
        <v>1109.1324505459945</v>
      </c>
      <c r="EV69" s="804"/>
      <c r="EW69" s="810">
        <f t="shared" si="979"/>
        <v>15499.308399670248</v>
      </c>
      <c r="EX69" s="810">
        <f t="shared" si="980"/>
        <v>12567.701539798605</v>
      </c>
      <c r="EY69" s="810">
        <f t="shared" si="981"/>
        <v>1325</v>
      </c>
      <c r="EZ69" s="810">
        <f t="shared" si="982"/>
        <v>29392.009939468851</v>
      </c>
      <c r="FA69" s="804"/>
      <c r="FB69" s="810">
        <f>DV69/$EG$1</f>
        <v>551.74932666089535</v>
      </c>
      <c r="FC69" s="810">
        <f>SUM(DX69:EA69)/$EG$1</f>
        <v>33.130235590812021</v>
      </c>
      <c r="FD69" s="810">
        <f>SUM(DW69,EB69,EC69:ED69)/$EG$1</f>
        <v>334.252888294287</v>
      </c>
      <c r="FE69" s="810">
        <f>SUM(EI69:EK69)/$EG$1</f>
        <v>140</v>
      </c>
      <c r="FF69" s="810">
        <f t="shared" ref="FF69" si="1000">ET69</f>
        <v>50</v>
      </c>
      <c r="FG69" s="810">
        <f t="shared" ref="FG69" si="1001">SUM(FB69:FF69)</f>
        <v>1109.1324505459943</v>
      </c>
      <c r="FH69" s="811">
        <f t="shared" ref="FH69" si="1002">FG69-EU69</f>
        <v>0</v>
      </c>
      <c r="FI69" s="810">
        <f t="shared" si="986"/>
        <v>14621.357156513728</v>
      </c>
      <c r="FJ69" s="810">
        <f t="shared" si="987"/>
        <v>877.95124315651856</v>
      </c>
      <c r="FK69" s="810">
        <f t="shared" si="988"/>
        <v>8857.7015397986052</v>
      </c>
      <c r="FL69" s="810">
        <f t="shared" si="989"/>
        <v>3710</v>
      </c>
      <c r="FM69" s="810">
        <f t="shared" si="990"/>
        <v>1325</v>
      </c>
      <c r="FN69" s="810">
        <f t="shared" ref="FN69" si="1003">SUM(FI69:FM69)</f>
        <v>29392.009939468851</v>
      </c>
      <c r="FO69" s="479">
        <f>FN69-EZ69</f>
        <v>0</v>
      </c>
      <c r="FP69" s="933">
        <f>(FF69+FE69)/FG69</f>
        <v>0.17130505910855678</v>
      </c>
      <c r="FQ69" s="933">
        <f>FF69/FG69</f>
        <v>4.5080278712778102E-2</v>
      </c>
      <c r="FR69" s="804"/>
      <c r="FS69" s="810">
        <f>FS68</f>
        <v>1060</v>
      </c>
      <c r="FT69" s="807">
        <f t="shared" ref="FT69" si="1004">FS69-SUM(FB69:FD69)</f>
        <v>140.8675494540056</v>
      </c>
      <c r="FU69" s="939">
        <f>FT69/FS69</f>
        <v>0.13289391457925057</v>
      </c>
      <c r="FV69" s="298">
        <f>FS69-FG69</f>
        <v>-49.132450545994288</v>
      </c>
      <c r="FW69" s="985">
        <f t="shared" ref="FW69" si="1005">FV69/FS69</f>
        <v>-4.6351368439617256E-2</v>
      </c>
      <c r="FY69" s="340">
        <f t="shared" ref="FY69" si="1006">DR69</f>
        <v>0</v>
      </c>
      <c r="FZ69" s="935"/>
      <c r="GA69" s="298"/>
      <c r="GB69" s="934"/>
      <c r="GD69" s="935"/>
      <c r="GE69" s="298"/>
      <c r="GF69" s="934"/>
      <c r="GH69" s="935"/>
      <c r="GL69" s="935"/>
    </row>
    <row r="70" spans="4:196" x14ac:dyDescent="0.35">
      <c r="K70" s="353"/>
      <c r="N70" s="460"/>
      <c r="V70" s="343"/>
      <c r="Z70" s="418">
        <f>Z71</f>
        <v>0.873</v>
      </c>
      <c r="AH70" s="465">
        <f>Z69/AH71</f>
        <v>18106.501327780818</v>
      </c>
      <c r="AI70" s="465">
        <f>AH70-AI74</f>
        <v>17653.501327780818</v>
      </c>
      <c r="AK70" s="388">
        <f>AH71*Z71</f>
        <v>0.773478</v>
      </c>
      <c r="AS70" s="353"/>
      <c r="AW70" s="349"/>
      <c r="AX70" s="368"/>
      <c r="AY70" s="368"/>
      <c r="BA70" s="357">
        <v>1.7000000000000001E-2</v>
      </c>
      <c r="BB70" s="357"/>
      <c r="BC70" s="434" t="s">
        <v>586</v>
      </c>
      <c r="BD70" s="434"/>
      <c r="BE70" s="368"/>
      <c r="BF70" s="368"/>
      <c r="DS70" s="387"/>
      <c r="FY70" s="340">
        <f t="shared" si="157"/>
        <v>0</v>
      </c>
      <c r="GD70" s="453"/>
      <c r="GH70" s="453"/>
      <c r="GL70" s="453"/>
    </row>
    <row r="71" spans="4:196" x14ac:dyDescent="0.35">
      <c r="D71" s="1101"/>
      <c r="E71" s="1011" t="s">
        <v>548</v>
      </c>
      <c r="F71" s="1012"/>
      <c r="G71" s="346"/>
      <c r="H71" s="1029" t="s">
        <v>549</v>
      </c>
      <c r="I71" s="1030"/>
      <c r="J71" s="340">
        <v>20</v>
      </c>
      <c r="K71" s="371">
        <v>0.02</v>
      </c>
      <c r="L71" s="574">
        <f>'Giá mua Chai-Vảy (Giá giảm)'!H16</f>
        <v>1.8925649235147637E-2</v>
      </c>
      <c r="M71" s="1070"/>
      <c r="N71" s="1072" t="s">
        <v>389</v>
      </c>
      <c r="O71" s="1073"/>
      <c r="P71" s="346"/>
      <c r="Q71" s="346"/>
      <c r="R71" s="1052"/>
      <c r="S71" s="1076" t="s">
        <v>389</v>
      </c>
      <c r="T71" s="1077"/>
      <c r="U71" s="347"/>
      <c r="V71" s="381">
        <v>0.02</v>
      </c>
      <c r="W71" s="1029" t="s">
        <v>551</v>
      </c>
      <c r="X71" s="1030"/>
      <c r="Y71" s="346"/>
      <c r="Z71" s="418">
        <v>0.873</v>
      </c>
      <c r="AA71" s="1003"/>
      <c r="AB71" s="1011" t="s">
        <v>604</v>
      </c>
      <c r="AC71" s="1012"/>
      <c r="AD71" s="346"/>
      <c r="AE71" s="1029" t="s">
        <v>557</v>
      </c>
      <c r="AF71" s="1030"/>
      <c r="AG71" s="673">
        <f>AI70</f>
        <v>17653.501327780818</v>
      </c>
      <c r="AH71" s="418">
        <f>SUM(AH72:AH73)</f>
        <v>0.88600000000000001</v>
      </c>
      <c r="AI71" s="1003"/>
      <c r="AJ71" s="1011" t="s">
        <v>723</v>
      </c>
      <c r="AK71" s="1012"/>
      <c r="AL71" s="346"/>
      <c r="AM71" s="1029" t="s">
        <v>605</v>
      </c>
      <c r="AN71" s="1030"/>
      <c r="AO71" s="346"/>
      <c r="AP71" s="1029" t="s">
        <v>381</v>
      </c>
      <c r="AQ71" s="1030"/>
      <c r="AS71" s="353"/>
      <c r="AW71" s="349"/>
      <c r="AX71" s="368"/>
      <c r="AY71" s="368"/>
      <c r="AZ71" s="463">
        <f>AZ68-AZ72</f>
        <v>574.46255366737023</v>
      </c>
      <c r="BA71" s="361"/>
      <c r="BB71" s="361"/>
      <c r="BC71" s="434"/>
      <c r="BD71" s="434"/>
      <c r="BE71" s="368"/>
      <c r="BF71" s="368"/>
      <c r="BJ71" s="349"/>
      <c r="BK71" s="349"/>
      <c r="BL71" s="349"/>
      <c r="BM71" s="349"/>
      <c r="BN71" s="349"/>
      <c r="BO71" s="349"/>
      <c r="BP71" s="349"/>
      <c r="BQ71" s="349"/>
      <c r="BR71" s="349"/>
      <c r="BS71" s="349"/>
      <c r="BT71" s="349"/>
      <c r="BU71" s="349"/>
      <c r="BV71" s="349"/>
      <c r="BW71" s="349"/>
      <c r="BX71" s="349"/>
      <c r="BY71" s="771"/>
      <c r="BZ71" s="349"/>
      <c r="CA71" s="349"/>
      <c r="CB71" s="349"/>
      <c r="CC71" s="349"/>
      <c r="CD71" s="349"/>
      <c r="CE71" s="349"/>
      <c r="CG71" s="349"/>
      <c r="CH71" s="349"/>
      <c r="CI71" s="349"/>
      <c r="CJ71" s="349"/>
      <c r="CK71" s="349"/>
      <c r="CL71" s="349"/>
      <c r="CM71" s="349"/>
      <c r="CN71" s="349"/>
      <c r="CO71" s="349"/>
      <c r="CP71" s="349"/>
      <c r="CQ71" s="349"/>
      <c r="CR71" s="349"/>
      <c r="CT71" s="349"/>
      <c r="DP71" s="774" t="s">
        <v>714</v>
      </c>
      <c r="DR71" s="411" t="s">
        <v>368</v>
      </c>
      <c r="DS71" s="764"/>
      <c r="DT71" s="773" t="s">
        <v>871</v>
      </c>
      <c r="DU71" s="482">
        <f>BZ6*0.9+BZ14*0.2</f>
        <v>21418.684044395894</v>
      </c>
      <c r="DV71" s="482">
        <f>(0.9*$DC$6+0*$DC$17+0*$DC$26+0*$DC$35+0.1*$DC$44+0*$DC$6)/$DS$5</f>
        <v>15735.77053411453</v>
      </c>
      <c r="DW71" s="482">
        <f>(0.9*($DD$6+$DE$6+$DF$6)+0*($DD$17+$DE$17+$DF$17)+0*($DD$26+$DE$26+$DF$26)+0*($DD$35+$DE$35+$DF$35)+0.1*($DD$44+$DE$44+$DF$44)+0*($DD$6+$DE$6+$DF$6))/$DS$5</f>
        <v>7412.9660586273312</v>
      </c>
      <c r="DX71" s="476">
        <f>(0.9*$DG$6+0*$DG$17+0*$DG$26+0*$DG$35+0.1*$DG$44+0*$DG$6)/$DS$5</f>
        <v>-742.99119755609445</v>
      </c>
      <c r="DY71" s="476">
        <f>(0.9*$DH$6+0*$DH$17+0*$DH$26+0*$DH$35+0.1*$DH$44+0*$DH$6)/$DS$5</f>
        <v>-326.97020274514188</v>
      </c>
      <c r="DZ71" s="476">
        <f t="shared" ref="DZ71:EA72" si="1007">DZ49</f>
        <v>-321.81131370545882</v>
      </c>
      <c r="EA71" s="476">
        <f t="shared" si="1007"/>
        <v>2103.2594021091791</v>
      </c>
      <c r="EB71" s="482">
        <f>EB6</f>
        <v>2000.939404729972</v>
      </c>
      <c r="EC71" s="482">
        <f>EC6</f>
        <v>0</v>
      </c>
      <c r="ED71" s="482"/>
      <c r="EE71" s="679">
        <f t="shared" ref="EE71" si="1008">SUM(DV71:ED71)</f>
        <v>25861.162685574316</v>
      </c>
      <c r="EF71" s="482">
        <f>$EF$6</f>
        <v>23509.852491131598</v>
      </c>
      <c r="EG71" s="494">
        <f t="shared" ref="EG71" si="1009">EE71/$EG$1</f>
        <v>975.89293153110623</v>
      </c>
      <c r="EH71" s="411"/>
      <c r="EI71" s="482">
        <f t="shared" ref="EI71:EK72" si="1010">EI25</f>
        <v>2173</v>
      </c>
      <c r="EJ71" s="936">
        <f t="shared" si="1010"/>
        <v>1166</v>
      </c>
      <c r="EK71" s="936">
        <f t="shared" si="1010"/>
        <v>371</v>
      </c>
      <c r="EL71" s="476">
        <f t="shared" ref="EL71" si="1011">SUM(EI71:EK71)</f>
        <v>3710</v>
      </c>
      <c r="EM71" s="476">
        <f t="shared" ref="EM71" si="1012">EE71+EL71</f>
        <v>29571.162685574316</v>
      </c>
      <c r="EN71" s="679">
        <f t="shared" ref="EN71" si="1013">EG71+$EN$1</f>
        <v>1115.8929315311061</v>
      </c>
      <c r="EO71" s="482">
        <f t="shared" ref="EO71" si="1014">EO66</f>
        <v>50</v>
      </c>
      <c r="EP71" s="733">
        <f t="shared" ref="EP71" si="1015">EN71+EO71</f>
        <v>1165.8929315311061</v>
      </c>
      <c r="EQ71" s="411"/>
      <c r="ER71" s="733">
        <f t="shared" ref="ER71" si="1016">SUM(DV71,EA71,DX71:DZ71)/$EG$1</f>
        <v>620.65121593271749</v>
      </c>
      <c r="ES71" s="733">
        <f t="shared" ref="ES71" si="1017">(SUM(DW71,EB71,EC71:ED71,EI71:EK71))/$EG$1</f>
        <v>495.24171559838879</v>
      </c>
      <c r="ET71" s="733">
        <f t="shared" ref="ET71" si="1018">EO71</f>
        <v>50</v>
      </c>
      <c r="EU71" s="494">
        <f t="shared" ref="EU71" si="1019">SUM(ER71:ET71)</f>
        <v>1165.8929315311063</v>
      </c>
      <c r="EV71" s="411"/>
      <c r="EW71" s="733">
        <f t="shared" ref="EW71:EW72" si="1020">SUM(DV71,EA71,DX71:DZ71)</f>
        <v>16447.257222217013</v>
      </c>
      <c r="EX71" s="733">
        <f t="shared" ref="EX71:EX72" si="1021">SUM(DW71,EB71,EC71,EI71:EK71)</f>
        <v>13123.905463357303</v>
      </c>
      <c r="EY71" s="733">
        <f t="shared" ref="EY71:EY72" si="1022">EO71*$EG$1</f>
        <v>1325</v>
      </c>
      <c r="EZ71" s="494">
        <f t="shared" ref="EZ71:EZ72" si="1023">SUM(EW71:EY71)</f>
        <v>30896.162685574316</v>
      </c>
      <c r="FA71" s="411"/>
      <c r="FB71" s="733">
        <f t="shared" ref="FB71" si="1024">DV71/$EG$1</f>
        <v>593.80266166469926</v>
      </c>
      <c r="FC71" s="733">
        <f t="shared" ref="FC71" si="1025">SUM(DX71:EA71)/$EG$1</f>
        <v>26.848554268018258</v>
      </c>
      <c r="FD71" s="733">
        <f t="shared" ref="FD71" si="1026">SUM(DW71,EB71,EC71:ED71)/$EG$1</f>
        <v>355.24171559838879</v>
      </c>
      <c r="FE71" s="733">
        <f t="shared" ref="FE71" si="1027">SUM(EI71:EK71)/$EG$1</f>
        <v>140</v>
      </c>
      <c r="FF71" s="733">
        <f t="shared" ref="FF71" si="1028">ET71</f>
        <v>50</v>
      </c>
      <c r="FG71" s="494">
        <f t="shared" ref="FG71" si="1029">SUM(FB71:FF71)</f>
        <v>1165.8929315311063</v>
      </c>
      <c r="FH71" s="937">
        <f t="shared" ref="FH71" si="1030">FG71-EU71</f>
        <v>0</v>
      </c>
      <c r="FI71" s="733">
        <f t="shared" ref="FI71" si="1031">DV71</f>
        <v>15735.77053411453</v>
      </c>
      <c r="FJ71" s="733">
        <f t="shared" ref="FJ71" si="1032">SUM(DX71:EA71)</f>
        <v>711.48668810248387</v>
      </c>
      <c r="FK71" s="733">
        <f t="shared" ref="FK71" si="1033">SUM(DW71,EB71,EC71)</f>
        <v>9413.9054633573032</v>
      </c>
      <c r="FL71" s="733">
        <f t="shared" ref="FL71" si="1034">SUM(EI71:EK71)</f>
        <v>3710</v>
      </c>
      <c r="FM71" s="733">
        <f t="shared" ref="FM71" si="1035">EY71</f>
        <v>1325</v>
      </c>
      <c r="FN71" s="494">
        <f t="shared" ref="FN71" si="1036">SUM(FI71:FM71)</f>
        <v>30896.162685574316</v>
      </c>
      <c r="FO71" s="482">
        <f t="shared" ref="FO71" si="1037">FN71-EZ71</f>
        <v>0</v>
      </c>
      <c r="FP71" s="938">
        <f t="shared" ref="FP71" si="1038">(FF71+FE71)/FG71</f>
        <v>0.16296522164388022</v>
      </c>
      <c r="FQ71" s="938">
        <f t="shared" ref="FQ71" si="1039">FF71/FG71</f>
        <v>4.2885584643126369E-2</v>
      </c>
      <c r="FR71" s="411"/>
      <c r="FS71" s="494">
        <f>$FS$10</f>
        <v>1380</v>
      </c>
      <c r="FT71" s="482">
        <f t="shared" ref="FT71" si="1040">FS71-SUM(FB71:FD71)</f>
        <v>404.10706846889366</v>
      </c>
      <c r="FU71" s="973">
        <f t="shared" ref="FU71" si="1041">FT71/FS71</f>
        <v>0.2928312090354302</v>
      </c>
      <c r="FV71" s="279">
        <f t="shared" ref="FV71" si="1042">FS71-FG71</f>
        <v>214.10706846889366</v>
      </c>
      <c r="FW71" s="281">
        <f t="shared" ref="FW71" si="1043">FV71/FS71</f>
        <v>0.15515004961514034</v>
      </c>
      <c r="FX71" s="411"/>
      <c r="FY71" s="411" t="str">
        <f t="shared" si="157"/>
        <v>Hạt WSS01G-Nia</v>
      </c>
      <c r="FZ71" s="857"/>
      <c r="GA71" s="279"/>
      <c r="GB71" s="281"/>
      <c r="GC71" s="411"/>
      <c r="GD71" s="857"/>
      <c r="GE71" s="797"/>
      <c r="GF71" s="296"/>
      <c r="GH71" s="860"/>
      <c r="GI71" s="797"/>
      <c r="GL71" s="860"/>
      <c r="GM71" s="797"/>
    </row>
    <row r="72" spans="4:196" x14ac:dyDescent="0.35">
      <c r="D72" s="1102"/>
      <c r="E72" s="1013"/>
      <c r="F72" s="1014"/>
      <c r="H72" s="1031"/>
      <c r="I72" s="1032"/>
      <c r="J72" s="366"/>
      <c r="K72" s="353"/>
      <c r="M72" s="1071"/>
      <c r="N72" s="1074"/>
      <c r="O72" s="1075"/>
      <c r="R72" s="1052"/>
      <c r="S72" s="1076"/>
      <c r="T72" s="1077"/>
      <c r="U72" s="354"/>
      <c r="V72" s="343"/>
      <c r="W72" s="1031"/>
      <c r="X72" s="1032"/>
      <c r="Z72" s="361"/>
      <c r="AA72" s="1004"/>
      <c r="AB72" s="1013"/>
      <c r="AC72" s="1014"/>
      <c r="AE72" s="1031"/>
      <c r="AF72" s="1032"/>
      <c r="AH72" s="361"/>
      <c r="AI72" s="1004"/>
      <c r="AJ72" s="1013"/>
      <c r="AK72" s="1014"/>
      <c r="AM72" s="1031"/>
      <c r="AN72" s="1032"/>
      <c r="AP72" s="1031"/>
      <c r="AQ72" s="1032"/>
      <c r="AS72" s="353"/>
      <c r="AW72" s="349"/>
      <c r="AX72" s="378"/>
      <c r="AY72" s="378"/>
      <c r="AZ72" s="467">
        <f>$AZ$46/$BB$46*BB72</f>
        <v>21638.089521470931</v>
      </c>
      <c r="BA72" s="357">
        <v>2.3E-2</v>
      </c>
      <c r="BB72" s="450">
        <f>BB32</f>
        <v>1.036697247706422</v>
      </c>
      <c r="BC72" s="434" t="s">
        <v>590</v>
      </c>
      <c r="BD72" s="434"/>
      <c r="BE72" s="378"/>
      <c r="BF72" s="378"/>
      <c r="BJ72" s="349"/>
      <c r="BK72" s="349"/>
      <c r="BL72" s="349"/>
      <c r="BM72" s="349"/>
      <c r="BN72" s="349"/>
      <c r="BO72" s="349"/>
      <c r="BP72" s="349"/>
      <c r="BQ72" s="349"/>
      <c r="BR72" s="349"/>
      <c r="BS72" s="349"/>
      <c r="BT72" s="349"/>
      <c r="BU72" s="349"/>
      <c r="BV72" s="349"/>
      <c r="BW72" s="349"/>
      <c r="BX72" s="349"/>
      <c r="BY72" s="771"/>
      <c r="BZ72" s="349"/>
      <c r="CA72" s="349"/>
      <c r="CB72" s="349"/>
      <c r="CC72" s="349"/>
      <c r="CD72" s="349"/>
      <c r="CE72" s="349"/>
      <c r="CG72" s="349"/>
      <c r="CH72" s="349"/>
      <c r="CI72" s="349"/>
      <c r="CJ72" s="349"/>
      <c r="CK72" s="349"/>
      <c r="CL72" s="349"/>
      <c r="CM72" s="349"/>
      <c r="CN72" s="349"/>
      <c r="CO72" s="349"/>
      <c r="CP72" s="349"/>
      <c r="CQ72" s="349"/>
      <c r="CR72" s="349"/>
      <c r="CT72" s="349"/>
      <c r="DQ72" s="481" t="s">
        <v>713</v>
      </c>
      <c r="DT72" s="768" t="s">
        <v>872</v>
      </c>
      <c r="DU72" s="482">
        <f>(0.9*$DB$6+0*$DB$17+0*$DB$26+0*$DB$35+0.1*$DB$44+0*$DB$6)/$DS$5</f>
        <v>21929.322401590875</v>
      </c>
      <c r="DV72" s="482">
        <f>(0.9*$DC$7+0*$DC$18+0*$DC$27+0*$DC$36+0.1*$DC$45+0*$DC$7)/$DS$5</f>
        <v>15735.77053411453</v>
      </c>
      <c r="DW72" s="482">
        <f>(0.9*($DD$7+$DE$7+$DF$7)+0*($DD$18+$DE$18+$DF$18)+0*($DD$27+$DE$27+$DF$27)+0*($DD$36+$DE$36+$DF$36)+0.1*($DD$45+$DE$45+$DF$45)+0*($DD$7+$DE$7+$DF$7))/$DS$5</f>
        <v>9652.1625950197213</v>
      </c>
      <c r="DX72" s="476">
        <f>(0.9*$DG$7+0*$DG$18+0*$DG$27+0*$DG$36+0.1*$DG$45+0*$DG$7)/$DS$5</f>
        <v>-742.99119755609445</v>
      </c>
      <c r="DY72" s="476">
        <f>(0.9*$DH$7+0*$DH$18+0*$DH$27+0*$DH$36+0.1*$DH$45+0*$DH$7)/$DS$5</f>
        <v>-326.97020274514188</v>
      </c>
      <c r="DZ72" s="476">
        <f t="shared" si="1007"/>
        <v>-321.81131370545882</v>
      </c>
      <c r="EA72" s="476">
        <f t="shared" si="1007"/>
        <v>2103.2594021091791</v>
      </c>
      <c r="EB72" s="482">
        <f>EB7</f>
        <v>2796.8565141477497</v>
      </c>
      <c r="EE72" s="482">
        <f t="shared" ref="EE72" si="1044">SUM(DV72:ED72)</f>
        <v>28896.276331384488</v>
      </c>
      <c r="EF72" s="482"/>
      <c r="EG72" s="476">
        <f t="shared" ref="EG72" si="1045">EE72/$EG$1</f>
        <v>1090.4255219390373</v>
      </c>
      <c r="EH72" s="411"/>
      <c r="EI72" s="482">
        <f t="shared" si="1010"/>
        <v>2173</v>
      </c>
      <c r="EJ72" s="936">
        <f t="shared" si="1010"/>
        <v>1166</v>
      </c>
      <c r="EK72" s="936">
        <f t="shared" si="1010"/>
        <v>371</v>
      </c>
      <c r="EL72" s="476">
        <f t="shared" ref="EL72" si="1046">SUM(EI72:EK72)</f>
        <v>3710</v>
      </c>
      <c r="EM72" s="476">
        <f t="shared" ref="EM72" si="1047">EE72+EL72</f>
        <v>32606.276331384488</v>
      </c>
      <c r="EN72" s="482">
        <f t="shared" ref="EN72" si="1048">EG72+$EN$1</f>
        <v>1230.4255219390373</v>
      </c>
      <c r="EO72" s="482">
        <f>EO71</f>
        <v>50</v>
      </c>
      <c r="EP72" s="733">
        <f t="shared" ref="EP72" si="1049">EN72+EO72</f>
        <v>1280.4255219390373</v>
      </c>
      <c r="EQ72" s="411"/>
      <c r="ER72" s="733">
        <f t="shared" ref="ER72" si="1050">SUM(DV72,EA72,DX72:DZ72)/$EG$1</f>
        <v>620.65121593271749</v>
      </c>
      <c r="ES72" s="733">
        <f t="shared" ref="ES72" si="1051">(SUM(DW72,EB72,EC72:ED72,EI72:EK72))/$EG$1</f>
        <v>609.77430600631965</v>
      </c>
      <c r="ET72" s="733">
        <f t="shared" ref="ET72" si="1052">EO72</f>
        <v>50</v>
      </c>
      <c r="EU72" s="733">
        <f t="shared" ref="EU72" si="1053">SUM(ER72:ET72)</f>
        <v>1280.425521939037</v>
      </c>
      <c r="EV72" s="411"/>
      <c r="EW72" s="733">
        <f t="shared" si="1020"/>
        <v>16447.257222217013</v>
      </c>
      <c r="EX72" s="733">
        <f t="shared" si="1021"/>
        <v>16159.019109167471</v>
      </c>
      <c r="EY72" s="733">
        <f t="shared" si="1022"/>
        <v>1325</v>
      </c>
      <c r="EZ72" s="733">
        <f t="shared" si="1023"/>
        <v>33931.276331384484</v>
      </c>
      <c r="FA72" s="411"/>
      <c r="FB72" s="733">
        <f t="shared" ref="FB72" si="1054">DV72/$EG$1</f>
        <v>593.80266166469926</v>
      </c>
      <c r="FC72" s="733">
        <f t="shared" ref="FC72" si="1055">SUM(DX72:EA72)/$EG$1</f>
        <v>26.848554268018258</v>
      </c>
      <c r="FD72" s="733">
        <f t="shared" ref="FD72" si="1056">SUM(DW72,EB72,EC72:ED72)/$EG$1</f>
        <v>469.7743060063197</v>
      </c>
      <c r="FE72" s="733">
        <f t="shared" ref="FE72" si="1057">SUM(EI72:EK72)/$EG$1</f>
        <v>140</v>
      </c>
      <c r="FF72" s="733">
        <f t="shared" ref="FF72" si="1058">ET72</f>
        <v>50</v>
      </c>
      <c r="FG72" s="733">
        <f t="shared" ref="FG72" si="1059">SUM(FB72:FF72)</f>
        <v>1280.4255219390373</v>
      </c>
      <c r="FH72" s="937">
        <f t="shared" ref="FH72" si="1060">FG72-EU72</f>
        <v>0</v>
      </c>
      <c r="FI72" s="733">
        <f t="shared" ref="FI72" si="1061">DV72</f>
        <v>15735.77053411453</v>
      </c>
      <c r="FJ72" s="733">
        <f t="shared" ref="FJ72" si="1062">SUM(DX72:EA72)</f>
        <v>711.48668810248387</v>
      </c>
      <c r="FK72" s="733">
        <f t="shared" ref="FK72" si="1063">SUM(DW72,EB72,EC72)</f>
        <v>12449.019109167471</v>
      </c>
      <c r="FL72" s="733">
        <f t="shared" ref="FL72" si="1064">SUM(EI72:EK72)</f>
        <v>3710</v>
      </c>
      <c r="FM72" s="733">
        <f t="shared" ref="FM72" si="1065">EY72</f>
        <v>1325</v>
      </c>
      <c r="FN72" s="733">
        <f t="shared" ref="FN72" si="1066">SUM(FI72:FM72)</f>
        <v>33931.276331384484</v>
      </c>
      <c r="FO72" s="482">
        <f t="shared" ref="FO72" si="1067">FN72-EZ72</f>
        <v>0</v>
      </c>
      <c r="FP72" s="983">
        <f t="shared" ref="FP72" si="1068">(FF72+FE72)/FG72</f>
        <v>0.1483881699829521</v>
      </c>
      <c r="FQ72" s="983">
        <f t="shared" ref="FQ72" si="1069">FF72/FG72</f>
        <v>3.9049518416566335E-2</v>
      </c>
      <c r="FR72" s="411"/>
      <c r="FS72" s="733">
        <f>FS71</f>
        <v>1380</v>
      </c>
      <c r="FT72" s="482">
        <f t="shared" ref="FT72" si="1070">FS72-SUM(FB72:FD72)</f>
        <v>289.57447806096275</v>
      </c>
      <c r="FU72" s="984">
        <f t="shared" ref="FU72" si="1071">FT72/FS72</f>
        <v>0.20983657830504546</v>
      </c>
      <c r="FV72" s="279">
        <f t="shared" ref="FV72" si="1072">FS72-FG72</f>
        <v>99.574478060962747</v>
      </c>
      <c r="FW72" s="985">
        <f t="shared" ref="FW72" si="1073">FV72/FS72</f>
        <v>7.2155418884755615E-2</v>
      </c>
      <c r="FX72" s="411"/>
      <c r="FY72" s="411">
        <f t="shared" ref="FY72" si="1074">DR72</f>
        <v>0</v>
      </c>
      <c r="FZ72" s="986"/>
      <c r="GA72" s="279"/>
      <c r="GB72" s="985"/>
      <c r="GC72" s="411"/>
      <c r="GD72" s="986"/>
      <c r="GE72" s="797"/>
      <c r="GF72" s="959"/>
      <c r="GH72" s="966"/>
      <c r="GI72" s="797"/>
      <c r="GL72" s="966"/>
      <c r="GM72" s="797"/>
    </row>
    <row r="73" spans="4:196" ht="24" customHeight="1" x14ac:dyDescent="0.35">
      <c r="K73" s="353"/>
      <c r="V73" s="343"/>
      <c r="Z73" s="391">
        <f>SUM(Z74:Z86)</f>
        <v>0.10599999999999998</v>
      </c>
      <c r="AA73" s="563">
        <f>SUM(AA74:AA87)</f>
        <v>673.19999999999993</v>
      </c>
      <c r="AB73" s="1088"/>
      <c r="AC73" s="1088"/>
      <c r="AH73" s="567">
        <v>0.88600000000000001</v>
      </c>
      <c r="AI73" s="557" t="s">
        <v>700</v>
      </c>
      <c r="AJ73" s="1011" t="s">
        <v>722</v>
      </c>
      <c r="AK73" s="1027"/>
      <c r="AS73" s="353"/>
      <c r="AW73" s="349"/>
      <c r="AX73" s="378"/>
      <c r="AY73" s="378"/>
      <c r="BA73" s="361"/>
      <c r="BB73" s="361"/>
      <c r="BC73" s="434"/>
      <c r="BD73" s="434"/>
      <c r="BE73" s="378"/>
      <c r="BF73" s="378"/>
      <c r="DR73" s="499"/>
      <c r="DS73" s="499"/>
      <c r="DT73" s="499"/>
      <c r="DU73" s="482"/>
      <c r="DV73" s="482"/>
      <c r="DW73" s="482"/>
      <c r="EB73" s="482"/>
      <c r="EC73" s="482"/>
      <c r="EE73" s="476"/>
      <c r="EG73" s="476"/>
      <c r="EH73" s="411"/>
      <c r="EI73" s="482"/>
      <c r="EJ73" s="482"/>
      <c r="EK73" s="482"/>
      <c r="EL73" s="476"/>
      <c r="EM73" s="475"/>
      <c r="EN73" s="482"/>
      <c r="EO73" s="463"/>
      <c r="EP73" s="736"/>
      <c r="EQ73" s="471"/>
      <c r="ER73" s="736"/>
      <c r="ES73" s="736"/>
      <c r="ET73" s="736"/>
      <c r="EU73" s="736"/>
      <c r="EW73" s="736"/>
      <c r="EX73" s="736"/>
      <c r="EY73" s="736"/>
      <c r="EZ73" s="736"/>
      <c r="FB73" s="736"/>
      <c r="FC73" s="736"/>
      <c r="FD73" s="736"/>
      <c r="FE73" s="736"/>
      <c r="FF73" s="736"/>
      <c r="FG73" s="736"/>
      <c r="FH73" s="732"/>
      <c r="FI73" s="736"/>
      <c r="FJ73" s="736"/>
      <c r="FK73" s="736"/>
      <c r="FL73" s="736"/>
      <c r="FM73" s="736"/>
      <c r="FN73" s="736"/>
      <c r="FO73" s="479"/>
      <c r="FP73" s="958"/>
      <c r="FQ73" s="958"/>
      <c r="FS73" s="463"/>
      <c r="FT73" s="474"/>
      <c r="FU73" s="979"/>
      <c r="FV73" s="797"/>
      <c r="FW73" s="985"/>
      <c r="FZ73" s="966"/>
      <c r="GA73" s="797"/>
      <c r="GB73" s="959"/>
      <c r="GD73" s="966"/>
      <c r="GE73" s="797"/>
      <c r="GF73" s="959"/>
      <c r="GH73" s="966"/>
      <c r="GI73" s="797"/>
      <c r="GL73" s="966"/>
      <c r="GM73" s="797"/>
    </row>
    <row r="74" spans="4:196" x14ac:dyDescent="0.35">
      <c r="K74" s="353"/>
      <c r="V74" s="343"/>
      <c r="Y74" s="463">
        <f>Y21</f>
        <v>-300</v>
      </c>
      <c r="Z74" s="350">
        <v>1E-3</v>
      </c>
      <c r="AA74" s="1009">
        <f>Y74*Z74</f>
        <v>-0.3</v>
      </c>
      <c r="AB74" s="1005" t="s">
        <v>574</v>
      </c>
      <c r="AC74" s="1006"/>
      <c r="AH74" s="546">
        <f>SUM(AH75:AH85)</f>
        <v>5.8999999999999997E-2</v>
      </c>
      <c r="AI74" s="563">
        <f>SUM(AI75:AI86)</f>
        <v>453</v>
      </c>
      <c r="AJ74" s="566"/>
      <c r="AK74" s="566"/>
      <c r="AS74" s="353"/>
      <c r="AW74" s="349"/>
      <c r="BA74" s="357"/>
      <c r="BB74" s="350"/>
      <c r="BC74" s="368"/>
      <c r="BD74" s="368"/>
      <c r="BS74" s="341"/>
      <c r="BT74" s="341"/>
      <c r="BU74" s="341"/>
      <c r="BV74" s="341"/>
      <c r="BW74" s="341"/>
      <c r="BX74" s="341"/>
      <c r="BY74" s="772"/>
      <c r="BZ74" s="341"/>
      <c r="CA74" s="341"/>
      <c r="CB74" s="341"/>
      <c r="CC74" s="341"/>
      <c r="CD74" s="341"/>
      <c r="CE74" s="341"/>
      <c r="CG74" s="341"/>
      <c r="CH74" s="341"/>
      <c r="CI74" s="341"/>
      <c r="CJ74" s="341"/>
      <c r="CK74" s="341"/>
      <c r="CL74" s="341"/>
      <c r="CM74" s="341"/>
      <c r="CN74" s="341"/>
      <c r="CO74" s="341"/>
      <c r="CP74" s="341"/>
      <c r="CQ74" s="341"/>
      <c r="CR74" s="341"/>
      <c r="CT74" s="341"/>
      <c r="DR74" s="499"/>
      <c r="DS74" s="499"/>
      <c r="DT74" s="499"/>
      <c r="DU74" s="482"/>
      <c r="DV74" s="482"/>
      <c r="DW74" s="482"/>
      <c r="EB74" s="482"/>
      <c r="EC74" s="482"/>
      <c r="EE74" s="476"/>
      <c r="EG74" s="476"/>
      <c r="EH74" s="411"/>
      <c r="EI74" s="482"/>
      <c r="EJ74" s="482"/>
      <c r="EK74" s="482"/>
      <c r="EL74" s="476"/>
      <c r="EM74" s="475"/>
      <c r="EN74" s="482"/>
      <c r="EO74" s="463"/>
      <c r="EP74" s="736"/>
      <c r="EQ74" s="471"/>
      <c r="ER74" s="736"/>
      <c r="ES74" s="736"/>
      <c r="ET74" s="736"/>
      <c r="EU74" s="736"/>
      <c r="EW74" s="736"/>
      <c r="EX74" s="736"/>
      <c r="EY74" s="736"/>
      <c r="EZ74" s="736"/>
      <c r="FB74" s="736"/>
      <c r="FC74" s="736"/>
      <c r="FD74" s="736"/>
      <c r="FE74" s="736"/>
      <c r="FF74" s="736"/>
      <c r="FG74" s="736"/>
      <c r="FH74" s="732"/>
      <c r="FI74" s="736"/>
      <c r="FJ74" s="736"/>
      <c r="FK74" s="736"/>
      <c r="FL74" s="736"/>
      <c r="FM74" s="736"/>
      <c r="FN74" s="736"/>
      <c r="FO74" s="479"/>
      <c r="FP74" s="958"/>
      <c r="FQ74" s="958"/>
      <c r="FS74" s="463"/>
      <c r="FT74" s="474"/>
      <c r="FU74" s="979"/>
      <c r="FV74" s="797"/>
      <c r="FW74" s="985"/>
      <c r="FZ74" s="966"/>
      <c r="GA74" s="797"/>
      <c r="GB74" s="959"/>
      <c r="GD74" s="966"/>
      <c r="GE74" s="797"/>
      <c r="GF74" s="959"/>
      <c r="GH74" s="966"/>
      <c r="GI74" s="797"/>
      <c r="GL74" s="966"/>
      <c r="GM74" s="797"/>
    </row>
    <row r="75" spans="4:196" x14ac:dyDescent="0.35">
      <c r="K75" s="353"/>
      <c r="V75" s="343"/>
      <c r="Z75" s="343"/>
      <c r="AA75" s="1010"/>
      <c r="AB75" s="1007"/>
      <c r="AC75" s="1008"/>
      <c r="AG75" s="453">
        <v>8000</v>
      </c>
      <c r="AH75" s="386">
        <v>5.0000000000000001E-3</v>
      </c>
      <c r="AI75" s="1009">
        <f>AG75*AH75</f>
        <v>40</v>
      </c>
      <c r="AJ75" s="1011" t="s">
        <v>575</v>
      </c>
      <c r="AK75" s="1012"/>
      <c r="AS75" s="353"/>
      <c r="AW75" s="349"/>
      <c r="BA75" s="361"/>
      <c r="BB75" s="681">
        <f>SUM(BB76:BB80)</f>
        <v>405.5</v>
      </c>
      <c r="BC75" s="436"/>
      <c r="BD75" s="436"/>
      <c r="BG75" s="463"/>
      <c r="BS75" s="341"/>
      <c r="BT75" s="341"/>
      <c r="BU75" s="341"/>
      <c r="BV75" s="341"/>
      <c r="BW75" s="341"/>
      <c r="BX75" s="341"/>
      <c r="BY75" s="772"/>
      <c r="BZ75" s="341"/>
      <c r="CA75" s="341"/>
      <c r="CB75" s="341"/>
      <c r="CC75" s="341"/>
      <c r="CD75" s="341"/>
      <c r="CE75" s="341"/>
      <c r="CG75" s="341"/>
      <c r="CH75" s="341"/>
      <c r="CI75" s="341"/>
      <c r="CJ75" s="341"/>
      <c r="CK75" s="341"/>
      <c r="CL75" s="341"/>
      <c r="CM75" s="341"/>
      <c r="CN75" s="341"/>
      <c r="CO75" s="341"/>
      <c r="CP75" s="341"/>
      <c r="CQ75" s="341"/>
      <c r="CR75" s="341"/>
      <c r="CT75" s="341"/>
      <c r="FZ75" s="962"/>
    </row>
    <row r="76" spans="4:196" x14ac:dyDescent="0.35">
      <c r="K76" s="353"/>
      <c r="V76" s="343"/>
      <c r="Y76" s="463">
        <f>Y19</f>
        <v>7000</v>
      </c>
      <c r="Z76" s="350">
        <v>5.0000000000000001E-3</v>
      </c>
      <c r="AA76" s="1009">
        <f>Y76*Z76</f>
        <v>35</v>
      </c>
      <c r="AB76" s="1027" t="s">
        <v>572</v>
      </c>
      <c r="AC76" s="1012"/>
      <c r="AH76" s="343"/>
      <c r="AI76" s="1010"/>
      <c r="AJ76" s="1013"/>
      <c r="AK76" s="1014"/>
      <c r="AS76" s="353"/>
      <c r="AZ76" s="453">
        <v>19065</v>
      </c>
      <c r="BA76" s="362">
        <v>0</v>
      </c>
      <c r="BB76" s="680">
        <f>AZ76*BA76</f>
        <v>0</v>
      </c>
      <c r="BC76" s="431" t="s">
        <v>603</v>
      </c>
      <c r="BD76" s="430"/>
      <c r="DP76" s="340" t="s">
        <v>954</v>
      </c>
    </row>
    <row r="77" spans="4:196" x14ac:dyDescent="0.35">
      <c r="K77" s="353"/>
      <c r="V77" s="343"/>
      <c r="Z77" s="341"/>
      <c r="AA77" s="1010"/>
      <c r="AB77" s="1028"/>
      <c r="AC77" s="1014"/>
      <c r="AG77" s="453">
        <v>10500</v>
      </c>
      <c r="AH77" s="350">
        <v>2.8000000000000001E-2</v>
      </c>
      <c r="AI77" s="1009">
        <f>AG77*AH77</f>
        <v>294</v>
      </c>
      <c r="AJ77" s="1011" t="s">
        <v>578</v>
      </c>
      <c r="AK77" s="1012"/>
      <c r="AS77" s="353"/>
      <c r="BA77" s="343"/>
      <c r="BB77" s="343"/>
      <c r="BC77" s="430"/>
      <c r="BD77" s="430"/>
      <c r="DP77" s="929">
        <v>160012390</v>
      </c>
      <c r="DQ77" s="929" t="s">
        <v>950</v>
      </c>
      <c r="DR77" s="930">
        <v>10531</v>
      </c>
    </row>
    <row r="78" spans="4:196" ht="16" x14ac:dyDescent="0.35">
      <c r="K78" s="353"/>
      <c r="V78" s="343"/>
      <c r="Y78" s="463">
        <f>Y13</f>
        <v>10000</v>
      </c>
      <c r="Z78" s="350">
        <v>4.2000000000000003E-2</v>
      </c>
      <c r="AA78" s="1009">
        <f>Y78*Z78</f>
        <v>420</v>
      </c>
      <c r="AB78" s="1011" t="s">
        <v>697</v>
      </c>
      <c r="AC78" s="1012"/>
      <c r="AH78" s="343"/>
      <c r="AI78" s="1010"/>
      <c r="AJ78" s="1013"/>
      <c r="AK78" s="1014"/>
      <c r="AS78" s="353"/>
      <c r="AZ78" s="453">
        <v>6500</v>
      </c>
      <c r="BA78" s="576">
        <v>3.9E-2</v>
      </c>
      <c r="BB78" s="680">
        <f>AZ78*BA78</f>
        <v>253.5</v>
      </c>
      <c r="BC78" s="431" t="s">
        <v>576</v>
      </c>
      <c r="BD78" s="432"/>
      <c r="BG78" s="349"/>
      <c r="BH78" s="349"/>
      <c r="BI78" s="349"/>
      <c r="DP78" s="929">
        <v>160012439</v>
      </c>
      <c r="DQ78" s="929" t="s">
        <v>951</v>
      </c>
      <c r="DR78" s="930">
        <v>8000</v>
      </c>
    </row>
    <row r="79" spans="4:196" x14ac:dyDescent="0.35">
      <c r="K79" s="353"/>
      <c r="V79" s="343"/>
      <c r="Z79" s="350"/>
      <c r="AA79" s="1010"/>
      <c r="AB79" s="1013"/>
      <c r="AC79" s="1014"/>
      <c r="AG79" s="463">
        <f>AG51</f>
        <v>4500</v>
      </c>
      <c r="AH79" s="350">
        <v>0.01</v>
      </c>
      <c r="AI79" s="1009">
        <f>AG79*AH79</f>
        <v>45</v>
      </c>
      <c r="AJ79" s="1011" t="s">
        <v>599</v>
      </c>
      <c r="AK79" s="1012"/>
      <c r="AS79" s="353"/>
      <c r="BA79" s="343"/>
      <c r="BB79" s="343"/>
      <c r="BC79" s="424"/>
      <c r="BD79" s="425"/>
      <c r="BG79" s="349"/>
      <c r="BH79" s="349"/>
      <c r="BI79" s="349"/>
      <c r="DP79" s="929">
        <v>160012672</v>
      </c>
      <c r="DQ79" s="929" t="s">
        <v>952</v>
      </c>
      <c r="DR79" s="930">
        <v>11893</v>
      </c>
    </row>
    <row r="80" spans="4:196" ht="15" customHeight="1" x14ac:dyDescent="0.35">
      <c r="K80" s="353"/>
      <c r="V80" s="343"/>
      <c r="Y80" s="463">
        <f>Y17</f>
        <v>4166.6666666666661</v>
      </c>
      <c r="Z80" s="350">
        <v>2.7E-2</v>
      </c>
      <c r="AA80" s="1009">
        <f>Y80*Z80</f>
        <v>112.49999999999999</v>
      </c>
      <c r="AB80" s="1005" t="s">
        <v>571</v>
      </c>
      <c r="AC80" s="1006"/>
      <c r="AH80" s="343"/>
      <c r="AI80" s="1010"/>
      <c r="AJ80" s="1013"/>
      <c r="AK80" s="1014"/>
      <c r="AS80" s="353"/>
      <c r="AZ80" s="453">
        <v>8000</v>
      </c>
      <c r="BA80" s="576">
        <v>1.9E-2</v>
      </c>
      <c r="BB80" s="680">
        <f>AZ80*BA80</f>
        <v>152</v>
      </c>
      <c r="BC80" s="422" t="s">
        <v>579</v>
      </c>
      <c r="BD80" s="423"/>
      <c r="DP80" s="929">
        <v>160012719</v>
      </c>
      <c r="DQ80" s="929" t="s">
        <v>953</v>
      </c>
      <c r="DR80" s="930">
        <v>7692</v>
      </c>
    </row>
    <row r="81" spans="4:58" x14ac:dyDescent="0.35">
      <c r="K81" s="353"/>
      <c r="V81" s="343"/>
      <c r="Z81" s="343"/>
      <c r="AA81" s="1010"/>
      <c r="AB81" s="1007"/>
      <c r="AC81" s="1008"/>
      <c r="AG81" s="463">
        <f>AG25</f>
        <v>4166.6666666666661</v>
      </c>
      <c r="AH81" s="350">
        <v>7.0000000000000001E-3</v>
      </c>
      <c r="AI81" s="1009">
        <f>AG81*AH81</f>
        <v>29.166666666666664</v>
      </c>
      <c r="AJ81" s="1011" t="s">
        <v>581</v>
      </c>
      <c r="AK81" s="1012"/>
      <c r="AS81" s="353"/>
      <c r="BA81" s="343"/>
      <c r="BB81" s="343"/>
      <c r="BC81" s="424"/>
      <c r="BD81" s="425"/>
    </row>
    <row r="82" spans="4:58" x14ac:dyDescent="0.35">
      <c r="K82" s="353"/>
      <c r="V82" s="343"/>
      <c r="Y82" s="463">
        <f>Y15</f>
        <v>2000</v>
      </c>
      <c r="Z82" s="350">
        <v>1.2999999999999999E-2</v>
      </c>
      <c r="AA82" s="1009">
        <f>Y82*Z82</f>
        <v>26</v>
      </c>
      <c r="AB82" s="1011" t="s">
        <v>568</v>
      </c>
      <c r="AC82" s="1012"/>
      <c r="AH82" s="343"/>
      <c r="AI82" s="1010"/>
      <c r="AJ82" s="1013"/>
      <c r="AK82" s="1014"/>
      <c r="AS82" s="353"/>
      <c r="BA82" s="343"/>
      <c r="BB82" s="343"/>
    </row>
    <row r="83" spans="4:58" x14ac:dyDescent="0.35">
      <c r="K83" s="353"/>
      <c r="V83" s="343"/>
      <c r="Z83" s="343"/>
      <c r="AA83" s="1010"/>
      <c r="AB83" s="1013"/>
      <c r="AC83" s="1014"/>
      <c r="AG83" s="463">
        <f>AG27</f>
        <v>4166.6666666666661</v>
      </c>
      <c r="AH83" s="350">
        <v>5.0000000000000001E-3</v>
      </c>
      <c r="AI83" s="1009">
        <f>AG83*AH83</f>
        <v>20.833333333333332</v>
      </c>
      <c r="AJ83" s="1011" t="s">
        <v>583</v>
      </c>
      <c r="AK83" s="1012"/>
      <c r="AS83" s="353"/>
      <c r="BA83" s="343"/>
      <c r="BB83" s="343"/>
      <c r="BE83" s="409">
        <f>BE84/BE6</f>
        <v>9.9930069930069851E-2</v>
      </c>
    </row>
    <row r="84" spans="4:58" x14ac:dyDescent="0.35">
      <c r="K84" s="353"/>
      <c r="V84" s="343"/>
      <c r="Y84" s="453">
        <v>6000</v>
      </c>
      <c r="Z84" s="350">
        <v>0.01</v>
      </c>
      <c r="AA84" s="1009">
        <f>Y84*Z84</f>
        <v>60</v>
      </c>
      <c r="AB84" s="1084" t="s">
        <v>698</v>
      </c>
      <c r="AC84" s="1085"/>
      <c r="AH84" s="343"/>
      <c r="AI84" s="1010"/>
      <c r="AJ84" s="1013"/>
      <c r="AK84" s="1014"/>
      <c r="AS84" s="353"/>
      <c r="AZ84" s="463">
        <f>AZ86-AZ85</f>
        <v>3416.5412694744773</v>
      </c>
      <c r="BA84" s="343"/>
      <c r="BB84" s="579" t="s">
        <v>712</v>
      </c>
      <c r="BC84" s="517">
        <f>'Hảo_R&amp;D (Vảy sạch)'!BR4</f>
        <v>0.26666666666666666</v>
      </c>
      <c r="BE84" s="463">
        <f>BE85-BE6</f>
        <v>2203.8752071659364</v>
      </c>
    </row>
    <row r="85" spans="4:58" ht="16" x14ac:dyDescent="0.35">
      <c r="K85" s="353"/>
      <c r="V85" s="343"/>
      <c r="Z85" s="343"/>
      <c r="AA85" s="1010"/>
      <c r="AB85" s="1086"/>
      <c r="AC85" s="1087"/>
      <c r="AG85" s="463">
        <f>AG53</f>
        <v>6000</v>
      </c>
      <c r="AH85" s="350">
        <v>4.0000000000000001E-3</v>
      </c>
      <c r="AI85" s="1009">
        <f>AG85*AH85</f>
        <v>24</v>
      </c>
      <c r="AJ85" s="1011" t="s">
        <v>705</v>
      </c>
      <c r="AK85" s="1012"/>
      <c r="AS85" s="353"/>
      <c r="AZ85" s="466">
        <f>($AI$5)/BA85</f>
        <v>23900.409884967721</v>
      </c>
      <c r="BA85" s="577">
        <f>SUM(BA86:BA88)</f>
        <v>0.87551020408163283</v>
      </c>
      <c r="BB85" s="580">
        <f>SUM(BA86*BB86,BA88*BB88)</f>
        <v>0.93111776820820091</v>
      </c>
      <c r="BD85" s="439">
        <f>AK6*BA85</f>
        <v>0.70755888184437987</v>
      </c>
      <c r="BE85" s="468">
        <f>($N$5/BD85)</f>
        <v>24258.049778525568</v>
      </c>
      <c r="BF85" s="679">
        <f>BE85-AZ85</f>
        <v>357.63989355784724</v>
      </c>
    </row>
    <row r="86" spans="4:58" ht="16" x14ac:dyDescent="0.35">
      <c r="K86" s="353"/>
      <c r="V86" s="343"/>
      <c r="Y86" s="463">
        <f>Y23</f>
        <v>2500</v>
      </c>
      <c r="Z86" s="350">
        <v>8.0000000000000002E-3</v>
      </c>
      <c r="AA86" s="1009">
        <f>Y86*Z86</f>
        <v>20</v>
      </c>
      <c r="AB86" s="1005" t="s">
        <v>699</v>
      </c>
      <c r="AC86" s="1006"/>
      <c r="AH86" s="343"/>
      <c r="AI86" s="1010"/>
      <c r="AJ86" s="1013"/>
      <c r="AK86" s="1014"/>
      <c r="AS86" s="353"/>
      <c r="AZ86" s="467">
        <f>$AZ$85/$BB$85*BB86</f>
        <v>27316.951154442198</v>
      </c>
      <c r="BA86" s="576">
        <v>0.85306122448979604</v>
      </c>
      <c r="BB86" s="580">
        <f>BB11</f>
        <v>1.0642201834862386</v>
      </c>
      <c r="BC86" s="426" t="s">
        <v>597</v>
      </c>
      <c r="BD86" s="423"/>
    </row>
    <row r="87" spans="4:58" x14ac:dyDescent="0.35">
      <c r="K87" s="353"/>
      <c r="V87" s="343"/>
      <c r="Z87" s="343"/>
      <c r="AA87" s="1010"/>
      <c r="AB87" s="1007"/>
      <c r="AC87" s="1008"/>
      <c r="AG87" s="463">
        <f>Z69</f>
        <v>16042.360176413806</v>
      </c>
      <c r="AH87" s="388">
        <v>3.2000000000000001E-2</v>
      </c>
      <c r="AI87" s="738">
        <f>AG87*AH87</f>
        <v>513.35552564524176</v>
      </c>
      <c r="AJ87" s="1063" t="s">
        <v>739</v>
      </c>
      <c r="AK87" s="1064"/>
      <c r="AS87" s="353"/>
      <c r="AZ87" s="469">
        <f>AZ86-AZ88</f>
        <v>706.47287468385184</v>
      </c>
      <c r="BA87" s="356"/>
      <c r="BB87" s="356"/>
      <c r="BC87" s="424"/>
      <c r="BD87" s="425"/>
    </row>
    <row r="88" spans="4:58" ht="15" customHeight="1" x14ac:dyDescent="0.35">
      <c r="K88" s="353"/>
      <c r="V88" s="343"/>
      <c r="Y88" s="463">
        <f>N69</f>
        <v>14004.980434009252</v>
      </c>
      <c r="Z88" s="388">
        <v>2.1000000000000001E-2</v>
      </c>
      <c r="AA88" s="1078">
        <f>Y88*Z88</f>
        <v>294.10458911419431</v>
      </c>
      <c r="AB88" s="1005" t="s">
        <v>482</v>
      </c>
      <c r="AC88" s="1006"/>
      <c r="AH88" s="343"/>
      <c r="AI88" s="738"/>
      <c r="AJ88" s="1065"/>
      <c r="AK88" s="1066"/>
      <c r="AS88" s="358"/>
      <c r="AT88" s="1029" t="s">
        <v>606</v>
      </c>
      <c r="AU88" s="1030"/>
      <c r="AV88" s="359"/>
      <c r="AW88" s="359"/>
      <c r="AX88" s="1019" t="s">
        <v>607</v>
      </c>
      <c r="AY88" s="1020"/>
      <c r="AZ88" s="467">
        <f>$AZ$85/$BB$85*BB88</f>
        <v>26610.478279758347</v>
      </c>
      <c r="BA88" s="348">
        <v>2.2448979591836733E-2</v>
      </c>
      <c r="BB88" s="451">
        <f>BB13</f>
        <v>1.036697247706422</v>
      </c>
      <c r="BC88" s="426" t="s">
        <v>590</v>
      </c>
      <c r="BD88" s="423"/>
    </row>
    <row r="89" spans="4:58" x14ac:dyDescent="0.35">
      <c r="K89" s="353"/>
      <c r="V89" s="343"/>
      <c r="Z89" s="343"/>
      <c r="AA89" s="1079"/>
      <c r="AB89" s="1007"/>
      <c r="AC89" s="1008"/>
      <c r="AH89" s="343"/>
      <c r="AS89" s="353"/>
      <c r="AT89" s="1031"/>
      <c r="AU89" s="1032"/>
      <c r="AV89" s="349"/>
      <c r="AW89" s="369"/>
      <c r="AX89" s="1021"/>
      <c r="AY89" s="1022"/>
      <c r="BA89" s="361"/>
      <c r="BB89" s="361"/>
      <c r="BC89" s="431"/>
      <c r="BD89" s="432"/>
    </row>
    <row r="90" spans="4:58" x14ac:dyDescent="0.35">
      <c r="K90" s="353"/>
      <c r="V90" s="343"/>
      <c r="Z90" s="343"/>
      <c r="AA90" s="558"/>
      <c r="AB90" s="561"/>
      <c r="AC90" s="561"/>
      <c r="AH90" s="343"/>
      <c r="AS90" s="353"/>
      <c r="AW90" s="353"/>
      <c r="BA90" s="357">
        <v>4.4897959183673466E-2</v>
      </c>
      <c r="BB90" s="357"/>
      <c r="BC90" s="434" t="s">
        <v>608</v>
      </c>
      <c r="BD90" s="434"/>
    </row>
    <row r="91" spans="4:58" ht="17.5" x14ac:dyDescent="0.35">
      <c r="K91" s="353"/>
      <c r="M91" s="340" t="s">
        <v>55</v>
      </c>
      <c r="N91" s="453">
        <f>$E$5*$L$96</f>
        <v>223.32266097474212</v>
      </c>
      <c r="V91" s="343"/>
      <c r="AH91" s="341"/>
      <c r="AI91" s="394" t="s">
        <v>712</v>
      </c>
      <c r="AS91" s="353"/>
      <c r="AW91" s="353"/>
      <c r="BA91" s="361"/>
      <c r="BB91" s="361"/>
      <c r="BC91" s="434"/>
      <c r="BD91" s="434"/>
    </row>
    <row r="92" spans="4:58" ht="45.5" x14ac:dyDescent="0.35">
      <c r="K92" s="353"/>
      <c r="M92" s="340" t="s">
        <v>653</v>
      </c>
      <c r="N92" s="453">
        <f>(($E$5+$H$5)*$G$5/(1-$G$5)+$H$5)*$L$96</f>
        <v>87.899126447685688</v>
      </c>
      <c r="Q92" s="384" t="s">
        <v>857</v>
      </c>
      <c r="R92" s="340" t="s">
        <v>858</v>
      </c>
      <c r="S92" s="340" t="s">
        <v>859</v>
      </c>
      <c r="T92" s="340" t="s">
        <v>860</v>
      </c>
      <c r="V92" s="343"/>
      <c r="Z92" s="384" t="s">
        <v>857</v>
      </c>
      <c r="AA92" s="340" t="s">
        <v>858</v>
      </c>
      <c r="AB92" s="340" t="s">
        <v>859</v>
      </c>
      <c r="AC92" s="340" t="s">
        <v>860</v>
      </c>
      <c r="AH92" s="384" t="s">
        <v>861</v>
      </c>
      <c r="AI92" s="384" t="s">
        <v>862</v>
      </c>
      <c r="AJ92" s="384" t="s">
        <v>863</v>
      </c>
      <c r="AK92" s="340" t="s">
        <v>860</v>
      </c>
      <c r="AS92" s="353"/>
      <c r="AW92" s="353"/>
      <c r="BA92" s="357"/>
      <c r="BB92" s="350"/>
      <c r="BC92" s="368"/>
      <c r="BD92" s="368"/>
    </row>
    <row r="93" spans="4:58" x14ac:dyDescent="0.35">
      <c r="K93" s="353"/>
      <c r="M93" s="340" t="s">
        <v>655</v>
      </c>
      <c r="N93" s="455">
        <f>N91+N92</f>
        <v>311.22178742242784</v>
      </c>
      <c r="Q93" s="453"/>
      <c r="R93" s="463"/>
      <c r="V93" s="343"/>
      <c r="Z93" s="468">
        <f>Q94/$Z$95</f>
        <v>11181.041103541829</v>
      </c>
      <c r="AA93" s="468">
        <f t="shared" ref="AA93:AB93" si="1075">R94/$Z$95</f>
        <v>1558.1865191376555</v>
      </c>
      <c r="AB93" s="468">
        <f t="shared" si="1075"/>
        <v>2842.6375686970746</v>
      </c>
      <c r="AC93" s="463">
        <f>Z94-Z93-AA93-AB93</f>
        <v>0</v>
      </c>
      <c r="AH93" s="468">
        <f>Z93/$AH$95</f>
        <v>12246.485326989954</v>
      </c>
      <c r="AI93" s="468">
        <f t="shared" ref="AI93:AJ93" si="1076">AA93/$AH$95</f>
        <v>1706.6665050795789</v>
      </c>
      <c r="AJ93" s="468">
        <f t="shared" si="1076"/>
        <v>3113.5132187262589</v>
      </c>
      <c r="AK93" s="463">
        <f>AH94-AH93-AI93-AJ93</f>
        <v>0</v>
      </c>
      <c r="AS93" s="353"/>
      <c r="AW93" s="353"/>
      <c r="BA93" s="361"/>
      <c r="BB93" s="681">
        <f>SUM(BB94:BB98)</f>
        <v>616.83673469387759</v>
      </c>
      <c r="BC93" s="368"/>
      <c r="BD93" s="368"/>
    </row>
    <row r="94" spans="4:58" x14ac:dyDescent="0.35">
      <c r="K94" s="353"/>
      <c r="M94" s="340" t="s">
        <v>729</v>
      </c>
      <c r="N94" s="455">
        <f>N93/($J$96/(1-$G$5))*1000</f>
        <v>14004.980434009252</v>
      </c>
      <c r="O94" s="453">
        <f>'Giá mua Chai-Vảy'!E17</f>
        <v>13300</v>
      </c>
      <c r="P94" s="463">
        <f>N94-O94</f>
        <v>704.98043400925235</v>
      </c>
      <c r="Q94" s="788">
        <f>'Giá mua Chai-Vảy (Giá giảm)'!I27</f>
        <v>10049.519743863397</v>
      </c>
      <c r="R94" s="788">
        <f>'Giá mua Chai-Vảy (Giá giảm)'!K27</f>
        <v>1400.4980434009249</v>
      </c>
      <c r="S94" s="569">
        <f>'Giá mua Chai-Vảy (Giá giảm)'!L27</f>
        <v>2554.9626467449307</v>
      </c>
      <c r="T94" s="463">
        <f>N94-Q94-R94-S94</f>
        <v>0</v>
      </c>
      <c r="V94" s="343"/>
      <c r="Z94" s="465">
        <f>N94/Z95</f>
        <v>15581.865191376559</v>
      </c>
      <c r="AA94" s="465">
        <f>Z94-AA101</f>
        <v>15102.809034838961</v>
      </c>
      <c r="AH94" s="465">
        <f>Z94/AH95</f>
        <v>17066.665050795793</v>
      </c>
      <c r="AI94" s="465">
        <f>AH94-AI103</f>
        <v>16577.165050795793</v>
      </c>
      <c r="AJ94" s="342">
        <f>V96</f>
        <v>0.02</v>
      </c>
      <c r="AK94" s="454">
        <f>N94/AK95</f>
        <v>17066.665050795793</v>
      </c>
      <c r="AS94" s="353"/>
      <c r="AW94" s="353"/>
      <c r="AZ94" s="453">
        <v>6500</v>
      </c>
      <c r="BA94" s="362">
        <v>2.1428571428571429E-2</v>
      </c>
      <c r="BB94" s="680">
        <f>AZ94*BA94</f>
        <v>139.28571428571428</v>
      </c>
      <c r="BC94" s="431" t="s">
        <v>576</v>
      </c>
      <c r="BD94" s="430"/>
    </row>
    <row r="95" spans="4:58" x14ac:dyDescent="0.35">
      <c r="K95" s="353"/>
      <c r="V95" s="343"/>
      <c r="Z95" s="417">
        <f>SUM(Z96:Z99)</f>
        <v>0.89880000000000004</v>
      </c>
      <c r="AH95" s="416">
        <f>SUM(AH96:AH101)</f>
        <v>0.91300000000000003</v>
      </c>
      <c r="AK95" s="393">
        <f>Z95*AH95</f>
        <v>0.82060440000000012</v>
      </c>
      <c r="AS95" s="353"/>
      <c r="AW95" s="353"/>
      <c r="BA95" s="343"/>
      <c r="BB95" s="343"/>
      <c r="BC95" s="430"/>
      <c r="BD95" s="430"/>
    </row>
    <row r="96" spans="4:58" x14ac:dyDescent="0.35">
      <c r="D96" s="1101"/>
      <c r="E96" s="1011" t="s">
        <v>548</v>
      </c>
      <c r="F96" s="1012"/>
      <c r="G96" s="346"/>
      <c r="H96" s="1029" t="s">
        <v>549</v>
      </c>
      <c r="I96" s="1030"/>
      <c r="J96" s="340">
        <v>20</v>
      </c>
      <c r="K96" s="371">
        <v>0.02</v>
      </c>
      <c r="L96" s="574">
        <f>'Giá mua Chai-Vảy (Giá giảm)'!H17</f>
        <v>1.8925649235147637E-2</v>
      </c>
      <c r="M96" s="1070"/>
      <c r="N96" s="1072" t="s">
        <v>728</v>
      </c>
      <c r="O96" s="1073"/>
      <c r="P96" s="346"/>
      <c r="Q96" s="346"/>
      <c r="R96" s="1052"/>
      <c r="S96" s="1076" t="s">
        <v>728</v>
      </c>
      <c r="T96" s="1077"/>
      <c r="U96" s="347"/>
      <c r="V96" s="408">
        <v>0.02</v>
      </c>
      <c r="W96" s="1029" t="s">
        <v>551</v>
      </c>
      <c r="X96" s="1030"/>
      <c r="Y96" s="346"/>
      <c r="Z96" s="348">
        <v>0.59130000000000005</v>
      </c>
      <c r="AA96" s="1003"/>
      <c r="AB96" s="1062" t="s">
        <v>733</v>
      </c>
      <c r="AC96" s="1062"/>
      <c r="AD96" s="346"/>
      <c r="AE96" s="1029" t="s">
        <v>557</v>
      </c>
      <c r="AF96" s="1030"/>
      <c r="AG96" s="476">
        <f>$AI$94*$AI96</f>
        <v>16577.165050795793</v>
      </c>
      <c r="AH96" s="372">
        <v>7.4999999999999997E-2</v>
      </c>
      <c r="AI96" s="1003" t="s">
        <v>700</v>
      </c>
      <c r="AJ96" s="1011" t="s">
        <v>735</v>
      </c>
      <c r="AK96" s="1012"/>
      <c r="AL96" s="346"/>
      <c r="AM96" s="1029" t="s">
        <v>554</v>
      </c>
      <c r="AN96" s="1030"/>
      <c r="AO96" s="346"/>
      <c r="AP96" s="1029" t="s">
        <v>555</v>
      </c>
      <c r="AQ96" s="1030"/>
      <c r="AR96" s="359"/>
      <c r="AS96" s="353"/>
      <c r="AW96" s="353"/>
      <c r="AZ96" s="453">
        <v>14000</v>
      </c>
      <c r="BA96" s="350">
        <v>2.2448979591836733E-2</v>
      </c>
      <c r="BB96" s="680">
        <f>AZ96*BA96</f>
        <v>314.28571428571428</v>
      </c>
      <c r="BC96" s="431" t="s">
        <v>573</v>
      </c>
      <c r="BD96" s="432"/>
    </row>
    <row r="97" spans="4:59" x14ac:dyDescent="0.35">
      <c r="D97" s="1102"/>
      <c r="E97" s="1013"/>
      <c r="F97" s="1014"/>
      <c r="H97" s="1031"/>
      <c r="I97" s="1032"/>
      <c r="J97" s="366"/>
      <c r="K97" s="353"/>
      <c r="M97" s="1071"/>
      <c r="N97" s="1074"/>
      <c r="O97" s="1075"/>
      <c r="R97" s="1052"/>
      <c r="S97" s="1076"/>
      <c r="T97" s="1077"/>
      <c r="U97" s="354"/>
      <c r="V97" s="343"/>
      <c r="W97" s="1031"/>
      <c r="X97" s="1032"/>
      <c r="Z97" s="353"/>
      <c r="AA97" s="1004"/>
      <c r="AB97" s="1062"/>
      <c r="AC97" s="1062"/>
      <c r="AE97" s="1031"/>
      <c r="AF97" s="1032"/>
      <c r="AH97" s="374"/>
      <c r="AI97" s="1004"/>
      <c r="AJ97" s="1013"/>
      <c r="AK97" s="1014"/>
      <c r="AM97" s="1031"/>
      <c r="AN97" s="1032"/>
      <c r="AP97" s="1031"/>
      <c r="AQ97" s="1032"/>
      <c r="AR97" s="349"/>
      <c r="AS97" s="353"/>
      <c r="AW97" s="353"/>
      <c r="BA97" s="350"/>
      <c r="BB97" s="350"/>
      <c r="BC97" s="431"/>
      <c r="BD97" s="432"/>
    </row>
    <row r="98" spans="4:59" x14ac:dyDescent="0.35">
      <c r="K98" s="353"/>
      <c r="V98" s="343"/>
      <c r="Z98" s="348">
        <v>0.3075</v>
      </c>
      <c r="AA98" s="1003"/>
      <c r="AB98" s="1062" t="s">
        <v>734</v>
      </c>
      <c r="AC98" s="1062"/>
      <c r="AG98" s="476">
        <f>$AI$94*$AI98</f>
        <v>13261.732040636634</v>
      </c>
      <c r="AH98" s="374">
        <v>0.76900000000000002</v>
      </c>
      <c r="AI98" s="1003" t="s">
        <v>701</v>
      </c>
      <c r="AJ98" s="1011" t="s">
        <v>736</v>
      </c>
      <c r="AK98" s="1012"/>
      <c r="AS98" s="353"/>
      <c r="AW98" s="353"/>
      <c r="AZ98" s="453">
        <v>8000</v>
      </c>
      <c r="BA98" s="350">
        <v>2.0408163265306121E-2</v>
      </c>
      <c r="BB98" s="680">
        <f>AZ98*BA98</f>
        <v>163.26530612244898</v>
      </c>
      <c r="BC98" s="422" t="s">
        <v>579</v>
      </c>
      <c r="BD98" s="423"/>
    </row>
    <row r="99" spans="4:59" x14ac:dyDescent="0.35">
      <c r="K99" s="353"/>
      <c r="U99" s="375"/>
      <c r="V99" s="343"/>
      <c r="Z99" s="353"/>
      <c r="AA99" s="1004"/>
      <c r="AB99" s="1062"/>
      <c r="AC99" s="1062"/>
      <c r="AH99" s="374"/>
      <c r="AI99" s="1004"/>
      <c r="AJ99" s="1013"/>
      <c r="AK99" s="1014"/>
      <c r="AS99" s="353"/>
      <c r="AW99" s="353"/>
      <c r="BA99" s="343"/>
      <c r="BB99" s="343"/>
      <c r="BC99" s="424"/>
      <c r="BD99" s="425"/>
    </row>
    <row r="100" spans="4:59" x14ac:dyDescent="0.35">
      <c r="K100" s="353"/>
      <c r="U100" s="375"/>
      <c r="V100" s="343"/>
      <c r="Z100" s="353"/>
      <c r="AG100" s="476">
        <f>$AI$94*$AI100</f>
        <v>9946.2990304774758</v>
      </c>
      <c r="AH100" s="374">
        <v>6.9000000000000006E-2</v>
      </c>
      <c r="AI100" s="1052" t="s">
        <v>702</v>
      </c>
      <c r="AJ100" s="1011" t="s">
        <v>737</v>
      </c>
      <c r="AK100" s="1012"/>
      <c r="AS100" s="353"/>
      <c r="AW100" s="353"/>
      <c r="BB100" s="343"/>
    </row>
    <row r="101" spans="4:59" x14ac:dyDescent="0.35">
      <c r="K101" s="353"/>
      <c r="U101" s="389">
        <f>Z101+AH103</f>
        <v>0.13771281154134124</v>
      </c>
      <c r="V101" s="343"/>
      <c r="Z101" s="390">
        <f>SUM(Z102:Z115)</f>
        <v>5.7712811541341218E-2</v>
      </c>
      <c r="AA101" s="563">
        <f>SUM(AA102:AA115)</f>
        <v>479.05615653759764</v>
      </c>
      <c r="AH101" s="374"/>
      <c r="AI101" s="1052"/>
      <c r="AJ101" s="1013"/>
      <c r="AK101" s="1014"/>
      <c r="AS101" s="353"/>
      <c r="AW101" s="353"/>
      <c r="BB101" s="343"/>
    </row>
    <row r="102" spans="4:59" x14ac:dyDescent="0.35">
      <c r="K102" s="353"/>
      <c r="U102" s="375"/>
      <c r="V102" s="343"/>
      <c r="Y102" s="463">
        <f>Y13</f>
        <v>10000</v>
      </c>
      <c r="Z102" s="362">
        <v>3.6400000000000002E-2</v>
      </c>
      <c r="AA102" s="1009">
        <f>Y102*Z102</f>
        <v>364</v>
      </c>
      <c r="AB102" s="1027" t="s">
        <v>732</v>
      </c>
      <c r="AC102" s="1012"/>
      <c r="AH102" s="374"/>
      <c r="AI102" s="568"/>
      <c r="AJ102" s="565"/>
      <c r="AK102" s="565"/>
      <c r="AS102" s="353"/>
      <c r="AW102" s="369"/>
      <c r="AX102" s="349"/>
      <c r="AY102" s="349"/>
      <c r="AZ102" s="349"/>
      <c r="BA102" s="356"/>
      <c r="BB102" s="356"/>
      <c r="BC102" s="437"/>
      <c r="BD102" s="437"/>
      <c r="BE102" s="384"/>
      <c r="BF102" s="384"/>
      <c r="BG102" s="384"/>
    </row>
    <row r="103" spans="4:59" x14ac:dyDescent="0.35">
      <c r="K103" s="353"/>
      <c r="U103" s="341"/>
      <c r="V103" s="343"/>
      <c r="Z103" s="341"/>
      <c r="AA103" s="1010"/>
      <c r="AB103" s="1028"/>
      <c r="AC103" s="1014"/>
      <c r="AH103" s="391">
        <f>SUM(AH104:AH117)</f>
        <v>8.0000000000000016E-2</v>
      </c>
      <c r="AI103" s="563">
        <f>SUM(AI104:AI117)</f>
        <v>489.5</v>
      </c>
      <c r="AJ103" s="566"/>
      <c r="AK103" s="566"/>
      <c r="AS103" s="353"/>
      <c r="AW103" s="353"/>
      <c r="AZ103" s="463">
        <f>AZ109-AZ104</f>
        <v>1714.276383260898</v>
      </c>
      <c r="BA103" s="343"/>
      <c r="BB103" s="579" t="s">
        <v>712</v>
      </c>
      <c r="BC103" s="517">
        <f>'Hảo_R&amp;D (Vảy sạch)'!BR4</f>
        <v>0.26666666666666666</v>
      </c>
      <c r="BF103" s="384"/>
      <c r="BG103" s="384"/>
    </row>
    <row r="104" spans="4:59" ht="16" x14ac:dyDescent="0.35">
      <c r="K104" s="353"/>
      <c r="U104" s="341"/>
      <c r="V104" s="343"/>
      <c r="Y104" s="463">
        <f>Y51</f>
        <v>12000</v>
      </c>
      <c r="Z104" s="559">
        <v>2.0999999999999999E-3</v>
      </c>
      <c r="AA104" s="1009">
        <f>Y104*Z104</f>
        <v>25.2</v>
      </c>
      <c r="AB104" s="1080" t="s">
        <v>598</v>
      </c>
      <c r="AC104" s="1081"/>
      <c r="AG104" s="463">
        <f>AG85</f>
        <v>6000</v>
      </c>
      <c r="AH104" s="350">
        <v>2E-3</v>
      </c>
      <c r="AI104" s="1009">
        <f>AG104*AH104</f>
        <v>12</v>
      </c>
      <c r="AJ104" s="1023" t="s">
        <v>601</v>
      </c>
      <c r="AK104" s="1024"/>
      <c r="AM104" s="341"/>
      <c r="AS104" s="353"/>
      <c r="AW104" s="353"/>
      <c r="AZ104" s="466">
        <f>($AH$5)/BA104</f>
        <v>22285.592982391736</v>
      </c>
      <c r="BA104" s="577">
        <f>SUM(BA105:BA109)</f>
        <v>0.95300000000000007</v>
      </c>
      <c r="BB104" s="580">
        <f>SUM(BA105*BB105,BA107*BB107,BA109*BB109)</f>
        <v>1.0137614678899083</v>
      </c>
      <c r="BD104" s="439">
        <f>AK6*BA104</f>
        <v>0.77018361551251757</v>
      </c>
      <c r="BE104" s="468">
        <f>($N$5/BD104)</f>
        <v>22285.592982391736</v>
      </c>
      <c r="BF104" s="679">
        <f>BE104-AZ104</f>
        <v>0</v>
      </c>
    </row>
    <row r="105" spans="4:59" ht="16" x14ac:dyDescent="0.35">
      <c r="K105" s="353"/>
      <c r="U105" s="341"/>
      <c r="V105" s="343"/>
      <c r="Z105" s="350"/>
      <c r="AA105" s="1010"/>
      <c r="AB105" s="1082"/>
      <c r="AC105" s="1083"/>
      <c r="AH105" s="343"/>
      <c r="AI105" s="1010"/>
      <c r="AJ105" s="1025"/>
      <c r="AK105" s="1026"/>
      <c r="AM105" s="341"/>
      <c r="AS105" s="353"/>
      <c r="AW105" s="369"/>
      <c r="AX105" s="370"/>
      <c r="AY105" s="370"/>
      <c r="AZ105" s="467">
        <f>$AZ$104/$BB$104*BB105</f>
        <v>23394.830642148791</v>
      </c>
      <c r="BA105" s="576">
        <v>0.627</v>
      </c>
      <c r="BB105" s="580">
        <f>BB11</f>
        <v>1.0642201834862386</v>
      </c>
      <c r="BC105" s="433" t="s">
        <v>588</v>
      </c>
      <c r="BD105" s="440"/>
    </row>
    <row r="106" spans="4:59" x14ac:dyDescent="0.35">
      <c r="K106" s="353"/>
      <c r="U106" s="341"/>
      <c r="V106" s="343"/>
      <c r="Y106" s="463">
        <f>Y15</f>
        <v>2000</v>
      </c>
      <c r="Z106" s="350">
        <v>2.3999999999999998E-3</v>
      </c>
      <c r="AA106" s="1009">
        <f>Y106*Z106</f>
        <v>4.8</v>
      </c>
      <c r="AB106" s="1023" t="s">
        <v>568</v>
      </c>
      <c r="AC106" s="1024"/>
      <c r="AG106" s="463">
        <f>AG77</f>
        <v>10500</v>
      </c>
      <c r="AH106" s="350">
        <v>5.0000000000000001E-3</v>
      </c>
      <c r="AI106" s="1009">
        <f>AG106*AH106</f>
        <v>52.5</v>
      </c>
      <c r="AJ106" s="1023" t="s">
        <v>738</v>
      </c>
      <c r="AK106" s="1024"/>
      <c r="AM106" s="341"/>
      <c r="AS106" s="353"/>
      <c r="AW106" s="369"/>
      <c r="AX106" s="370"/>
      <c r="AY106" s="370"/>
      <c r="AZ106" s="469">
        <f>AZ105-AZ107</f>
        <v>605.03872350385063</v>
      </c>
      <c r="BA106" s="356"/>
      <c r="BB106" s="356"/>
      <c r="BC106" s="441"/>
      <c r="BD106" s="442"/>
    </row>
    <row r="107" spans="4:59" x14ac:dyDescent="0.35">
      <c r="K107" s="353"/>
      <c r="U107" s="341"/>
      <c r="V107" s="343"/>
      <c r="Z107" s="350"/>
      <c r="AA107" s="1010"/>
      <c r="AB107" s="1025"/>
      <c r="AC107" s="1026"/>
      <c r="AH107" s="343"/>
      <c r="AI107" s="1010"/>
      <c r="AJ107" s="1025"/>
      <c r="AK107" s="1026"/>
      <c r="AM107" s="341"/>
      <c r="AS107" s="353"/>
      <c r="AW107" s="369"/>
      <c r="AX107" s="370"/>
      <c r="AY107" s="370"/>
      <c r="AZ107" s="467">
        <f>$AZ$104/$BB$104*BB107</f>
        <v>22789.79191864494</v>
      </c>
      <c r="BA107" s="348">
        <v>0.17100000000000001</v>
      </c>
      <c r="BB107" s="451">
        <f>BB13</f>
        <v>1.036697247706422</v>
      </c>
      <c r="BC107" s="433" t="s">
        <v>590</v>
      </c>
      <c r="BD107" s="423"/>
    </row>
    <row r="108" spans="4:59" x14ac:dyDescent="0.35">
      <c r="K108" s="353"/>
      <c r="U108" s="341"/>
      <c r="V108" s="343"/>
      <c r="Y108" s="463">
        <f>Y19</f>
        <v>7000</v>
      </c>
      <c r="Z108" s="350">
        <v>7.4000000000000003E-3</v>
      </c>
      <c r="AA108" s="1009">
        <f>Y108*Z108</f>
        <v>51.800000000000004</v>
      </c>
      <c r="AB108" s="1027" t="s">
        <v>572</v>
      </c>
      <c r="AC108" s="1012"/>
      <c r="AG108" s="463">
        <f>AG75</f>
        <v>8000</v>
      </c>
      <c r="AH108" s="350">
        <v>3.5000000000000003E-2</v>
      </c>
      <c r="AI108" s="1009">
        <f>AG108*AH108</f>
        <v>280</v>
      </c>
      <c r="AJ108" s="1011" t="s">
        <v>575</v>
      </c>
      <c r="AK108" s="1012"/>
      <c r="AM108" s="341"/>
      <c r="AS108" s="353"/>
      <c r="AW108" s="352"/>
      <c r="AX108" s="1019" t="s">
        <v>616</v>
      </c>
      <c r="AY108" s="1020"/>
      <c r="AZ108" s="463">
        <f>AZ109-AZ105</f>
        <v>605.03872350384336</v>
      </c>
      <c r="BA108" s="361"/>
      <c r="BB108" s="361"/>
      <c r="BC108" s="431"/>
      <c r="BD108" s="432"/>
    </row>
    <row r="109" spans="4:59" ht="16" x14ac:dyDescent="0.35">
      <c r="K109" s="353"/>
      <c r="U109" s="341"/>
      <c r="V109" s="343"/>
      <c r="W109" s="341"/>
      <c r="Z109" s="350"/>
      <c r="AA109" s="1010"/>
      <c r="AB109" s="1028"/>
      <c r="AC109" s="1014"/>
      <c r="AH109" s="343"/>
      <c r="AI109" s="1010"/>
      <c r="AJ109" s="1013"/>
      <c r="AK109" s="1014"/>
      <c r="AS109" s="353"/>
      <c r="AW109" s="369"/>
      <c r="AX109" s="1021"/>
      <c r="AY109" s="1022"/>
      <c r="AZ109" s="467">
        <f>$AZ$104/$BB$104*BB109</f>
        <v>23999.869365652634</v>
      </c>
      <c r="BA109" s="578">
        <v>0.155</v>
      </c>
      <c r="BB109" s="581">
        <f>BB9</f>
        <v>1.0917431192660549</v>
      </c>
      <c r="BC109" s="434" t="s">
        <v>582</v>
      </c>
      <c r="BD109" s="434"/>
    </row>
    <row r="110" spans="4:59" x14ac:dyDescent="0.35">
      <c r="K110" s="353"/>
      <c r="V110" s="343"/>
      <c r="Y110" s="463">
        <f>Y17</f>
        <v>4166.6666666666661</v>
      </c>
      <c r="Z110" s="350">
        <v>7.1999999999999998E-3</v>
      </c>
      <c r="AA110" s="1009">
        <f>Y110*Z110</f>
        <v>29.999999999999996</v>
      </c>
      <c r="AB110" s="1011" t="s">
        <v>571</v>
      </c>
      <c r="AC110" s="1012"/>
      <c r="AG110" s="463">
        <f>AG25</f>
        <v>4166.6666666666661</v>
      </c>
      <c r="AH110" s="350">
        <v>0.02</v>
      </c>
      <c r="AI110" s="1009">
        <f>AG110*AH110</f>
        <v>83.333333333333329</v>
      </c>
      <c r="AJ110" s="1011" t="s">
        <v>581</v>
      </c>
      <c r="AK110" s="1012"/>
      <c r="AS110" s="353"/>
      <c r="AW110" s="369"/>
      <c r="AX110" s="368"/>
      <c r="AY110" s="368"/>
      <c r="BA110" s="361"/>
      <c r="BB110" s="361"/>
      <c r="BC110" s="434"/>
      <c r="BD110" s="434"/>
    </row>
    <row r="111" spans="4:59" x14ac:dyDescent="0.35">
      <c r="K111" s="353"/>
      <c r="V111" s="343"/>
      <c r="Z111" s="380"/>
      <c r="AA111" s="1010"/>
      <c r="AB111" s="1013"/>
      <c r="AC111" s="1014"/>
      <c r="AH111" s="350"/>
      <c r="AI111" s="1010"/>
      <c r="AJ111" s="1013"/>
      <c r="AK111" s="1014"/>
      <c r="AS111" s="353"/>
      <c r="AW111" s="369"/>
      <c r="AX111" s="378"/>
      <c r="AY111" s="378"/>
      <c r="BA111" s="357"/>
      <c r="BB111" s="681">
        <f>SUM(BB112:BB116)</f>
        <v>227.5</v>
      </c>
      <c r="BC111" s="368"/>
      <c r="BD111" s="368"/>
    </row>
    <row r="112" spans="4:59" ht="15" customHeight="1" x14ac:dyDescent="0.35">
      <c r="K112" s="353"/>
      <c r="V112" s="343"/>
      <c r="Y112" s="463">
        <f>Y21</f>
        <v>-300</v>
      </c>
      <c r="Z112" s="350">
        <v>8.1281154134122649E-4</v>
      </c>
      <c r="AA112" s="1009">
        <f>Y112*Z112</f>
        <v>-0.24384346240236796</v>
      </c>
      <c r="AB112" s="1011" t="s">
        <v>574</v>
      </c>
      <c r="AC112" s="1012"/>
      <c r="AG112" s="463">
        <f>Y145</f>
        <v>1500</v>
      </c>
      <c r="AH112" s="350">
        <v>5.0000000000000001E-3</v>
      </c>
      <c r="AI112" s="1009">
        <f>AG112*AH112</f>
        <v>7.5</v>
      </c>
      <c r="AJ112" s="1005" t="s">
        <v>602</v>
      </c>
      <c r="AK112" s="1006"/>
      <c r="AS112" s="353"/>
      <c r="AW112" s="369"/>
      <c r="AX112" s="378"/>
      <c r="AY112" s="378"/>
      <c r="AZ112" s="453">
        <v>8000</v>
      </c>
      <c r="BA112" s="362">
        <v>1.2E-2</v>
      </c>
      <c r="BB112" s="680">
        <f>AZ112*BA112</f>
        <v>96</v>
      </c>
      <c r="BC112" s="434" t="s">
        <v>579</v>
      </c>
      <c r="BD112" s="430"/>
      <c r="BG112" s="463"/>
    </row>
    <row r="113" spans="4:98" x14ac:dyDescent="0.35">
      <c r="K113" s="353"/>
      <c r="V113" s="343"/>
      <c r="Z113" s="343"/>
      <c r="AA113" s="1010"/>
      <c r="AB113" s="1013"/>
      <c r="AC113" s="1014"/>
      <c r="AH113" s="350"/>
      <c r="AI113" s="1010"/>
      <c r="AJ113" s="1007"/>
      <c r="AK113" s="1008"/>
      <c r="AS113" s="353"/>
      <c r="AW113" s="369"/>
      <c r="BA113" s="361"/>
      <c r="BB113" s="343"/>
    </row>
    <row r="114" spans="4:98" ht="15" customHeight="1" x14ac:dyDescent="0.35">
      <c r="K114" s="353"/>
      <c r="V114" s="343"/>
      <c r="Y114" s="463">
        <f>Y23</f>
        <v>2500</v>
      </c>
      <c r="Z114" s="350">
        <v>1.4E-3</v>
      </c>
      <c r="AA114" s="1009">
        <f>Y114*Z114</f>
        <v>3.5</v>
      </c>
      <c r="AB114" s="1011" t="s">
        <v>577</v>
      </c>
      <c r="AC114" s="1012"/>
      <c r="AG114" s="463">
        <f>AG110</f>
        <v>4166.6666666666661</v>
      </c>
      <c r="AH114" s="350">
        <v>6.0000000000000001E-3</v>
      </c>
      <c r="AI114" s="1009">
        <f>AG114*AH114</f>
        <v>24.999999999999996</v>
      </c>
      <c r="AJ114" s="1011" t="s">
        <v>622</v>
      </c>
      <c r="AK114" s="1012"/>
      <c r="AS114" s="353"/>
      <c r="AW114" s="369"/>
      <c r="AZ114" s="453">
        <v>6500</v>
      </c>
      <c r="BA114" s="362">
        <v>3.0000000000000001E-3</v>
      </c>
      <c r="BB114" s="680">
        <f>AZ114*BA114</f>
        <v>19.5</v>
      </c>
      <c r="BC114" s="431" t="s">
        <v>576</v>
      </c>
      <c r="BD114" s="430"/>
    </row>
    <row r="115" spans="4:98" x14ac:dyDescent="0.35">
      <c r="K115" s="353"/>
      <c r="V115" s="343"/>
      <c r="AA115" s="1010"/>
      <c r="AB115" s="1013"/>
      <c r="AC115" s="1014"/>
      <c r="AH115" s="350"/>
      <c r="AI115" s="1010"/>
      <c r="AJ115" s="1013"/>
      <c r="AK115" s="1014"/>
      <c r="AS115" s="353"/>
      <c r="AW115" s="353"/>
      <c r="BA115" s="343"/>
      <c r="BB115" s="343"/>
      <c r="BC115" s="443"/>
      <c r="BD115" s="443"/>
    </row>
    <row r="116" spans="4:98" ht="15" customHeight="1" x14ac:dyDescent="0.35">
      <c r="K116" s="353"/>
      <c r="V116" s="343"/>
      <c r="Y116" s="463">
        <f>N94</f>
        <v>14004.980434009252</v>
      </c>
      <c r="Z116" s="388">
        <v>4.3400000000000001E-2</v>
      </c>
      <c r="AA116" s="1078">
        <f>Y116*Z116</f>
        <v>607.81615083600161</v>
      </c>
      <c r="AB116" s="1005" t="s">
        <v>482</v>
      </c>
      <c r="AC116" s="1006"/>
      <c r="AG116" s="463">
        <f>AG110</f>
        <v>4166.6666666666661</v>
      </c>
      <c r="AH116" s="350">
        <v>7.0000000000000001E-3</v>
      </c>
      <c r="AI116" s="1009">
        <f>AG116*AH116</f>
        <v>29.166666666666664</v>
      </c>
      <c r="AJ116" s="1011" t="s">
        <v>583</v>
      </c>
      <c r="AK116" s="1012"/>
      <c r="AS116" s="353"/>
      <c r="AW116" s="353"/>
      <c r="AZ116" s="453">
        <v>14000</v>
      </c>
      <c r="BA116" s="350">
        <v>8.0000000000000002E-3</v>
      </c>
      <c r="BB116" s="680">
        <f>AZ116*BA116</f>
        <v>112</v>
      </c>
      <c r="BC116" s="431" t="s">
        <v>573</v>
      </c>
      <c r="BD116" s="432"/>
    </row>
    <row r="117" spans="4:98" x14ac:dyDescent="0.35">
      <c r="K117" s="353"/>
      <c r="V117" s="343"/>
      <c r="Z117" s="343"/>
      <c r="AA117" s="1079"/>
      <c r="AB117" s="1007"/>
      <c r="AC117" s="1008"/>
      <c r="AH117" s="350"/>
      <c r="AI117" s="1010"/>
      <c r="AJ117" s="1013"/>
      <c r="AK117" s="1014"/>
      <c r="AS117" s="353"/>
      <c r="AW117" s="353"/>
    </row>
    <row r="118" spans="4:98" ht="15" customHeight="1" x14ac:dyDescent="0.35">
      <c r="K118" s="353"/>
      <c r="V118" s="343"/>
      <c r="Z118" s="350"/>
      <c r="AA118" s="1003"/>
      <c r="AB118" s="1005"/>
      <c r="AC118" s="1006"/>
      <c r="AG118" s="463">
        <f>Z94</f>
        <v>15581.865191376559</v>
      </c>
      <c r="AH118" s="388">
        <v>7.0000000000000001E-3</v>
      </c>
      <c r="AI118" s="738">
        <f>AG118*AH118</f>
        <v>109.07305633963591</v>
      </c>
      <c r="AJ118" s="710" t="s">
        <v>482</v>
      </c>
      <c r="AK118" s="711"/>
      <c r="AS118" s="353"/>
      <c r="AW118" s="353"/>
      <c r="BA118" s="576">
        <v>8.0000000000000002E-3</v>
      </c>
      <c r="BB118" s="576"/>
      <c r="BC118" s="434" t="s">
        <v>621</v>
      </c>
      <c r="BD118" s="444"/>
    </row>
    <row r="119" spans="4:98" x14ac:dyDescent="0.35">
      <c r="K119" s="353"/>
      <c r="N119" s="453"/>
      <c r="V119" s="343"/>
      <c r="Z119" s="343"/>
      <c r="AA119" s="1004"/>
      <c r="AB119" s="1007"/>
      <c r="AC119" s="1008"/>
      <c r="AI119" s="714"/>
      <c r="AJ119" s="712"/>
      <c r="AK119" s="713"/>
      <c r="AS119" s="353"/>
      <c r="AW119" s="353"/>
    </row>
    <row r="120" spans="4:98" ht="17.5" x14ac:dyDescent="0.35">
      <c r="K120" s="353"/>
      <c r="M120" s="340" t="s">
        <v>270</v>
      </c>
      <c r="N120" s="453">
        <f>$E$5*$L$125</f>
        <v>3727.6414087513344</v>
      </c>
      <c r="V120" s="343"/>
      <c r="Z120" s="343"/>
      <c r="AA120" s="558"/>
      <c r="AB120" s="561"/>
      <c r="AC120" s="561"/>
      <c r="AI120" s="394" t="s">
        <v>712</v>
      </c>
      <c r="AS120" s="353"/>
      <c r="AW120" s="353"/>
      <c r="BA120" s="343"/>
      <c r="BB120" s="343"/>
      <c r="BC120" s="445"/>
      <c r="BD120" s="446"/>
    </row>
    <row r="121" spans="4:98" ht="45.5" x14ac:dyDescent="0.35">
      <c r="K121" s="353"/>
      <c r="M121" s="340" t="s">
        <v>653</v>
      </c>
      <c r="N121" s="453">
        <f>(($E$5+$H$5)*$G$5/(1-$G$5)+$H$5)*$L$125</f>
        <v>1467.1884264200166</v>
      </c>
      <c r="Q121" s="384" t="s">
        <v>857</v>
      </c>
      <c r="R121" s="340" t="s">
        <v>858</v>
      </c>
      <c r="S121" s="340" t="s">
        <v>859</v>
      </c>
      <c r="T121" s="340" t="s">
        <v>860</v>
      </c>
      <c r="V121" s="343"/>
      <c r="Z121" s="384" t="s">
        <v>857</v>
      </c>
      <c r="AA121" s="340" t="s">
        <v>858</v>
      </c>
      <c r="AB121" s="340" t="s">
        <v>859</v>
      </c>
      <c r="AC121" s="340" t="s">
        <v>860</v>
      </c>
      <c r="AH121" s="384" t="s">
        <v>861</v>
      </c>
      <c r="AI121" s="384" t="s">
        <v>862</v>
      </c>
      <c r="AJ121" s="384" t="s">
        <v>863</v>
      </c>
      <c r="AK121" s="340" t="s">
        <v>860</v>
      </c>
      <c r="AS121" s="353"/>
      <c r="AW121" s="353"/>
      <c r="BA121" s="350"/>
      <c r="BB121" s="579" t="s">
        <v>712</v>
      </c>
      <c r="BC121" s="517">
        <f>'Hảo_R&amp;D (Vảy sạch)'!BR4</f>
        <v>0.26666666666666666</v>
      </c>
      <c r="BD121" s="368"/>
    </row>
    <row r="122" spans="4:98" ht="16" x14ac:dyDescent="0.35">
      <c r="K122" s="353"/>
      <c r="L122" s="340" t="s">
        <v>712</v>
      </c>
      <c r="M122" s="340" t="s">
        <v>655</v>
      </c>
      <c r="N122" s="455">
        <f>N120+N121</f>
        <v>5194.8298351713511</v>
      </c>
      <c r="Q122" s="453"/>
      <c r="R122" s="463"/>
      <c r="V122" s="343"/>
      <c r="Z122" s="468">
        <f>Q123/$Z$124</f>
        <v>13244.158395154924</v>
      </c>
      <c r="AA122" s="468">
        <f>R123/$Z$124</f>
        <v>1845.7019232419289</v>
      </c>
      <c r="AB122" s="468">
        <f>S123/$Z$124</f>
        <v>3367.1589140224378</v>
      </c>
      <c r="AC122" s="463">
        <f>Z123-Z122-AA122-AB122</f>
        <v>0</v>
      </c>
      <c r="AH122" s="468">
        <f>Z122/$AH$124</f>
        <v>14377.071640420023</v>
      </c>
      <c r="AI122" s="468">
        <f t="shared" ref="AI122:AJ122" si="1077">AA122/$AH$124</f>
        <v>2003.5843717346168</v>
      </c>
      <c r="AJ122" s="468">
        <f t="shared" si="1077"/>
        <v>3655.1877051915308</v>
      </c>
      <c r="AK122" s="463">
        <f>AH123-AH122-AI122-AJ122</f>
        <v>0</v>
      </c>
      <c r="AS122" s="353"/>
      <c r="AW122" s="353"/>
      <c r="AZ122" s="466">
        <f>($AH$5*0.95+$AH$5*0.05)/BA122</f>
        <v>22856.50471759402</v>
      </c>
      <c r="BA122" s="577">
        <f>SUM(BA123:BA125)</f>
        <v>0.92919588426269883</v>
      </c>
      <c r="BB122" s="580">
        <f>SUM(BA123*BB123,BA125*BB125,BA127*BB127)</f>
        <v>0.98871495300705992</v>
      </c>
      <c r="BC122" s="368"/>
      <c r="BD122" s="438">
        <f>(0.95*AK6+0.05*AK6)*BA122</f>
        <v>0.75094590310681641</v>
      </c>
      <c r="BE122" s="468">
        <f>($N$5/BD122)*0.95+($N$5/BD122)*0.05</f>
        <v>22856.504717594024</v>
      </c>
      <c r="BF122" s="679">
        <f>BE122-AZ122</f>
        <v>0</v>
      </c>
    </row>
    <row r="123" spans="4:98" ht="16" x14ac:dyDescent="0.35">
      <c r="K123" s="353"/>
      <c r="M123" s="340" t="s">
        <v>727</v>
      </c>
      <c r="N123" s="455">
        <f>N122/($J$125/(1-$G$5))*1000</f>
        <v>15584.489505514053</v>
      </c>
      <c r="O123" s="453">
        <f>O41</f>
        <v>14800</v>
      </c>
      <c r="P123" s="463">
        <f>N123-O123</f>
        <v>784.48950551405323</v>
      </c>
      <c r="Q123" s="788">
        <f>'Giá mua Chai-Vảy (Giá giảm)'!I28</f>
        <v>11182.924226254003</v>
      </c>
      <c r="R123" s="788">
        <f>'Giá mua Chai-Vảy (Giá giảm)'!K28</f>
        <v>1558.448950551405</v>
      </c>
      <c r="S123" s="569">
        <f>'Giá mua Chai-Vảy (Giá giảm)'!L28</f>
        <v>2843.1163287086442</v>
      </c>
      <c r="T123" s="463">
        <f>N123-Q123-R123-S123</f>
        <v>0</v>
      </c>
      <c r="V123" s="343"/>
      <c r="Z123" s="465">
        <f>N123/Z124</f>
        <v>18457.01923241929</v>
      </c>
      <c r="AA123" s="465">
        <f>Z123-AA130</f>
        <v>17601.377565752624</v>
      </c>
      <c r="AH123" s="465">
        <f>Z123/AH124</f>
        <v>20035.843717346172</v>
      </c>
      <c r="AI123" s="465">
        <f>AH123-AI138</f>
        <v>19705.177050679504</v>
      </c>
      <c r="AJ123" s="342">
        <f>V125</f>
        <v>0.3</v>
      </c>
      <c r="AK123" s="454">
        <f>N123/AK124</f>
        <v>20035.843717346172</v>
      </c>
      <c r="AS123" s="353"/>
      <c r="AW123" s="353"/>
      <c r="AZ123" s="467">
        <f>$AZ$122/$BB$122*BB123</f>
        <v>24601.988237795264</v>
      </c>
      <c r="BA123" s="576">
        <v>0.92359831869485121</v>
      </c>
      <c r="BB123" s="580">
        <f>BB11</f>
        <v>1.0642201834862386</v>
      </c>
      <c r="BC123" s="426" t="s">
        <v>597</v>
      </c>
      <c r="BD123" s="423"/>
    </row>
    <row r="124" spans="4:98" x14ac:dyDescent="0.35">
      <c r="K124" s="353"/>
      <c r="N124" s="460"/>
      <c r="V124" s="343"/>
      <c r="Z124" s="417">
        <f>SUM(Z125:Z127)</f>
        <v>0.84436654203297834</v>
      </c>
      <c r="AH124" s="417">
        <f>SUM(AH125:AH132)</f>
        <v>0.92119999999999991</v>
      </c>
      <c r="AK124" s="393">
        <f>Z124*AH124</f>
        <v>0.77783045852077959</v>
      </c>
      <c r="AS124" s="353"/>
      <c r="AW124" s="353"/>
      <c r="AZ124" s="469">
        <f>AZ123-AZ125</f>
        <v>636.25831649470638</v>
      </c>
      <c r="BA124" s="356"/>
      <c r="BB124" s="356"/>
      <c r="BC124" s="424"/>
      <c r="BD124" s="425"/>
    </row>
    <row r="125" spans="4:98" ht="20" customHeight="1" x14ac:dyDescent="0.35">
      <c r="D125" s="1101"/>
      <c r="E125" s="1011" t="s">
        <v>548</v>
      </c>
      <c r="F125" s="1012"/>
      <c r="G125" s="346"/>
      <c r="H125" s="1029" t="s">
        <v>549</v>
      </c>
      <c r="I125" s="1030"/>
      <c r="J125" s="340">
        <v>300</v>
      </c>
      <c r="K125" s="371">
        <v>0.3</v>
      </c>
      <c r="L125" s="574">
        <f>'Giá mua Chai-Vảy (Giá giảm)'!H18</f>
        <v>0.31590181430096054</v>
      </c>
      <c r="M125" s="1070"/>
      <c r="N125" s="1072" t="s">
        <v>390</v>
      </c>
      <c r="O125" s="1073"/>
      <c r="P125" s="346"/>
      <c r="Q125" s="346"/>
      <c r="R125" s="1052"/>
      <c r="S125" s="1076" t="s">
        <v>609</v>
      </c>
      <c r="T125" s="1077"/>
      <c r="U125" s="347"/>
      <c r="V125" s="408">
        <v>0.3</v>
      </c>
      <c r="W125" s="1029" t="s">
        <v>551</v>
      </c>
      <c r="X125" s="1030"/>
      <c r="Y125" s="346"/>
      <c r="Z125" s="348">
        <v>0.449642345554147</v>
      </c>
      <c r="AA125" s="1003"/>
      <c r="AB125" s="1011" t="s">
        <v>610</v>
      </c>
      <c r="AC125" s="1012"/>
      <c r="AG125" s="476">
        <f>$AI$123*$AI125</f>
        <v>19705.177050679504</v>
      </c>
      <c r="AH125" s="348">
        <v>1.2800000000000001E-2</v>
      </c>
      <c r="AI125" s="1003" t="s">
        <v>700</v>
      </c>
      <c r="AJ125" s="1011" t="s">
        <v>611</v>
      </c>
      <c r="AK125" s="1012"/>
      <c r="AL125" s="346"/>
      <c r="AM125" s="1029" t="s">
        <v>554</v>
      </c>
      <c r="AN125" s="1030"/>
      <c r="AO125" s="346"/>
      <c r="AP125" s="1029" t="s">
        <v>555</v>
      </c>
      <c r="AQ125" s="1030"/>
      <c r="AR125" s="359"/>
      <c r="AS125" s="353"/>
      <c r="AW125" s="352"/>
      <c r="AX125" s="1015" t="s">
        <v>623</v>
      </c>
      <c r="AY125" s="1016"/>
      <c r="AZ125" s="467">
        <f>$AZ$122/$BB$122*BB125</f>
        <v>23965.729921300557</v>
      </c>
      <c r="BA125" s="348">
        <v>5.5975655678475837E-3</v>
      </c>
      <c r="BB125" s="451">
        <f>BB13</f>
        <v>1.036697247706422</v>
      </c>
      <c r="BC125" s="426" t="s">
        <v>590</v>
      </c>
      <c r="BD125" s="423"/>
      <c r="BS125" s="382"/>
      <c r="BT125" s="382"/>
      <c r="BU125" s="382"/>
      <c r="BV125" s="382"/>
      <c r="BW125" s="382"/>
      <c r="BX125" s="382"/>
      <c r="BY125" s="771"/>
      <c r="BZ125" s="382"/>
      <c r="CA125" s="382"/>
      <c r="CB125" s="382"/>
      <c r="CC125" s="382"/>
      <c r="CD125" s="382"/>
      <c r="CE125" s="382"/>
      <c r="CG125" s="382"/>
      <c r="CH125" s="382"/>
      <c r="CI125" s="382"/>
      <c r="CJ125" s="382"/>
      <c r="CK125" s="382"/>
      <c r="CL125" s="382"/>
      <c r="CM125" s="382"/>
      <c r="CN125" s="382"/>
      <c r="CO125" s="382"/>
      <c r="CP125" s="382"/>
      <c r="CQ125" s="382"/>
      <c r="CR125" s="382"/>
      <c r="CT125" s="382"/>
    </row>
    <row r="126" spans="4:98" x14ac:dyDescent="0.35">
      <c r="D126" s="1102"/>
      <c r="E126" s="1013"/>
      <c r="F126" s="1014"/>
      <c r="H126" s="1031"/>
      <c r="I126" s="1032"/>
      <c r="J126" s="366"/>
      <c r="M126" s="1071"/>
      <c r="N126" s="1074"/>
      <c r="O126" s="1075"/>
      <c r="R126" s="1052"/>
      <c r="S126" s="1076"/>
      <c r="T126" s="1077"/>
      <c r="U126" s="354"/>
      <c r="V126" s="343"/>
      <c r="W126" s="1031"/>
      <c r="X126" s="1032"/>
      <c r="Z126" s="361"/>
      <c r="AA126" s="1004"/>
      <c r="AB126" s="1013"/>
      <c r="AC126" s="1014"/>
      <c r="AD126" s="346"/>
      <c r="AE126" s="1029" t="s">
        <v>557</v>
      </c>
      <c r="AF126" s="1030"/>
      <c r="AG126" s="346"/>
      <c r="AH126" s="361"/>
      <c r="AI126" s="1004"/>
      <c r="AJ126" s="1013"/>
      <c r="AK126" s="1014"/>
      <c r="AM126" s="1031"/>
      <c r="AN126" s="1032"/>
      <c r="AP126" s="1031"/>
      <c r="AQ126" s="1032"/>
      <c r="AR126" s="349"/>
      <c r="AS126" s="353"/>
      <c r="AW126" s="369"/>
      <c r="AX126" s="1017"/>
      <c r="AY126" s="1018"/>
      <c r="BA126" s="361"/>
      <c r="BB126" s="361"/>
      <c r="BC126" s="431"/>
      <c r="BD126" s="432"/>
      <c r="BS126" s="382"/>
      <c r="BT126" s="382"/>
      <c r="BU126" s="382"/>
      <c r="BV126" s="382"/>
      <c r="BW126" s="382"/>
      <c r="BX126" s="382"/>
      <c r="BY126" s="771"/>
      <c r="BZ126" s="382"/>
      <c r="CA126" s="382"/>
      <c r="CB126" s="382"/>
      <c r="CC126" s="382"/>
      <c r="CD126" s="382"/>
      <c r="CE126" s="382"/>
      <c r="CG126" s="382"/>
      <c r="CH126" s="382"/>
      <c r="CI126" s="382"/>
      <c r="CJ126" s="382"/>
      <c r="CK126" s="382"/>
      <c r="CL126" s="382"/>
      <c r="CM126" s="382"/>
      <c r="CN126" s="382"/>
      <c r="CO126" s="382"/>
      <c r="CP126" s="382"/>
      <c r="CQ126" s="382"/>
      <c r="CR126" s="382"/>
      <c r="CT126" s="382"/>
    </row>
    <row r="127" spans="4:98" ht="15.75" customHeight="1" x14ac:dyDescent="0.35">
      <c r="Z127" s="357">
        <v>0.39472419647883134</v>
      </c>
      <c r="AA127" s="1003"/>
      <c r="AB127" s="1011" t="s">
        <v>612</v>
      </c>
      <c r="AC127" s="1012"/>
      <c r="AE127" s="1031"/>
      <c r="AF127" s="1032"/>
      <c r="AG127" s="476">
        <f>$AI$123*$AI127</f>
        <v>15764.141640543603</v>
      </c>
      <c r="AH127" s="357">
        <v>0.38569999999999999</v>
      </c>
      <c r="AI127" s="1003" t="s">
        <v>701</v>
      </c>
      <c r="AJ127" s="1011" t="s">
        <v>613</v>
      </c>
      <c r="AK127" s="1012"/>
      <c r="AS127" s="353"/>
      <c r="AW127" s="353"/>
      <c r="BA127" s="357">
        <v>0</v>
      </c>
      <c r="BB127" s="357"/>
      <c r="BC127" s="434" t="s">
        <v>608</v>
      </c>
      <c r="BD127" s="434"/>
      <c r="BS127" s="382"/>
      <c r="BT127" s="382"/>
      <c r="BU127" s="382"/>
      <c r="BV127" s="382"/>
      <c r="BW127" s="382"/>
      <c r="BX127" s="382"/>
      <c r="BY127" s="771"/>
      <c r="BZ127" s="382"/>
      <c r="CA127" s="382"/>
      <c r="CB127" s="382"/>
      <c r="CC127" s="382"/>
      <c r="CD127" s="382"/>
      <c r="CE127" s="382"/>
      <c r="CG127" s="382"/>
      <c r="CH127" s="382"/>
      <c r="CI127" s="382"/>
      <c r="CJ127" s="382"/>
      <c r="CK127" s="382"/>
      <c r="CL127" s="382"/>
      <c r="CM127" s="382"/>
      <c r="CN127" s="382"/>
      <c r="CO127" s="382"/>
      <c r="CP127" s="382"/>
      <c r="CQ127" s="382"/>
      <c r="CR127" s="382"/>
      <c r="CT127" s="382"/>
    </row>
    <row r="128" spans="4:98" x14ac:dyDescent="0.35">
      <c r="Z128" s="361"/>
      <c r="AA128" s="1004"/>
      <c r="AB128" s="1013"/>
      <c r="AC128" s="1014"/>
      <c r="AH128" s="361"/>
      <c r="AI128" s="1004"/>
      <c r="AJ128" s="1013"/>
      <c r="AK128" s="1014"/>
      <c r="AR128" s="382"/>
      <c r="AS128" s="353"/>
      <c r="AW128" s="353"/>
      <c r="BA128" s="361"/>
      <c r="BB128" s="361"/>
      <c r="BC128" s="434"/>
      <c r="BD128" s="434"/>
      <c r="BS128" s="382"/>
      <c r="BT128" s="382"/>
      <c r="BU128" s="382"/>
      <c r="BV128" s="382"/>
      <c r="BW128" s="382"/>
      <c r="BX128" s="382"/>
      <c r="BY128" s="771"/>
      <c r="BZ128" s="382"/>
      <c r="CA128" s="382"/>
      <c r="CB128" s="382"/>
      <c r="CC128" s="382"/>
      <c r="CD128" s="382"/>
      <c r="CE128" s="382"/>
      <c r="CG128" s="382"/>
      <c r="CH128" s="382"/>
      <c r="CI128" s="382"/>
      <c r="CJ128" s="382"/>
      <c r="CK128" s="382"/>
      <c r="CL128" s="382"/>
      <c r="CM128" s="382"/>
      <c r="CN128" s="382"/>
      <c r="CQ128" s="382"/>
      <c r="CR128" s="382"/>
    </row>
    <row r="129" spans="15:56" ht="15.75" customHeight="1" x14ac:dyDescent="0.35">
      <c r="Z129" s="361"/>
      <c r="AG129" s="476">
        <f>$AI$123*$AI129</f>
        <v>11823.106230407702</v>
      </c>
      <c r="AH129" s="357">
        <v>0.38119999999999998</v>
      </c>
      <c r="AI129" s="1052" t="s">
        <v>702</v>
      </c>
      <c r="AJ129" s="1011" t="s">
        <v>614</v>
      </c>
      <c r="AK129" s="1012"/>
      <c r="AS129" s="353"/>
      <c r="AW129" s="353"/>
      <c r="BA129" s="357"/>
      <c r="BB129" s="350"/>
      <c r="BC129" s="368"/>
      <c r="BD129" s="368"/>
    </row>
    <row r="130" spans="15:56" ht="20" customHeight="1" x14ac:dyDescent="0.35">
      <c r="U130" s="388" t="s">
        <v>628</v>
      </c>
      <c r="Z130" s="391">
        <f>SUM(Z131:Z153)</f>
        <v>0.109</v>
      </c>
      <c r="AA130" s="563">
        <f>SUM(AA131:AA154)</f>
        <v>855.64166666666654</v>
      </c>
      <c r="AH130" s="361"/>
      <c r="AI130" s="1052"/>
      <c r="AJ130" s="1013"/>
      <c r="AK130" s="1014"/>
      <c r="AS130" s="353"/>
      <c r="AW130" s="353"/>
      <c r="BA130" s="361"/>
      <c r="BB130" s="343"/>
      <c r="BC130" s="368"/>
      <c r="BD130" s="368"/>
    </row>
    <row r="131" spans="15:56" ht="20.5" customHeight="1" x14ac:dyDescent="0.35">
      <c r="Y131" s="463">
        <f>Y13</f>
        <v>10000</v>
      </c>
      <c r="Z131" s="362">
        <v>8.0000000000000002E-3</v>
      </c>
      <c r="AA131" s="1009">
        <f>Y131*Z131</f>
        <v>80</v>
      </c>
      <c r="AB131" s="1011" t="s">
        <v>565</v>
      </c>
      <c r="AC131" s="1012"/>
      <c r="AG131" s="476">
        <f>$AI$123*$AI131</f>
        <v>9852.5885253397519</v>
      </c>
      <c r="AH131" s="357">
        <v>0.14149999999999999</v>
      </c>
      <c r="AI131" s="1052" t="s">
        <v>703</v>
      </c>
      <c r="AJ131" s="1011" t="s">
        <v>615</v>
      </c>
      <c r="AK131" s="1012"/>
      <c r="AS131" s="353"/>
      <c r="AW131" s="353"/>
      <c r="BA131" s="357"/>
      <c r="BB131" s="681">
        <f>SUM(BB132:BB136)</f>
        <v>368.88465961712654</v>
      </c>
      <c r="BC131" s="436"/>
      <c r="BD131" s="436"/>
    </row>
    <row r="132" spans="15:56" x14ac:dyDescent="0.35">
      <c r="Z132" s="343"/>
      <c r="AA132" s="1010"/>
      <c r="AB132" s="1068"/>
      <c r="AC132" s="1069"/>
      <c r="AH132" s="361"/>
      <c r="AI132" s="1052"/>
      <c r="AJ132" s="1013"/>
      <c r="AK132" s="1014"/>
      <c r="AS132" s="353"/>
      <c r="AW132" s="353"/>
      <c r="AZ132" s="453">
        <v>6500</v>
      </c>
      <c r="BA132" s="362">
        <v>2.2135827472851807E-2</v>
      </c>
      <c r="BB132" s="680">
        <f>AZ132*BA132</f>
        <v>143.88287857353674</v>
      </c>
      <c r="BC132" s="431" t="s">
        <v>576</v>
      </c>
      <c r="BD132" s="430"/>
    </row>
    <row r="133" spans="15:56" x14ac:dyDescent="0.35">
      <c r="Y133" s="463">
        <f>Y25</f>
        <v>12000</v>
      </c>
      <c r="Z133" s="559">
        <v>1.2E-2</v>
      </c>
      <c r="AA133" s="1009">
        <f>Y133*Z133</f>
        <v>144</v>
      </c>
      <c r="AB133" s="1067" t="s">
        <v>617</v>
      </c>
      <c r="AC133" s="1067"/>
      <c r="AH133" s="357"/>
      <c r="AS133" s="353"/>
      <c r="AW133" s="353"/>
      <c r="BA133" s="343"/>
      <c r="BB133" s="343"/>
      <c r="BC133" s="430"/>
      <c r="BD133" s="430"/>
    </row>
    <row r="134" spans="15:56" ht="15.75" customHeight="1" x14ac:dyDescent="0.35">
      <c r="Z134" s="343"/>
      <c r="AA134" s="1010"/>
      <c r="AB134" s="1067"/>
      <c r="AC134" s="1067"/>
      <c r="AH134" s="361"/>
      <c r="AS134" s="353"/>
      <c r="AW134" s="353"/>
      <c r="AZ134" s="453">
        <v>14000</v>
      </c>
      <c r="BA134" s="350">
        <v>5.5975655678475837E-3</v>
      </c>
      <c r="BB134" s="680">
        <f>AZ134*BA134</f>
        <v>78.365917949866173</v>
      </c>
      <c r="BC134" s="431" t="s">
        <v>573</v>
      </c>
      <c r="BD134" s="432"/>
    </row>
    <row r="135" spans="15:56" ht="15" customHeight="1" x14ac:dyDescent="0.35">
      <c r="O135" s="385"/>
      <c r="S135" s="341"/>
      <c r="Y135" s="463">
        <f>Y15</f>
        <v>2000</v>
      </c>
      <c r="Z135" s="350">
        <v>5.1999999999999998E-3</v>
      </c>
      <c r="AA135" s="1009">
        <f>Y135*Z135</f>
        <v>10.4</v>
      </c>
      <c r="AB135" s="1011" t="s">
        <v>568</v>
      </c>
      <c r="AC135" s="1012"/>
      <c r="AH135" s="361"/>
      <c r="AS135" s="353"/>
      <c r="AW135" s="353"/>
      <c r="BA135" s="343"/>
      <c r="BB135" s="343"/>
      <c r="BC135" s="424"/>
      <c r="BD135" s="425"/>
    </row>
    <row r="136" spans="15:56" x14ac:dyDescent="0.35">
      <c r="O136" s="385"/>
      <c r="S136" s="341"/>
      <c r="Z136" s="343"/>
      <c r="AA136" s="1010"/>
      <c r="AB136" s="1013"/>
      <c r="AC136" s="1014"/>
      <c r="AH136" s="361"/>
      <c r="AS136" s="353"/>
      <c r="AW136" s="353"/>
      <c r="AZ136" s="453">
        <v>8000</v>
      </c>
      <c r="BA136" s="350">
        <v>1.8329482886715449E-2</v>
      </c>
      <c r="BB136" s="680">
        <f>AZ136*BA136</f>
        <v>146.6358630937236</v>
      </c>
      <c r="BC136" s="422" t="s">
        <v>579</v>
      </c>
      <c r="BD136" s="423"/>
    </row>
    <row r="137" spans="15:56" ht="15.75" customHeight="1" x14ac:dyDescent="0.35">
      <c r="O137" s="385"/>
      <c r="S137" s="341"/>
      <c r="Y137" s="463">
        <f>Y17</f>
        <v>4166.6666666666661</v>
      </c>
      <c r="Z137" s="350">
        <v>6.4000000000000003E-3</v>
      </c>
      <c r="AA137" s="1009">
        <f>Y137*Z137</f>
        <v>26.666666666666664</v>
      </c>
      <c r="AB137" s="1011" t="s">
        <v>571</v>
      </c>
      <c r="AC137" s="1012"/>
      <c r="AH137" s="361"/>
      <c r="AS137" s="353"/>
      <c r="AW137" s="353"/>
      <c r="BA137" s="343"/>
      <c r="BB137" s="343"/>
      <c r="BC137" s="424"/>
      <c r="BD137" s="425"/>
    </row>
    <row r="138" spans="15:56" ht="17.5" customHeight="1" x14ac:dyDescent="0.35">
      <c r="O138" s="385"/>
      <c r="S138" s="341"/>
      <c r="Z138" s="343"/>
      <c r="AA138" s="1010"/>
      <c r="AB138" s="1013"/>
      <c r="AC138" s="1014"/>
      <c r="AH138" s="391">
        <f>SUM(AH139:AH153)</f>
        <v>5.0500000000000003E-2</v>
      </c>
      <c r="AI138" s="563">
        <f>SUM(AI139:AI154)</f>
        <v>330.66666666666669</v>
      </c>
      <c r="AK138" s="341">
        <f>Z124-AH138-AK124</f>
        <v>1.6036083512198762E-2</v>
      </c>
      <c r="AS138" s="353"/>
      <c r="AW138" s="353"/>
      <c r="BA138" s="350">
        <v>5.5975655678475837E-3</v>
      </c>
      <c r="BB138" s="680">
        <f>AZ138*BA138</f>
        <v>0</v>
      </c>
      <c r="BC138" s="422" t="s">
        <v>621</v>
      </c>
      <c r="BD138" s="444"/>
    </row>
    <row r="139" spans="15:56" ht="17.5" customHeight="1" x14ac:dyDescent="0.35">
      <c r="O139" s="385"/>
      <c r="S139" s="341"/>
      <c r="W139" s="341"/>
      <c r="Y139" s="463">
        <f>Y174</f>
        <v>11250</v>
      </c>
      <c r="Z139" s="350">
        <v>2.3900000000000001E-2</v>
      </c>
      <c r="AA139" s="1009">
        <f>Y139*Z139</f>
        <v>268.875</v>
      </c>
      <c r="AB139" s="1011" t="s">
        <v>618</v>
      </c>
      <c r="AC139" s="1012"/>
      <c r="AG139" s="463">
        <f>AG75</f>
        <v>8000</v>
      </c>
      <c r="AH139" s="386">
        <v>2.5999999999999999E-2</v>
      </c>
      <c r="AI139" s="1009">
        <f>AG139*AH139</f>
        <v>208</v>
      </c>
      <c r="AJ139" s="1011" t="s">
        <v>575</v>
      </c>
      <c r="AK139" s="1012"/>
      <c r="AS139" s="353"/>
      <c r="AW139" s="353"/>
      <c r="BA139" s="343"/>
      <c r="BB139" s="343"/>
      <c r="BC139" s="445"/>
      <c r="BD139" s="446"/>
    </row>
    <row r="140" spans="15:56" x14ac:dyDescent="0.35">
      <c r="O140" s="385"/>
      <c r="S140" s="341"/>
      <c r="Z140" s="343"/>
      <c r="AA140" s="1010"/>
      <c r="AB140" s="1013"/>
      <c r="AC140" s="1014"/>
      <c r="AH140" s="343"/>
      <c r="AI140" s="1010"/>
      <c r="AJ140" s="1013"/>
      <c r="AK140" s="1014"/>
      <c r="AS140" s="353"/>
      <c r="AW140" s="369"/>
      <c r="AX140" s="349"/>
      <c r="AY140" s="349"/>
    </row>
    <row r="141" spans="15:56" ht="15.75" customHeight="1" x14ac:dyDescent="0.35">
      <c r="O141" s="385"/>
      <c r="S141" s="341"/>
      <c r="Y141" s="463">
        <f>Y176</f>
        <v>9900</v>
      </c>
      <c r="Z141" s="350">
        <v>1.5E-3</v>
      </c>
      <c r="AA141" s="1009">
        <f>Y141*Z141</f>
        <v>14.85</v>
      </c>
      <c r="AB141" s="1011" t="s">
        <v>619</v>
      </c>
      <c r="AC141" s="1012"/>
      <c r="AG141" s="463">
        <f>AG106</f>
        <v>10500</v>
      </c>
      <c r="AH141" s="350">
        <v>2.5000000000000001E-3</v>
      </c>
      <c r="AI141" s="1009">
        <f>AG141*AH141</f>
        <v>26.25</v>
      </c>
      <c r="AJ141" s="1011" t="s">
        <v>578</v>
      </c>
      <c r="AK141" s="1012"/>
      <c r="AS141" s="353"/>
      <c r="AW141" s="353"/>
    </row>
    <row r="142" spans="15:56" x14ac:dyDescent="0.35">
      <c r="O142" s="385"/>
      <c r="S142" s="341"/>
      <c r="Z142" s="343"/>
      <c r="AA142" s="1010"/>
      <c r="AB142" s="1013"/>
      <c r="AC142" s="1014"/>
      <c r="AH142" s="343"/>
      <c r="AI142" s="1010"/>
      <c r="AJ142" s="1013"/>
      <c r="AK142" s="1014"/>
      <c r="AS142" s="373"/>
      <c r="AT142" s="349"/>
      <c r="AU142" s="349"/>
      <c r="AV142" s="349"/>
      <c r="AW142" s="353"/>
    </row>
    <row r="143" spans="15:56" ht="15.75" customHeight="1" x14ac:dyDescent="0.35">
      <c r="O143" s="385"/>
      <c r="S143" s="341"/>
      <c r="Y143" s="463">
        <f>Y178</f>
        <v>6500</v>
      </c>
      <c r="Z143" s="350">
        <v>4.4999999999999998E-2</v>
      </c>
      <c r="AA143" s="1009">
        <f>Y143*Z143</f>
        <v>292.5</v>
      </c>
      <c r="AB143" s="1062" t="s">
        <v>620</v>
      </c>
      <c r="AC143" s="1062"/>
      <c r="AG143" s="463">
        <f>AG79</f>
        <v>4500</v>
      </c>
      <c r="AH143" s="350">
        <v>4.5999999999999999E-3</v>
      </c>
      <c r="AI143" s="1009">
        <f>AG143*AH143</f>
        <v>20.7</v>
      </c>
      <c r="AJ143" s="1011" t="s">
        <v>599</v>
      </c>
      <c r="AK143" s="1012"/>
      <c r="AS143" s="373"/>
      <c r="AT143" s="349"/>
      <c r="AU143" s="349"/>
      <c r="AV143" s="349"/>
      <c r="AW143" s="353"/>
      <c r="BA143" s="343"/>
      <c r="BB143" s="343"/>
    </row>
    <row r="144" spans="15:56" x14ac:dyDescent="0.35">
      <c r="O144" s="385"/>
      <c r="S144" s="341"/>
      <c r="Z144" s="343"/>
      <c r="AA144" s="1010"/>
      <c r="AB144" s="1062"/>
      <c r="AC144" s="1062"/>
      <c r="AH144" s="343"/>
      <c r="AI144" s="1010"/>
      <c r="AJ144" s="1013"/>
      <c r="AK144" s="1014"/>
      <c r="AS144" s="353"/>
      <c r="AW144" s="353"/>
      <c r="BA144" s="343"/>
      <c r="BB144" s="579" t="s">
        <v>712</v>
      </c>
      <c r="BC144" s="517">
        <f>'Hảo_R&amp;D (Vảy sạch)'!BR4</f>
        <v>0.26666666666666666</v>
      </c>
    </row>
    <row r="145" spans="15:59" ht="15.75" customHeight="1" x14ac:dyDescent="0.35">
      <c r="O145" s="385"/>
      <c r="S145" s="341"/>
      <c r="Y145" s="453">
        <v>1500</v>
      </c>
      <c r="Z145" s="350">
        <v>3.3999999999999998E-3</v>
      </c>
      <c r="AA145" s="1009">
        <f>Y145*Z145</f>
        <v>5.0999999999999996</v>
      </c>
      <c r="AB145" s="1005" t="s">
        <v>602</v>
      </c>
      <c r="AC145" s="1006"/>
      <c r="AG145" s="463">
        <f>AG25</f>
        <v>4166.6666666666661</v>
      </c>
      <c r="AH145" s="350">
        <v>8.8000000000000005E-3</v>
      </c>
      <c r="AI145" s="1009">
        <f>AG145*AH145</f>
        <v>36.666666666666664</v>
      </c>
      <c r="AJ145" s="1011" t="s">
        <v>581</v>
      </c>
      <c r="AK145" s="1012"/>
      <c r="AS145" s="353"/>
      <c r="AW145" s="353"/>
      <c r="AZ145" s="466">
        <f>($AH$5*0.855+$AH$123*0.095+$AH$5*0.05)/BA145</f>
        <v>22235.735899690921</v>
      </c>
      <c r="BA145" s="577">
        <f>SUM(BA146:BA149)</f>
        <v>0.95000000000000007</v>
      </c>
      <c r="BB145" s="343"/>
      <c r="BD145" s="438">
        <f>(0.855*AK6+0.095*AK124+0.05*AK6)*BA145</f>
        <v>0.76502119619197995</v>
      </c>
      <c r="BE145" s="468">
        <f>($N$5/BD145)*0.855+($N$123/BD145)*0.095+($N$5/BD145)*0.05</f>
        <v>22239.835052826824</v>
      </c>
      <c r="BF145" s="679">
        <f>BE145-AZ145</f>
        <v>4.0991531359031796</v>
      </c>
      <c r="BG145" s="463"/>
    </row>
    <row r="146" spans="15:59" ht="16" x14ac:dyDescent="0.35">
      <c r="O146" s="385"/>
      <c r="S146" s="341"/>
      <c r="Z146" s="343"/>
      <c r="AA146" s="1010"/>
      <c r="AB146" s="1007"/>
      <c r="AC146" s="1008"/>
      <c r="AH146" s="343"/>
      <c r="AI146" s="1010"/>
      <c r="AJ146" s="1013"/>
      <c r="AK146" s="1014"/>
      <c r="AS146" s="353"/>
      <c r="AT146" s="1057"/>
      <c r="AU146" s="1057"/>
      <c r="AV146" s="349"/>
      <c r="AW146" s="353"/>
      <c r="AZ146" s="349"/>
      <c r="BA146" s="576">
        <v>0.93400000000000005</v>
      </c>
      <c r="BB146" s="580">
        <f>BB11</f>
        <v>1.0642201834862386</v>
      </c>
      <c r="BC146" s="426" t="s">
        <v>597</v>
      </c>
      <c r="BD146" s="423"/>
      <c r="BE146" s="340" t="s">
        <v>640</v>
      </c>
    </row>
    <row r="147" spans="15:59" ht="15.75" customHeight="1" x14ac:dyDescent="0.35">
      <c r="Y147" s="463">
        <f>Y21</f>
        <v>-300</v>
      </c>
      <c r="Z147" s="350">
        <v>1.5E-3</v>
      </c>
      <c r="AA147" s="1009">
        <f>Y147*Z147</f>
        <v>-0.45</v>
      </c>
      <c r="AB147" s="1005" t="s">
        <v>574</v>
      </c>
      <c r="AC147" s="1006"/>
      <c r="AG147" s="463">
        <f>AG27</f>
        <v>4166.6666666666661</v>
      </c>
      <c r="AH147" s="350">
        <v>2.0999999999999999E-3</v>
      </c>
      <c r="AI147" s="1009">
        <f>AG147*AH147</f>
        <v>8.7499999999999982</v>
      </c>
      <c r="AJ147" s="1053" t="s">
        <v>622</v>
      </c>
      <c r="AK147" s="1054"/>
      <c r="AS147" s="353"/>
      <c r="AT147" s="1057"/>
      <c r="AU147" s="1057"/>
      <c r="AV147" s="349"/>
      <c r="AW147" s="353"/>
      <c r="AZ147" s="349"/>
      <c r="BA147" s="356"/>
      <c r="BB147" s="356"/>
      <c r="BC147" s="424"/>
      <c r="BD147" s="425"/>
    </row>
    <row r="148" spans="15:59" x14ac:dyDescent="0.35">
      <c r="Z148" s="343"/>
      <c r="AA148" s="1010"/>
      <c r="AB148" s="1007"/>
      <c r="AC148" s="1008"/>
      <c r="AH148" s="343"/>
      <c r="AI148" s="1010"/>
      <c r="AJ148" s="1055"/>
      <c r="AK148" s="1056"/>
      <c r="AS148" s="353"/>
      <c r="AT148" s="1057"/>
      <c r="AU148" s="1057"/>
      <c r="AV148" s="349"/>
      <c r="AW148" s="352"/>
      <c r="AX148" s="1015" t="s">
        <v>624</v>
      </c>
      <c r="AY148" s="1016"/>
      <c r="AZ148" s="346"/>
      <c r="BA148" s="348">
        <v>1.6E-2</v>
      </c>
      <c r="BB148" s="451">
        <f>BB13</f>
        <v>1.036697247706422</v>
      </c>
      <c r="BC148" s="426" t="s">
        <v>590</v>
      </c>
      <c r="BD148" s="423"/>
      <c r="BE148" s="340" t="s">
        <v>641</v>
      </c>
    </row>
    <row r="149" spans="15:59" ht="15.75" customHeight="1" x14ac:dyDescent="0.35">
      <c r="Y149" s="463">
        <f>Y23</f>
        <v>2500</v>
      </c>
      <c r="Z149" s="350">
        <v>8.0000000000000004E-4</v>
      </c>
      <c r="AA149" s="1009">
        <f>Y149*Z149</f>
        <v>2</v>
      </c>
      <c r="AB149" s="1005" t="s">
        <v>577</v>
      </c>
      <c r="AC149" s="1006"/>
      <c r="AG149" s="463">
        <f>AG147</f>
        <v>4166.6666666666661</v>
      </c>
      <c r="AH149" s="350">
        <v>5.4000000000000003E-3</v>
      </c>
      <c r="AI149" s="1009">
        <f>AG149*AH149</f>
        <v>22.499999999999996</v>
      </c>
      <c r="AJ149" s="1011" t="s">
        <v>583</v>
      </c>
      <c r="AK149" s="1012"/>
      <c r="AS149" s="353"/>
      <c r="AT149" s="1057"/>
      <c r="AU149" s="1057"/>
      <c r="AW149" s="353"/>
      <c r="AX149" s="1017"/>
      <c r="AY149" s="1018"/>
      <c r="BA149" s="361"/>
      <c r="BB149" s="361"/>
      <c r="BC149" s="431"/>
      <c r="BD149" s="432"/>
    </row>
    <row r="150" spans="15:59" x14ac:dyDescent="0.35">
      <c r="Z150" s="343"/>
      <c r="AA150" s="1010"/>
      <c r="AB150" s="1007"/>
      <c r="AC150" s="1008"/>
      <c r="AH150" s="343"/>
      <c r="AI150" s="1010"/>
      <c r="AJ150" s="1013"/>
      <c r="AK150" s="1014"/>
      <c r="AS150" s="353"/>
      <c r="AT150" s="1057"/>
      <c r="AU150" s="1057"/>
      <c r="AW150" s="353"/>
      <c r="BA150" s="357">
        <v>0</v>
      </c>
      <c r="BB150" s="357"/>
      <c r="BC150" s="422" t="s">
        <v>608</v>
      </c>
      <c r="BD150" s="423"/>
      <c r="BE150" s="340" t="s">
        <v>642</v>
      </c>
    </row>
    <row r="151" spans="15:59" ht="15.75" customHeight="1" x14ac:dyDescent="0.35">
      <c r="Y151" s="463">
        <f>Y84</f>
        <v>6000</v>
      </c>
      <c r="Z151" s="350">
        <v>2.9999999999999997E-4</v>
      </c>
      <c r="AA151" s="1009">
        <f>Y151*Z151</f>
        <v>1.7999999999999998</v>
      </c>
      <c r="AB151" s="1058" t="s">
        <v>601</v>
      </c>
      <c r="AC151" s="1059"/>
      <c r="AG151" s="453">
        <v>10000</v>
      </c>
      <c r="AH151" s="350">
        <v>2.9999999999999997E-4</v>
      </c>
      <c r="AI151" s="1009">
        <f>AG151*AH151</f>
        <v>2.9999999999999996</v>
      </c>
      <c r="AJ151" s="1011" t="s">
        <v>587</v>
      </c>
      <c r="AK151" s="1012"/>
      <c r="AS151" s="353"/>
      <c r="AT151" s="1057"/>
      <c r="AU151" s="1057"/>
      <c r="AW151" s="353"/>
      <c r="BA151" s="361"/>
      <c r="BB151" s="361"/>
      <c r="BC151" s="424"/>
      <c r="BD151" s="425"/>
    </row>
    <row r="152" spans="15:59" x14ac:dyDescent="0.35">
      <c r="Y152" s="463"/>
      <c r="Z152" s="350"/>
      <c r="AA152" s="1010"/>
      <c r="AB152" s="1060"/>
      <c r="AC152" s="1061"/>
      <c r="AH152" s="343"/>
      <c r="AI152" s="1010"/>
      <c r="AJ152" s="1013"/>
      <c r="AK152" s="1014"/>
      <c r="AS152" s="353"/>
      <c r="AT152" s="1057"/>
      <c r="AU152" s="1057"/>
      <c r="AW152" s="353"/>
      <c r="BA152" s="357">
        <v>1E-3</v>
      </c>
      <c r="BB152" s="357"/>
      <c r="BC152" s="422" t="s">
        <v>600</v>
      </c>
      <c r="BD152" s="423"/>
      <c r="BE152" s="340" t="s">
        <v>643</v>
      </c>
    </row>
    <row r="153" spans="15:59" x14ac:dyDescent="0.35">
      <c r="Y153" s="463">
        <f>Y176</f>
        <v>9900</v>
      </c>
      <c r="Z153" s="350">
        <v>1E-3</v>
      </c>
      <c r="AA153" s="1009">
        <f>Y153*Z153</f>
        <v>9.9</v>
      </c>
      <c r="AB153" s="1058" t="s">
        <v>619</v>
      </c>
      <c r="AC153" s="1059"/>
      <c r="AG153" s="463">
        <f>AG31</f>
        <v>6000</v>
      </c>
      <c r="AH153" s="350">
        <v>8.0000000000000004E-4</v>
      </c>
      <c r="AI153" s="1009">
        <f>AG153*AH153</f>
        <v>4.8</v>
      </c>
      <c r="AJ153" s="1011" t="s">
        <v>589</v>
      </c>
      <c r="AK153" s="1012"/>
      <c r="AS153" s="353"/>
      <c r="AT153" s="1057"/>
      <c r="AU153" s="1057"/>
      <c r="AW153" s="353"/>
      <c r="BA153" s="361"/>
      <c r="BB153" s="361"/>
      <c r="BC153" s="424"/>
      <c r="BD153" s="425"/>
    </row>
    <row r="154" spans="15:59" x14ac:dyDescent="0.35">
      <c r="AA154" s="1010"/>
      <c r="AB154" s="1060"/>
      <c r="AC154" s="1061"/>
      <c r="AH154" s="343"/>
      <c r="AI154" s="1010"/>
      <c r="AJ154" s="1013"/>
      <c r="AK154" s="1014"/>
      <c r="AS154" s="353"/>
      <c r="AT154" s="1057"/>
      <c r="AU154" s="1057"/>
      <c r="AW154" s="353"/>
      <c r="BA154" s="357"/>
      <c r="BB154" s="350"/>
      <c r="BC154" s="436"/>
      <c r="BD154" s="436"/>
    </row>
    <row r="155" spans="15:59" x14ac:dyDescent="0.35">
      <c r="Y155" s="463">
        <f>N123</f>
        <v>15584.489505514053</v>
      </c>
      <c r="Z155" s="388">
        <v>4.6800000000000001E-2</v>
      </c>
      <c r="AA155" s="1009">
        <f>Y155*Z155</f>
        <v>729.35410885805766</v>
      </c>
      <c r="AB155" s="1005" t="s">
        <v>482</v>
      </c>
      <c r="AC155" s="1006"/>
      <c r="AG155" s="463">
        <f>Z123</f>
        <v>18457.01923241929</v>
      </c>
      <c r="AH155" s="388">
        <v>2.8299999999999999E-2</v>
      </c>
      <c r="AI155" s="738">
        <f>AG155*AH155</f>
        <v>522.33364427746585</v>
      </c>
      <c r="AJ155" s="1063" t="s">
        <v>482</v>
      </c>
      <c r="AK155" s="1064"/>
      <c r="AS155" s="353"/>
      <c r="AT155" s="1057"/>
      <c r="AU155" s="1057"/>
      <c r="AW155" s="353"/>
      <c r="BA155" s="361"/>
      <c r="BB155" s="681">
        <f>SUM(BB156:BB160)</f>
        <v>213</v>
      </c>
      <c r="BC155" s="436"/>
      <c r="BD155" s="436"/>
    </row>
    <row r="156" spans="15:59" x14ac:dyDescent="0.35">
      <c r="Z156" s="343"/>
      <c r="AA156" s="1010"/>
      <c r="AB156" s="1007"/>
      <c r="AC156" s="1008"/>
      <c r="AH156" s="343"/>
      <c r="AI156" s="738"/>
      <c r="AJ156" s="1065"/>
      <c r="AK156" s="1066"/>
      <c r="AS156" s="353"/>
      <c r="AW156" s="353"/>
      <c r="AZ156" s="453">
        <v>6500</v>
      </c>
      <c r="BA156" s="362">
        <v>1.7999999999999999E-2</v>
      </c>
      <c r="BB156" s="680">
        <f>AZ156*BA156</f>
        <v>116.99999999999999</v>
      </c>
      <c r="BC156" s="431" t="s">
        <v>576</v>
      </c>
      <c r="BD156" s="430"/>
    </row>
    <row r="157" spans="15:59" x14ac:dyDescent="0.35">
      <c r="AS157" s="353"/>
      <c r="AW157" s="353"/>
      <c r="BA157" s="343"/>
      <c r="BB157" s="343"/>
      <c r="BC157" s="430"/>
      <c r="BD157" s="430"/>
    </row>
    <row r="158" spans="15:59" ht="17.5" x14ac:dyDescent="0.35">
      <c r="Z158" s="465"/>
      <c r="AA158" s="465">
        <f>Z158-AA165</f>
        <v>0</v>
      </c>
      <c r="AH158" s="465">
        <f>Z158/AH159</f>
        <v>0</v>
      </c>
      <c r="AI158" s="394" t="s">
        <v>712</v>
      </c>
      <c r="AK158" s="454">
        <f>N158/AK159</f>
        <v>0</v>
      </c>
      <c r="AR158" s="341"/>
      <c r="AS158" s="353"/>
      <c r="AW158" s="353"/>
      <c r="AZ158" s="453">
        <v>14000</v>
      </c>
      <c r="BA158" s="350">
        <v>0</v>
      </c>
      <c r="BB158" s="680">
        <f>AZ158*BA158</f>
        <v>0</v>
      </c>
      <c r="BC158" s="431" t="s">
        <v>573</v>
      </c>
      <c r="BD158" s="432"/>
    </row>
    <row r="159" spans="15:59" x14ac:dyDescent="0.35">
      <c r="Z159" s="389">
        <f>SUM(Z160:Z161)</f>
        <v>0.9093</v>
      </c>
      <c r="AH159" s="413">
        <f>SUM(AH160:AH165)</f>
        <v>0.94030000000000002</v>
      </c>
      <c r="AK159" s="412">
        <f>Z159*AH159</f>
        <v>0.85501479000000002</v>
      </c>
      <c r="AS159" s="353"/>
      <c r="AW159" s="353"/>
      <c r="BA159" s="343"/>
      <c r="BB159" s="343"/>
      <c r="BC159" s="424"/>
      <c r="BD159" s="425"/>
    </row>
    <row r="160" spans="15:59" ht="15" customHeight="1" x14ac:dyDescent="0.35">
      <c r="R160" s="1003"/>
      <c r="S160" s="1048" t="s">
        <v>646</v>
      </c>
      <c r="T160" s="1049"/>
      <c r="U160" s="347"/>
      <c r="V160" s="408">
        <v>0.05</v>
      </c>
      <c r="W160" s="1029" t="s">
        <v>551</v>
      </c>
      <c r="X160" s="1030"/>
      <c r="Y160" s="346"/>
      <c r="Z160" s="348">
        <v>0.9093</v>
      </c>
      <c r="AA160" s="1003"/>
      <c r="AB160" s="1045" t="s">
        <v>647</v>
      </c>
      <c r="AC160" s="1045"/>
      <c r="AD160" s="346"/>
      <c r="AE160" s="1029" t="s">
        <v>557</v>
      </c>
      <c r="AF160" s="1030"/>
      <c r="AG160" s="476">
        <f>$AI$159*$AI160</f>
        <v>0</v>
      </c>
      <c r="AH160" s="372">
        <v>0.34100000000000003</v>
      </c>
      <c r="AI160" s="1003" t="s">
        <v>700</v>
      </c>
      <c r="AJ160" s="1037" t="s">
        <v>645</v>
      </c>
      <c r="AK160" s="1038"/>
      <c r="AS160" s="353"/>
      <c r="AW160" s="353"/>
      <c r="AZ160" s="453">
        <v>8000</v>
      </c>
      <c r="BA160" s="350">
        <v>1.2E-2</v>
      </c>
      <c r="BB160" s="680">
        <f>AZ160*BA160</f>
        <v>96</v>
      </c>
      <c r="BC160" s="422" t="s">
        <v>579</v>
      </c>
      <c r="BD160" s="423"/>
    </row>
    <row r="161" spans="18:58" x14ac:dyDescent="0.35">
      <c r="R161" s="1004"/>
      <c r="S161" s="1050"/>
      <c r="T161" s="1051"/>
      <c r="U161" s="354"/>
      <c r="V161" s="343"/>
      <c r="W161" s="1031"/>
      <c r="X161" s="1032"/>
      <c r="Z161" s="353"/>
      <c r="AA161" s="1004"/>
      <c r="AB161" s="1045"/>
      <c r="AC161" s="1045"/>
      <c r="AE161" s="1031"/>
      <c r="AF161" s="1032"/>
      <c r="AH161" s="374"/>
      <c r="AI161" s="1004"/>
      <c r="AJ161" s="1039"/>
      <c r="AK161" s="1040"/>
      <c r="AS161" s="353"/>
      <c r="AW161" s="353"/>
      <c r="BA161" s="343"/>
      <c r="BB161" s="343"/>
      <c r="BC161" s="424"/>
      <c r="BD161" s="425"/>
    </row>
    <row r="162" spans="18:58" ht="15" customHeight="1" x14ac:dyDescent="0.35">
      <c r="Z162" s="357">
        <v>0.39472419647883134</v>
      </c>
      <c r="AA162" s="1003"/>
      <c r="AB162" s="1037" t="s">
        <v>647</v>
      </c>
      <c r="AC162" s="1038"/>
      <c r="AG162" s="476">
        <f>$AI$159*$AI162</f>
        <v>0</v>
      </c>
      <c r="AH162" s="374">
        <v>0.46600000000000003</v>
      </c>
      <c r="AI162" s="1003" t="s">
        <v>701</v>
      </c>
      <c r="AJ162" s="1037" t="s">
        <v>645</v>
      </c>
      <c r="AK162" s="1038"/>
      <c r="AS162" s="353"/>
      <c r="AW162" s="353"/>
      <c r="BA162" s="350">
        <v>0</v>
      </c>
      <c r="BB162" s="680">
        <f>AZ162*BA162</f>
        <v>0</v>
      </c>
      <c r="BC162" s="422" t="s">
        <v>621</v>
      </c>
      <c r="BD162" s="444"/>
    </row>
    <row r="163" spans="18:58" x14ac:dyDescent="0.35">
      <c r="Z163" s="361"/>
      <c r="AA163" s="1004"/>
      <c r="AB163" s="1039"/>
      <c r="AC163" s="1040"/>
      <c r="AH163" s="374"/>
      <c r="AI163" s="1004"/>
      <c r="AJ163" s="1039"/>
      <c r="AK163" s="1040"/>
      <c r="AS163" s="353"/>
      <c r="AW163" s="353"/>
      <c r="AX163" s="349"/>
      <c r="AY163" s="349"/>
      <c r="BA163" s="343"/>
      <c r="BB163" s="343"/>
      <c r="BC163" s="445"/>
      <c r="BD163" s="446"/>
    </row>
    <row r="164" spans="18:58" ht="15" customHeight="1" x14ac:dyDescent="0.35">
      <c r="Z164" s="361"/>
      <c r="AB164" s="414"/>
      <c r="AC164" s="414"/>
      <c r="AG164" s="476">
        <f>$AI$159*$AI164</f>
        <v>0</v>
      </c>
      <c r="AH164" s="374">
        <v>0.1333</v>
      </c>
      <c r="AI164" s="1052" t="s">
        <v>702</v>
      </c>
      <c r="AJ164" s="1037" t="s">
        <v>645</v>
      </c>
      <c r="AK164" s="1038"/>
      <c r="AS164" s="353"/>
      <c r="AW164" s="353"/>
    </row>
    <row r="165" spans="18:58" x14ac:dyDescent="0.35">
      <c r="Z165" s="391">
        <f>SUM(Z166:Z187)</f>
        <v>0.1084</v>
      </c>
      <c r="AA165" s="465"/>
      <c r="AB165" s="414"/>
      <c r="AC165" s="414"/>
      <c r="AH165" s="374"/>
      <c r="AI165" s="1052"/>
      <c r="AJ165" s="1039"/>
      <c r="AK165" s="1040"/>
      <c r="AS165" s="353"/>
      <c r="AW165" s="353"/>
      <c r="BA165" s="343"/>
      <c r="BB165" s="343"/>
    </row>
    <row r="166" spans="18:58" x14ac:dyDescent="0.35">
      <c r="Y166" s="463">
        <f>Y13</f>
        <v>10000</v>
      </c>
      <c r="Z166" s="362">
        <v>8.0000000000000002E-3</v>
      </c>
      <c r="AA166" s="1003"/>
      <c r="AB166" s="1037" t="s">
        <v>565</v>
      </c>
      <c r="AC166" s="1038"/>
      <c r="AJ166" s="414"/>
      <c r="AK166" s="414"/>
      <c r="AS166" s="353"/>
      <c r="AW166" s="353"/>
      <c r="BA166" s="343"/>
      <c r="BB166" s="579" t="s">
        <v>712</v>
      </c>
      <c r="BC166" s="517">
        <f>'Hảo_R&amp;D (Vảy sạch)'!BR26</f>
        <v>0</v>
      </c>
    </row>
    <row r="167" spans="18:58" ht="16" x14ac:dyDescent="0.35">
      <c r="Z167" s="343"/>
      <c r="AA167" s="1004"/>
      <c r="AB167" s="1046"/>
      <c r="AC167" s="1047"/>
      <c r="AJ167" s="414"/>
      <c r="AK167" s="414"/>
      <c r="AS167" s="353"/>
      <c r="AW167" s="353"/>
      <c r="AZ167" s="466">
        <f>($AH$5*0.855+$AH$123*0.095+$AH$5*0.05)/BA167</f>
        <v>24280.401269777441</v>
      </c>
      <c r="BA167" s="577">
        <f>SUM(BA168:BA171)</f>
        <v>0.87</v>
      </c>
      <c r="BB167" s="343"/>
      <c r="BD167" s="438">
        <f>(0.855*AK28+0.095*AK146+0.05*AK28)*BA167</f>
        <v>0</v>
      </c>
      <c r="BE167" s="468" t="e">
        <f>($N$5/BD167)*0.855+($N$123/BD167)*0.095+($N$5/BD167)*0.05</f>
        <v>#DIV/0!</v>
      </c>
      <c r="BF167" s="679" t="e">
        <f>BE167-AZ167</f>
        <v>#DIV/0!</v>
      </c>
    </row>
    <row r="168" spans="18:58" ht="16" x14ac:dyDescent="0.35">
      <c r="Y168" s="463">
        <f>Y25</f>
        <v>12000</v>
      </c>
      <c r="Z168" s="350">
        <v>1.2E-2</v>
      </c>
      <c r="AA168" s="1003"/>
      <c r="AB168" s="1045" t="s">
        <v>617</v>
      </c>
      <c r="AC168" s="1045"/>
      <c r="AH168" s="392">
        <f>SUM(AH169:AH181)</f>
        <v>5.0841552977177101E-2</v>
      </c>
      <c r="AJ168" s="414"/>
      <c r="AK168" s="415">
        <f>Z153-AH168-AK154</f>
        <v>-4.98415529771771E-2</v>
      </c>
      <c r="AS168" s="353"/>
      <c r="AW168" s="353"/>
      <c r="AZ168" s="349"/>
      <c r="BA168" s="576">
        <v>0.86529999999999996</v>
      </c>
      <c r="BB168" s="580">
        <f>BB33</f>
        <v>0</v>
      </c>
      <c r="BC168" s="426" t="s">
        <v>597</v>
      </c>
      <c r="BD168" s="423"/>
      <c r="BE168" s="340" t="s">
        <v>640</v>
      </c>
    </row>
    <row r="169" spans="18:58" x14ac:dyDescent="0.35">
      <c r="Z169" s="343"/>
      <c r="AA169" s="1004"/>
      <c r="AB169" s="1045"/>
      <c r="AC169" s="1045"/>
      <c r="AG169" s="463">
        <f>AG139</f>
        <v>8000</v>
      </c>
      <c r="AH169" s="386">
        <v>2.6265459645543797E-2</v>
      </c>
      <c r="AI169" s="1003"/>
      <c r="AJ169" s="1037" t="s">
        <v>575</v>
      </c>
      <c r="AK169" s="1038"/>
      <c r="AS169" s="353"/>
      <c r="AW169" s="353"/>
      <c r="AZ169" s="349"/>
      <c r="BA169" s="356"/>
      <c r="BB169" s="356"/>
      <c r="BC169" s="424"/>
      <c r="BD169" s="425"/>
    </row>
    <row r="170" spans="18:58" x14ac:dyDescent="0.35">
      <c r="Y170" s="463">
        <f>Y15</f>
        <v>2000</v>
      </c>
      <c r="Z170" s="350">
        <v>5.1999999999999998E-3</v>
      </c>
      <c r="AA170" s="1003"/>
      <c r="AB170" s="1037" t="s">
        <v>568</v>
      </c>
      <c r="AC170" s="1038"/>
      <c r="AH170" s="343"/>
      <c r="AI170" s="1004"/>
      <c r="AJ170" s="1039"/>
      <c r="AK170" s="1040"/>
      <c r="AS170" s="353"/>
      <c r="AW170" s="352"/>
      <c r="AX170" s="1015" t="s">
        <v>820</v>
      </c>
      <c r="AY170" s="1016"/>
      <c r="AZ170" s="346"/>
      <c r="BA170" s="348">
        <v>4.7000000000000002E-3</v>
      </c>
      <c r="BB170" s="484">
        <f>BB35</f>
        <v>420.99009998208032</v>
      </c>
      <c r="BC170" s="426" t="s">
        <v>590</v>
      </c>
      <c r="BD170" s="423"/>
      <c r="BE170" s="340" t="s">
        <v>641</v>
      </c>
    </row>
    <row r="171" spans="18:58" x14ac:dyDescent="0.35">
      <c r="Z171" s="343"/>
      <c r="AA171" s="1004"/>
      <c r="AB171" s="1039"/>
      <c r="AC171" s="1040"/>
      <c r="AG171" s="463">
        <f>AG141</f>
        <v>10500</v>
      </c>
      <c r="AH171" s="350">
        <v>2.4760933316333037E-3</v>
      </c>
      <c r="AI171" s="1003"/>
      <c r="AJ171" s="1037" t="s">
        <v>578</v>
      </c>
      <c r="AK171" s="1038"/>
      <c r="AS171" s="353"/>
      <c r="AW171" s="353"/>
      <c r="AX171" s="1017"/>
      <c r="AY171" s="1018"/>
      <c r="BA171" s="361"/>
      <c r="BB171" s="361"/>
      <c r="BC171" s="431"/>
      <c r="BD171" s="432"/>
    </row>
    <row r="172" spans="18:58" ht="15.75" customHeight="1" x14ac:dyDescent="0.35">
      <c r="Y172" s="463">
        <f>Y17</f>
        <v>4166.6666666666661</v>
      </c>
      <c r="Z172" s="350">
        <v>7.6E-3</v>
      </c>
      <c r="AA172" s="1003"/>
      <c r="AB172" s="1037" t="s">
        <v>571</v>
      </c>
      <c r="AC172" s="1038"/>
      <c r="AH172" s="343"/>
      <c r="AI172" s="1004"/>
      <c r="AJ172" s="1039"/>
      <c r="AK172" s="1040"/>
      <c r="AS172" s="353"/>
      <c r="AW172" s="353"/>
      <c r="BA172" s="357">
        <v>0</v>
      </c>
      <c r="BB172" s="357"/>
      <c r="BC172" s="422" t="s">
        <v>608</v>
      </c>
      <c r="BD172" s="423"/>
      <c r="BE172" s="340" t="s">
        <v>642</v>
      </c>
    </row>
    <row r="173" spans="18:58" x14ac:dyDescent="0.35">
      <c r="Z173" s="343"/>
      <c r="AA173" s="1004"/>
      <c r="AB173" s="1039"/>
      <c r="AC173" s="1040"/>
      <c r="AG173" s="463">
        <f>AG143</f>
        <v>4500</v>
      </c>
      <c r="AH173" s="350">
        <v>4.5999999999999999E-3</v>
      </c>
      <c r="AI173" s="1003"/>
      <c r="AJ173" s="1037" t="s">
        <v>599</v>
      </c>
      <c r="AK173" s="1038"/>
      <c r="AS173" s="353"/>
      <c r="AW173" s="353"/>
      <c r="BA173" s="361"/>
      <c r="BB173" s="361"/>
      <c r="BC173" s="424"/>
      <c r="BD173" s="425"/>
    </row>
    <row r="174" spans="18:58" x14ac:dyDescent="0.35">
      <c r="Y174" s="453">
        <v>11250</v>
      </c>
      <c r="Z174" s="350">
        <v>2.3900000000000001E-2</v>
      </c>
      <c r="AA174" s="1003"/>
      <c r="AB174" s="1037" t="s">
        <v>618</v>
      </c>
      <c r="AC174" s="1038"/>
      <c r="AH174" s="343"/>
      <c r="AI174" s="1004"/>
      <c r="AJ174" s="1039"/>
      <c r="AK174" s="1040"/>
      <c r="AS174" s="353"/>
      <c r="AW174" s="353"/>
      <c r="BA174" s="357">
        <v>0</v>
      </c>
      <c r="BB174" s="357"/>
      <c r="BC174" s="422" t="s">
        <v>600</v>
      </c>
      <c r="BD174" s="423"/>
      <c r="BE174" s="340" t="s">
        <v>643</v>
      </c>
    </row>
    <row r="175" spans="18:58" x14ac:dyDescent="0.35">
      <c r="Z175" s="343"/>
      <c r="AA175" s="1004"/>
      <c r="AB175" s="1039"/>
      <c r="AC175" s="1040"/>
      <c r="AG175" s="463">
        <f>AG149</f>
        <v>4166.6666666666661</v>
      </c>
      <c r="AH175" s="350">
        <v>8.8000000000000005E-3</v>
      </c>
      <c r="AI175" s="1003"/>
      <c r="AJ175" s="1037" t="s">
        <v>581</v>
      </c>
      <c r="AK175" s="1038"/>
      <c r="AS175" s="353"/>
      <c r="AW175" s="353"/>
      <c r="BA175" s="361"/>
      <c r="BB175" s="361"/>
      <c r="BC175" s="424"/>
      <c r="BD175" s="425"/>
    </row>
    <row r="176" spans="18:58" ht="15.75" customHeight="1" x14ac:dyDescent="0.35">
      <c r="Y176" s="453">
        <v>9900</v>
      </c>
      <c r="Z176" s="350">
        <v>1E-3</v>
      </c>
      <c r="AA176" s="1003"/>
      <c r="AB176" s="1037" t="s">
        <v>619</v>
      </c>
      <c r="AC176" s="1038"/>
      <c r="AH176" s="343"/>
      <c r="AI176" s="1004"/>
      <c r="AJ176" s="1039"/>
      <c r="AK176" s="1040"/>
      <c r="AS176" s="353"/>
      <c r="AW176" s="353"/>
      <c r="BA176" s="357"/>
      <c r="BB176" s="350"/>
      <c r="BC176" s="436"/>
      <c r="BD176" s="436"/>
    </row>
    <row r="177" spans="25:58" x14ac:dyDescent="0.35">
      <c r="Z177" s="343"/>
      <c r="AA177" s="1004"/>
      <c r="AB177" s="1039"/>
      <c r="AC177" s="1040"/>
      <c r="AG177" s="463">
        <f>AG175</f>
        <v>4166.6666666666661</v>
      </c>
      <c r="AH177" s="350">
        <v>2.0999999999999999E-3</v>
      </c>
      <c r="AI177" s="1003"/>
      <c r="AJ177" s="1041" t="s">
        <v>622</v>
      </c>
      <c r="AK177" s="1042"/>
      <c r="AS177" s="353"/>
      <c r="AW177" s="353"/>
      <c r="BA177" s="361"/>
      <c r="BB177" s="681">
        <f>SUM(BB178:BB182)</f>
        <v>356.15258220596451</v>
      </c>
      <c r="BC177" s="436"/>
      <c r="BD177" s="436"/>
    </row>
    <row r="178" spans="25:58" x14ac:dyDescent="0.35">
      <c r="Y178" s="453">
        <v>6500</v>
      </c>
      <c r="Z178" s="350">
        <v>4.4999999999999998E-2</v>
      </c>
      <c r="AA178" s="1003"/>
      <c r="AB178" s="1045" t="s">
        <v>620</v>
      </c>
      <c r="AC178" s="1045"/>
      <c r="AH178" s="343"/>
      <c r="AI178" s="1004"/>
      <c r="AJ178" s="1043"/>
      <c r="AK178" s="1044"/>
      <c r="AS178" s="353"/>
      <c r="AW178" s="353"/>
      <c r="AZ178" s="453">
        <v>6500</v>
      </c>
      <c r="BA178" s="362">
        <v>3.9E-2</v>
      </c>
      <c r="BB178" s="680">
        <f>AZ178*BA178</f>
        <v>253.5</v>
      </c>
      <c r="BC178" s="431" t="s">
        <v>576</v>
      </c>
      <c r="BD178" s="430"/>
    </row>
    <row r="179" spans="25:58" x14ac:dyDescent="0.35">
      <c r="Z179" s="343"/>
      <c r="AA179" s="1004"/>
      <c r="AB179" s="1045"/>
      <c r="AC179" s="1045"/>
      <c r="AG179" s="463">
        <f>AG177</f>
        <v>4166.6666666666661</v>
      </c>
      <c r="AH179" s="350">
        <v>5.4000000000000003E-3</v>
      </c>
      <c r="AI179" s="1003"/>
      <c r="AJ179" s="1037" t="s">
        <v>583</v>
      </c>
      <c r="AK179" s="1038"/>
      <c r="AS179" s="353"/>
      <c r="AW179" s="353"/>
      <c r="BA179" s="343"/>
      <c r="BB179" s="343"/>
      <c r="BC179" s="430"/>
      <c r="BD179" s="430"/>
    </row>
    <row r="180" spans="25:58" x14ac:dyDescent="0.35">
      <c r="Y180" s="463">
        <f>Y145</f>
        <v>1500</v>
      </c>
      <c r="Z180" s="350">
        <v>3.3999999999999998E-3</v>
      </c>
      <c r="AA180" s="1003"/>
      <c r="AB180" s="1033" t="s">
        <v>602</v>
      </c>
      <c r="AC180" s="1034"/>
      <c r="AH180" s="343"/>
      <c r="AI180" s="1004"/>
      <c r="AJ180" s="1039"/>
      <c r="AK180" s="1040"/>
      <c r="AS180" s="353"/>
      <c r="AW180" s="353"/>
      <c r="AZ180" s="453">
        <v>14000</v>
      </c>
      <c r="BA180" s="350">
        <v>0</v>
      </c>
      <c r="BB180" s="680">
        <f>AZ180*BA180</f>
        <v>0</v>
      </c>
      <c r="BC180" s="431" t="s">
        <v>573</v>
      </c>
      <c r="BD180" s="432"/>
    </row>
    <row r="181" spans="25:58" x14ac:dyDescent="0.35">
      <c r="Z181" s="343"/>
      <c r="AA181" s="1004"/>
      <c r="AB181" s="1035"/>
      <c r="AC181" s="1036"/>
      <c r="AG181" s="463">
        <f>AG151</f>
        <v>10000</v>
      </c>
      <c r="AH181" s="350">
        <v>1.1999999999999999E-3</v>
      </c>
      <c r="AI181" s="1003"/>
      <c r="AJ181" s="1037" t="s">
        <v>587</v>
      </c>
      <c r="AK181" s="1038"/>
      <c r="AS181" s="353"/>
      <c r="AW181" s="353"/>
      <c r="BA181" s="343"/>
      <c r="BB181" s="343"/>
      <c r="BC181" s="424"/>
      <c r="BD181" s="425"/>
    </row>
    <row r="182" spans="25:58" x14ac:dyDescent="0.35">
      <c r="Y182" s="463">
        <f>Y61</f>
        <v>-300</v>
      </c>
      <c r="Z182" s="350">
        <v>1.5E-3</v>
      </c>
      <c r="AA182" s="1003"/>
      <c r="AB182" s="1033" t="s">
        <v>574</v>
      </c>
      <c r="AC182" s="1034"/>
      <c r="AH182" s="343"/>
      <c r="AI182" s="1004"/>
      <c r="AJ182" s="1039"/>
      <c r="AK182" s="1040"/>
      <c r="AS182" s="353"/>
      <c r="AW182" s="353"/>
      <c r="AZ182" s="453">
        <v>8000</v>
      </c>
      <c r="BA182" s="350">
        <v>1.2831572775745564E-2</v>
      </c>
      <c r="BB182" s="680">
        <f>AZ182*BA182</f>
        <v>102.65258220596452</v>
      </c>
      <c r="BC182" s="422" t="s">
        <v>579</v>
      </c>
      <c r="BD182" s="423"/>
    </row>
    <row r="183" spans="25:58" x14ac:dyDescent="0.35">
      <c r="Z183" s="343"/>
      <c r="AA183" s="1004"/>
      <c r="AB183" s="1035"/>
      <c r="AC183" s="1036"/>
      <c r="AH183" s="388">
        <v>2.8000000000000001E-2</v>
      </c>
      <c r="AI183" s="1003"/>
      <c r="AJ183" s="1033" t="s">
        <v>739</v>
      </c>
      <c r="AK183" s="1034"/>
      <c r="AS183" s="353"/>
      <c r="AW183" s="353"/>
      <c r="BA183" s="343"/>
      <c r="BB183" s="343"/>
      <c r="BC183" s="424"/>
      <c r="BD183" s="425"/>
    </row>
    <row r="184" spans="25:58" x14ac:dyDescent="0.35">
      <c r="Y184" s="463">
        <f>Y23</f>
        <v>2500</v>
      </c>
      <c r="Z184" s="350">
        <v>8.0000000000000004E-4</v>
      </c>
      <c r="AA184" s="1003"/>
      <c r="AB184" s="1033" t="s">
        <v>577</v>
      </c>
      <c r="AC184" s="1034"/>
      <c r="AH184" s="343"/>
      <c r="AI184" s="1004"/>
      <c r="AJ184" s="1035"/>
      <c r="AK184" s="1036"/>
      <c r="AS184" s="353"/>
      <c r="AW184" s="353"/>
      <c r="BA184" s="350">
        <v>0</v>
      </c>
      <c r="BB184" s="680">
        <f>AZ184*BA184</f>
        <v>0</v>
      </c>
      <c r="BC184" s="422" t="s">
        <v>621</v>
      </c>
      <c r="BD184" s="444"/>
    </row>
    <row r="185" spans="25:58" x14ac:dyDescent="0.35">
      <c r="Z185" s="343"/>
      <c r="AA185" s="1004"/>
      <c r="AB185" s="1035"/>
      <c r="AC185" s="1036"/>
      <c r="AS185" s="353"/>
      <c r="AW185" s="353"/>
      <c r="AX185" s="349"/>
      <c r="AY185" s="349"/>
      <c r="BA185" s="343"/>
      <c r="BB185" s="343"/>
      <c r="BC185" s="445"/>
      <c r="BD185" s="446"/>
    </row>
    <row r="186" spans="25:58" x14ac:dyDescent="0.35">
      <c r="Z186" s="350"/>
      <c r="AA186" s="1003"/>
      <c r="AB186" s="1005"/>
      <c r="AC186" s="1006"/>
      <c r="AS186" s="353"/>
      <c r="AW186" s="353"/>
    </row>
    <row r="187" spans="25:58" x14ac:dyDescent="0.35">
      <c r="Z187" s="343"/>
      <c r="AA187" s="1004"/>
      <c r="AB187" s="1007"/>
      <c r="AC187" s="1008"/>
      <c r="AS187" s="353"/>
      <c r="AW187" s="353"/>
      <c r="BA187" s="343"/>
      <c r="BB187" s="343"/>
    </row>
    <row r="188" spans="25:58" x14ac:dyDescent="0.35">
      <c r="AS188" s="353"/>
      <c r="AW188" s="353"/>
      <c r="BA188" s="343"/>
      <c r="BB188" s="579" t="s">
        <v>712</v>
      </c>
      <c r="BC188" s="517">
        <f>'Hảo_R&amp;D (Vảy sạch)'!BR48</f>
        <v>0</v>
      </c>
    </row>
    <row r="189" spans="25:58" ht="16" x14ac:dyDescent="0.35">
      <c r="AS189" s="353"/>
      <c r="AW189" s="353"/>
      <c r="AZ189" s="466">
        <f>($AH$5*0.855+$AH$41*0.095+$AH$5*0.05)/BA189</f>
        <v>23280.137714799563</v>
      </c>
      <c r="BA189" s="577">
        <f>SUM(BA190:BA193)</f>
        <v>0.9</v>
      </c>
      <c r="BB189" s="343"/>
      <c r="BD189" s="438">
        <f>(0.855*AK50+0.095*AK168+0.05*AK50)*BA189</f>
        <v>-4.2614527795486424E-3</v>
      </c>
      <c r="BE189" s="468">
        <f>($N$5/BD189)*0.855+($N$123/BD189)*0.095+($N$5/BD189)*0.05</f>
        <v>-3992522.2911957167</v>
      </c>
      <c r="BF189" s="679">
        <f>BE189-AZ189</f>
        <v>-4015802.4289105162</v>
      </c>
    </row>
    <row r="190" spans="25:58" ht="16" x14ac:dyDescent="0.35">
      <c r="AS190" s="353"/>
      <c r="AW190" s="353"/>
      <c r="AZ190" s="349"/>
      <c r="BA190" s="576">
        <v>0.89700000000000002</v>
      </c>
      <c r="BB190" s="580">
        <f>BB55</f>
        <v>0</v>
      </c>
      <c r="BC190" s="426" t="s">
        <v>597</v>
      </c>
      <c r="BD190" s="423"/>
      <c r="BE190" s="340" t="s">
        <v>640</v>
      </c>
    </row>
    <row r="191" spans="25:58" x14ac:dyDescent="0.35">
      <c r="AS191" s="353"/>
      <c r="AW191" s="353"/>
      <c r="AZ191" s="349"/>
      <c r="BA191" s="356"/>
      <c r="BB191" s="356"/>
      <c r="BC191" s="424"/>
      <c r="BD191" s="425"/>
    </row>
    <row r="192" spans="25:58" x14ac:dyDescent="0.35">
      <c r="AS192" s="353"/>
      <c r="AW192" s="352"/>
      <c r="AX192" s="1015" t="s">
        <v>821</v>
      </c>
      <c r="AY192" s="1016"/>
      <c r="AZ192" s="346"/>
      <c r="BA192" s="348">
        <v>3.0000000000000001E-3</v>
      </c>
      <c r="BB192" s="451">
        <f>BB57</f>
        <v>61.78228884019908</v>
      </c>
      <c r="BC192" s="426" t="s">
        <v>590</v>
      </c>
      <c r="BD192" s="423"/>
      <c r="BE192" s="340" t="s">
        <v>641</v>
      </c>
    </row>
    <row r="193" spans="45:57" x14ac:dyDescent="0.35">
      <c r="AS193" s="353"/>
      <c r="AW193" s="349"/>
      <c r="AX193" s="1017"/>
      <c r="AY193" s="1018"/>
      <c r="BA193" s="361"/>
      <c r="BB193" s="361"/>
      <c r="BC193" s="431"/>
      <c r="BD193" s="432"/>
    </row>
    <row r="194" spans="45:57" x14ac:dyDescent="0.35">
      <c r="AS194" s="353"/>
      <c r="BA194" s="357">
        <v>6.8000000000000005E-2</v>
      </c>
      <c r="BB194" s="357"/>
      <c r="BC194" s="422" t="s">
        <v>608</v>
      </c>
      <c r="BD194" s="423"/>
      <c r="BE194" s="340" t="s">
        <v>642</v>
      </c>
    </row>
    <row r="195" spans="45:57" x14ac:dyDescent="0.35">
      <c r="AS195" s="353"/>
      <c r="BA195" s="361"/>
      <c r="BB195" s="361"/>
      <c r="BC195" s="424"/>
      <c r="BD195" s="425"/>
    </row>
    <row r="196" spans="45:57" x14ac:dyDescent="0.35">
      <c r="AS196" s="353"/>
      <c r="BA196" s="357">
        <v>0</v>
      </c>
      <c r="BB196" s="357"/>
      <c r="BC196" s="422" t="s">
        <v>600</v>
      </c>
      <c r="BD196" s="423"/>
      <c r="BE196" s="340" t="s">
        <v>643</v>
      </c>
    </row>
    <row r="197" spans="45:57" x14ac:dyDescent="0.35">
      <c r="AS197" s="353"/>
      <c r="BA197" s="361"/>
      <c r="BB197" s="361"/>
      <c r="BC197" s="424"/>
      <c r="BD197" s="425"/>
    </row>
    <row r="198" spans="45:57" x14ac:dyDescent="0.35">
      <c r="AS198" s="353"/>
      <c r="BA198" s="357"/>
      <c r="BB198" s="350"/>
      <c r="BC198" s="436"/>
      <c r="BD198" s="436"/>
    </row>
    <row r="199" spans="45:57" x14ac:dyDescent="0.35">
      <c r="AS199" s="353"/>
      <c r="BA199" s="361"/>
      <c r="BB199" s="681">
        <f>SUM(BB200:BB204)</f>
        <v>114.5</v>
      </c>
      <c r="BC199" s="436"/>
      <c r="BD199" s="436"/>
    </row>
    <row r="200" spans="45:57" x14ac:dyDescent="0.35">
      <c r="AS200" s="353"/>
      <c r="AZ200" s="453">
        <v>6500</v>
      </c>
      <c r="BA200" s="362">
        <v>8.9999999999999993E-3</v>
      </c>
      <c r="BB200" s="680">
        <f>AZ200*BA200</f>
        <v>58.499999999999993</v>
      </c>
      <c r="BC200" s="431" t="s">
        <v>576</v>
      </c>
      <c r="BD200" s="430"/>
    </row>
    <row r="201" spans="45:57" x14ac:dyDescent="0.35">
      <c r="AS201" s="353"/>
      <c r="BA201" s="343"/>
      <c r="BB201" s="343"/>
      <c r="BC201" s="430"/>
      <c r="BD201" s="430"/>
    </row>
    <row r="202" spans="45:57" x14ac:dyDescent="0.35">
      <c r="AS202" s="353"/>
      <c r="AZ202" s="453">
        <v>14000</v>
      </c>
      <c r="BA202" s="350">
        <v>0</v>
      </c>
      <c r="BB202" s="680">
        <f>AZ202*BA202</f>
        <v>0</v>
      </c>
      <c r="BC202" s="431" t="s">
        <v>573</v>
      </c>
      <c r="BD202" s="432"/>
    </row>
    <row r="203" spans="45:57" x14ac:dyDescent="0.35">
      <c r="AS203" s="353"/>
      <c r="BA203" s="343"/>
      <c r="BB203" s="343"/>
      <c r="BC203" s="424"/>
      <c r="BD203" s="425"/>
    </row>
    <row r="204" spans="45:57" x14ac:dyDescent="0.35">
      <c r="AS204" s="353"/>
      <c r="AZ204" s="453">
        <v>8000</v>
      </c>
      <c r="BA204" s="350">
        <v>7.0000000000000001E-3</v>
      </c>
      <c r="BB204" s="680">
        <f>AZ204*BA204</f>
        <v>56</v>
      </c>
      <c r="BC204" s="422" t="s">
        <v>579</v>
      </c>
      <c r="BD204" s="423"/>
    </row>
    <row r="205" spans="45:57" x14ac:dyDescent="0.35">
      <c r="AS205" s="353"/>
      <c r="BA205" s="343"/>
      <c r="BB205" s="343"/>
      <c r="BC205" s="424"/>
      <c r="BD205" s="425"/>
    </row>
    <row r="206" spans="45:57" x14ac:dyDescent="0.35">
      <c r="AS206" s="353"/>
      <c r="BA206" s="350">
        <v>0</v>
      </c>
      <c r="BB206" s="680">
        <f>AZ206*BA206</f>
        <v>0</v>
      </c>
      <c r="BC206" s="422" t="s">
        <v>621</v>
      </c>
      <c r="BD206" s="444"/>
    </row>
    <row r="207" spans="45:57" x14ac:dyDescent="0.35">
      <c r="AS207" s="353"/>
      <c r="AW207" s="349"/>
      <c r="AX207" s="349"/>
      <c r="AY207" s="349"/>
      <c r="BA207" s="343"/>
      <c r="BB207" s="343"/>
      <c r="BC207" s="445"/>
      <c r="BD207" s="446"/>
    </row>
    <row r="208" spans="45:57" x14ac:dyDescent="0.35">
      <c r="AS208" s="353"/>
      <c r="BA208" s="343"/>
      <c r="BB208" s="343"/>
    </row>
    <row r="209" spans="45:59" x14ac:dyDescent="0.35">
      <c r="AS209" s="353"/>
      <c r="BA209" s="343"/>
      <c r="BB209" s="579" t="s">
        <v>712</v>
      </c>
      <c r="BC209" s="517">
        <f>'Hảo_R&amp;D (Vảy sạch)'!BR5</f>
        <v>6.6666666666666666E-2</v>
      </c>
    </row>
    <row r="210" spans="45:59" ht="16" x14ac:dyDescent="0.35">
      <c r="AS210" s="353"/>
      <c r="AZ210" s="466">
        <f>($AH$5*0.3+$AH$41*0.15+$AH$123*0.55+$AH$5*0)/BA210</f>
        <v>21171.357103758306</v>
      </c>
      <c r="BA210" s="577">
        <f>SUM(BA211)</f>
        <v>0.95058803508799916</v>
      </c>
      <c r="BB210" s="343"/>
      <c r="BD210" s="438">
        <f>(0.3*AK6+0.15*AK42+0.55*AK124+0*AK6)*BA210</f>
        <v>0.75905330750481881</v>
      </c>
      <c r="BE210" s="468">
        <f>($N$5/BD210)*0.3+($N$41/BD210)*0.15+($N$123/BD210)*0.55+($N$5/BD210)*0</f>
        <v>21155.750285514103</v>
      </c>
      <c r="BF210" s="463">
        <f>BE210-AZ210</f>
        <v>-15.606818244203168</v>
      </c>
      <c r="BG210" s="463"/>
    </row>
    <row r="211" spans="45:59" ht="16" x14ac:dyDescent="0.35">
      <c r="AS211" s="353"/>
      <c r="AZ211" s="349"/>
      <c r="BA211" s="576">
        <v>0.95058803508799916</v>
      </c>
      <c r="BB211" s="580">
        <f>BB13</f>
        <v>1.036697247706422</v>
      </c>
      <c r="BC211" s="426" t="s">
        <v>590</v>
      </c>
      <c r="BD211" s="423"/>
      <c r="BE211" s="340" t="s">
        <v>640</v>
      </c>
    </row>
    <row r="212" spans="45:59" x14ac:dyDescent="0.35">
      <c r="AS212" s="353"/>
      <c r="AZ212" s="349"/>
      <c r="BA212" s="356"/>
      <c r="BB212" s="356"/>
      <c r="BC212" s="431"/>
      <c r="BD212" s="432"/>
    </row>
    <row r="213" spans="45:59" x14ac:dyDescent="0.35">
      <c r="AS213" s="358"/>
      <c r="AT213" s="1029" t="s">
        <v>625</v>
      </c>
      <c r="AU213" s="1030"/>
      <c r="AV213" s="359"/>
      <c r="AW213" s="359"/>
      <c r="AX213" s="1015" t="s">
        <v>657</v>
      </c>
      <c r="AY213" s="1016"/>
      <c r="AZ213" s="346"/>
      <c r="BA213" s="348">
        <v>1.5555076937803624E-2</v>
      </c>
      <c r="BB213" s="350"/>
      <c r="BC213" s="426" t="s">
        <v>626</v>
      </c>
      <c r="BD213" s="423"/>
      <c r="BE213" s="340" t="s">
        <v>642</v>
      </c>
    </row>
    <row r="214" spans="45:59" x14ac:dyDescent="0.35">
      <c r="AS214" s="353"/>
      <c r="AT214" s="1031"/>
      <c r="AU214" s="1032"/>
      <c r="AV214" s="349"/>
      <c r="AW214" s="369"/>
      <c r="AX214" s="1017"/>
      <c r="AY214" s="1018"/>
      <c r="BA214" s="361"/>
      <c r="BB214" s="361"/>
      <c r="BC214" s="424"/>
      <c r="BD214" s="425"/>
    </row>
    <row r="215" spans="45:59" x14ac:dyDescent="0.35">
      <c r="AS215" s="353"/>
      <c r="AW215" s="353"/>
      <c r="BA215" s="357"/>
      <c r="BB215" s="681">
        <f>SUM(BB216:BB220)</f>
        <v>127.5808797526078</v>
      </c>
      <c r="BC215" s="368"/>
      <c r="BD215" s="368"/>
    </row>
    <row r="216" spans="45:59" x14ac:dyDescent="0.35">
      <c r="AS216" s="353"/>
      <c r="AW216" s="353"/>
      <c r="AZ216" s="453">
        <v>6500</v>
      </c>
      <c r="BA216" s="362">
        <v>1.2428107625178484E-2</v>
      </c>
      <c r="BB216" s="680">
        <f>AZ216*BA216</f>
        <v>80.782699563660145</v>
      </c>
      <c r="BC216" s="431" t="s">
        <v>576</v>
      </c>
      <c r="BD216" s="430"/>
    </row>
    <row r="217" spans="45:59" x14ac:dyDescent="0.35">
      <c r="AS217" s="353"/>
      <c r="AW217" s="353"/>
      <c r="BA217" s="343"/>
      <c r="BB217" s="343"/>
      <c r="BC217" s="430"/>
      <c r="BD217" s="430"/>
    </row>
    <row r="218" spans="45:59" x14ac:dyDescent="0.35">
      <c r="AS218" s="353"/>
      <c r="AW218" s="353"/>
      <c r="AZ218" s="453">
        <v>14000</v>
      </c>
      <c r="BA218" s="350">
        <v>0</v>
      </c>
      <c r="BB218" s="680">
        <f>AZ218*BA218</f>
        <v>0</v>
      </c>
      <c r="BC218" s="431" t="s">
        <v>573</v>
      </c>
      <c r="BD218" s="432"/>
    </row>
    <row r="219" spans="45:59" x14ac:dyDescent="0.35">
      <c r="AS219" s="353"/>
      <c r="AW219" s="353"/>
      <c r="BA219" s="343"/>
      <c r="BB219" s="343"/>
      <c r="BC219" s="424"/>
      <c r="BD219" s="425"/>
    </row>
    <row r="220" spans="45:59" x14ac:dyDescent="0.35">
      <c r="AS220" s="353"/>
      <c r="AW220" s="353"/>
      <c r="AZ220" s="453">
        <v>8000</v>
      </c>
      <c r="BA220" s="350">
        <v>5.8497725236184564E-3</v>
      </c>
      <c r="BB220" s="680">
        <f>AZ220*BA220</f>
        <v>46.798180188947654</v>
      </c>
      <c r="BC220" s="422" t="s">
        <v>579</v>
      </c>
      <c r="BD220" s="423"/>
    </row>
    <row r="221" spans="45:59" x14ac:dyDescent="0.35">
      <c r="AS221" s="353"/>
      <c r="AW221" s="353"/>
      <c r="BA221" s="343"/>
      <c r="BB221" s="343"/>
      <c r="BC221" s="424"/>
      <c r="BD221" s="425"/>
    </row>
    <row r="222" spans="45:59" x14ac:dyDescent="0.35">
      <c r="AS222" s="353"/>
      <c r="AW222" s="353"/>
    </row>
    <row r="223" spans="45:59" x14ac:dyDescent="0.35">
      <c r="AS223" s="353"/>
      <c r="AW223" s="353"/>
      <c r="BA223" s="343"/>
      <c r="BB223" s="343"/>
    </row>
    <row r="224" spans="45:59" x14ac:dyDescent="0.35">
      <c r="AS224" s="353"/>
      <c r="AW224" s="353"/>
      <c r="BA224" s="343"/>
      <c r="BB224" s="579" t="s">
        <v>712</v>
      </c>
      <c r="BC224" s="517">
        <f>'Hảo_R&amp;D (Vảy sạch)'!BR5</f>
        <v>6.6666666666666666E-2</v>
      </c>
    </row>
    <row r="225" spans="45:59" ht="16" x14ac:dyDescent="0.35">
      <c r="AS225" s="353"/>
      <c r="AW225" s="353"/>
      <c r="AZ225" s="466">
        <f>($AH$5*0+$AH$41*0.3+$AH$123*0.7+$AH$5*0)/BA225</f>
        <v>22759.484587660489</v>
      </c>
      <c r="BA225" s="577">
        <f>BA226</f>
        <v>0.85648854961832066</v>
      </c>
      <c r="BB225" s="343"/>
      <c r="BD225" s="438">
        <f>(0.3*AK42+0.7*AK124)*BA225</f>
        <v>0.68603513010398487</v>
      </c>
      <c r="BE225" s="468">
        <f>($N$5/BD225)*0+($N$41/BD225)*0.3+($N$123/BD225)*0.7+($N$5/BD225)*0</f>
        <v>22716.751404774055</v>
      </c>
      <c r="BF225" s="463">
        <f>BE225-AZ225</f>
        <v>-42.733182886433497</v>
      </c>
      <c r="BG225" s="463"/>
    </row>
    <row r="226" spans="45:59" ht="16" x14ac:dyDescent="0.35">
      <c r="AS226" s="353"/>
      <c r="AW226" s="353"/>
      <c r="AZ226" s="349"/>
      <c r="BA226" s="576">
        <v>0.85648854961832066</v>
      </c>
      <c r="BB226" s="580">
        <f>BB13</f>
        <v>1.036697247706422</v>
      </c>
      <c r="BC226" s="426" t="s">
        <v>590</v>
      </c>
      <c r="BD226" s="423"/>
    </row>
    <row r="227" spans="45:59" x14ac:dyDescent="0.35">
      <c r="AS227" s="353"/>
      <c r="AW227" s="353"/>
      <c r="AZ227" s="349"/>
      <c r="BA227" s="356"/>
      <c r="BB227" s="356"/>
      <c r="BC227" s="431"/>
      <c r="BD227" s="432"/>
    </row>
    <row r="228" spans="45:59" x14ac:dyDescent="0.35">
      <c r="AS228" s="353"/>
      <c r="AW228" s="352"/>
      <c r="AX228" s="1015" t="s">
        <v>627</v>
      </c>
      <c r="AY228" s="1016"/>
      <c r="AZ228" s="346"/>
      <c r="BA228" s="348">
        <v>0.10076335877862595</v>
      </c>
      <c r="BB228" s="350"/>
      <c r="BC228" s="426" t="s">
        <v>626</v>
      </c>
      <c r="BD228" s="423"/>
    </row>
    <row r="229" spans="45:59" x14ac:dyDescent="0.35">
      <c r="AS229" s="353"/>
      <c r="AW229" s="664"/>
      <c r="AX229" s="1017"/>
      <c r="AY229" s="1018"/>
      <c r="BA229" s="361"/>
      <c r="BB229" s="361"/>
      <c r="BC229" s="424"/>
      <c r="BD229" s="425"/>
    </row>
    <row r="230" spans="45:59" x14ac:dyDescent="0.35">
      <c r="AS230" s="353"/>
      <c r="AW230" s="353"/>
      <c r="AX230" s="414" t="s">
        <v>644</v>
      </c>
      <c r="BA230" s="357"/>
      <c r="BB230" s="350"/>
      <c r="BC230" s="368"/>
      <c r="BD230" s="368"/>
    </row>
    <row r="231" spans="45:59" x14ac:dyDescent="0.35">
      <c r="AS231" s="353"/>
      <c r="AW231" s="353"/>
      <c r="BA231" s="361"/>
      <c r="BB231" s="681">
        <f>SUM(BB232:BB236)</f>
        <v>208.07633587786256</v>
      </c>
    </row>
    <row r="232" spans="45:59" x14ac:dyDescent="0.35">
      <c r="AS232" s="353"/>
      <c r="AW232" s="353"/>
      <c r="AZ232" s="453">
        <v>6500</v>
      </c>
      <c r="BA232" s="362">
        <v>6.8702290076335876E-3</v>
      </c>
      <c r="BB232" s="680">
        <f>AZ232*BA232</f>
        <v>44.656488549618317</v>
      </c>
      <c r="BC232" s="431" t="s">
        <v>576</v>
      </c>
      <c r="BD232" s="430"/>
    </row>
    <row r="233" spans="45:59" x14ac:dyDescent="0.35">
      <c r="AS233" s="353"/>
      <c r="AW233" s="353"/>
      <c r="BA233" s="343"/>
      <c r="BB233" s="343"/>
      <c r="BC233" s="430"/>
      <c r="BD233" s="430"/>
    </row>
    <row r="234" spans="45:59" x14ac:dyDescent="0.35">
      <c r="AS234" s="353"/>
      <c r="AW234" s="353"/>
      <c r="AZ234" s="453">
        <v>14000</v>
      </c>
      <c r="BA234" s="350">
        <v>0</v>
      </c>
      <c r="BB234" s="680">
        <f>AZ234*BA234</f>
        <v>0</v>
      </c>
      <c r="BC234" s="431" t="s">
        <v>573</v>
      </c>
      <c r="BD234" s="432"/>
    </row>
    <row r="235" spans="45:59" x14ac:dyDescent="0.35">
      <c r="AS235" s="353"/>
      <c r="AW235" s="353"/>
      <c r="BA235" s="343"/>
      <c r="BB235" s="343"/>
      <c r="BC235" s="424"/>
      <c r="BD235" s="425"/>
    </row>
    <row r="236" spans="45:59" x14ac:dyDescent="0.35">
      <c r="AS236" s="353"/>
      <c r="AW236" s="353"/>
      <c r="AZ236" s="453">
        <v>8000</v>
      </c>
      <c r="BA236" s="350">
        <v>2.0427480916030534E-2</v>
      </c>
      <c r="BB236" s="680">
        <f>AZ236*BA236</f>
        <v>163.41984732824426</v>
      </c>
      <c r="BC236" s="422" t="s">
        <v>579</v>
      </c>
      <c r="BD236" s="423"/>
    </row>
    <row r="237" spans="45:59" x14ac:dyDescent="0.35">
      <c r="AS237" s="353"/>
      <c r="AW237" s="353"/>
      <c r="BA237" s="343"/>
      <c r="BB237" s="343"/>
      <c r="BC237" s="424"/>
      <c r="BD237" s="425"/>
    </row>
    <row r="238" spans="45:59" x14ac:dyDescent="0.35">
      <c r="AS238" s="353"/>
      <c r="AW238" s="353"/>
      <c r="BC238" s="340"/>
      <c r="BD238" s="340"/>
    </row>
    <row r="239" spans="45:59" x14ac:dyDescent="0.35">
      <c r="AS239" s="353"/>
      <c r="AW239" s="353"/>
    </row>
    <row r="240" spans="45:59" x14ac:dyDescent="0.35">
      <c r="AS240" s="353"/>
      <c r="AW240" s="353"/>
      <c r="BA240" s="343"/>
      <c r="BB240" s="579" t="s">
        <v>712</v>
      </c>
      <c r="BC240" s="517">
        <f>'Hảo_R&amp;D (Vảy sạch)'!BR5</f>
        <v>6.6666666666666666E-2</v>
      </c>
    </row>
    <row r="241" spans="45:58" ht="16" x14ac:dyDescent="0.35">
      <c r="AS241" s="353"/>
      <c r="AW241" s="353"/>
      <c r="AZ241" s="466">
        <f>($AH$5*1)/BA241</f>
        <v>22342.139105772814</v>
      </c>
      <c r="BA241" s="577">
        <f>SUM(BA242)</f>
        <v>0.95058803508799916</v>
      </c>
      <c r="BB241" s="343"/>
      <c r="BD241" s="438">
        <f>AK6*BA241</f>
        <v>0.76823434388983736</v>
      </c>
      <c r="BE241" s="468">
        <f>($N$5/BD241)</f>
        <v>22342.139105772818</v>
      </c>
      <c r="BF241" s="463">
        <f>BE241-AZ241</f>
        <v>0</v>
      </c>
    </row>
    <row r="242" spans="45:58" ht="16" x14ac:dyDescent="0.35">
      <c r="AS242" s="353"/>
      <c r="AW242" s="353"/>
      <c r="AZ242" s="349"/>
      <c r="BA242" s="576">
        <v>0.95058803508799916</v>
      </c>
      <c r="BB242" s="682">
        <f>BB56</f>
        <v>227.79357778196965</v>
      </c>
      <c r="BC242" s="426" t="s">
        <v>685</v>
      </c>
      <c r="BD242" s="423"/>
      <c r="BE242" s="340" t="s">
        <v>640</v>
      </c>
    </row>
    <row r="243" spans="45:58" x14ac:dyDescent="0.35">
      <c r="AS243" s="353"/>
      <c r="AW243" s="353"/>
      <c r="BA243" s="356"/>
      <c r="BB243" s="356"/>
      <c r="BC243" s="431"/>
      <c r="BD243" s="432"/>
    </row>
    <row r="244" spans="45:58" x14ac:dyDescent="0.35">
      <c r="AS244" s="353"/>
      <c r="AT244" s="1029" t="s">
        <v>625</v>
      </c>
      <c r="AU244" s="1030"/>
      <c r="AW244" s="353"/>
      <c r="AX244" s="1019" t="s">
        <v>563</v>
      </c>
      <c r="AY244" s="1020"/>
      <c r="AZ244" s="358"/>
      <c r="BA244" s="348">
        <v>1.5555076937803624E-2</v>
      </c>
      <c r="BB244" s="350"/>
      <c r="BC244" s="426" t="s">
        <v>626</v>
      </c>
      <c r="BD244" s="423"/>
      <c r="BE244" s="340" t="s">
        <v>642</v>
      </c>
    </row>
    <row r="245" spans="45:58" x14ac:dyDescent="0.35">
      <c r="AS245" s="353"/>
      <c r="AT245" s="1031"/>
      <c r="AU245" s="1032"/>
      <c r="AW245" s="353"/>
      <c r="AX245" s="1021"/>
      <c r="AY245" s="1022"/>
      <c r="BA245" s="361"/>
      <c r="BB245" s="361"/>
      <c r="BC245" s="424"/>
      <c r="BD245" s="425"/>
    </row>
    <row r="246" spans="45:58" x14ac:dyDescent="0.35">
      <c r="AS246" s="353"/>
      <c r="AT246" s="340" t="s">
        <v>684</v>
      </c>
      <c r="AW246" s="353"/>
      <c r="BA246" s="357"/>
      <c r="BB246" s="681">
        <f>SUM(BB247:BB251)</f>
        <v>127.5808797526078</v>
      </c>
      <c r="BC246" s="368"/>
      <c r="BD246" s="368"/>
    </row>
    <row r="247" spans="45:58" x14ac:dyDescent="0.35">
      <c r="AS247" s="353"/>
      <c r="AW247" s="353"/>
      <c r="AZ247" s="453">
        <v>6500</v>
      </c>
      <c r="BA247" s="362">
        <v>1.2428107625178484E-2</v>
      </c>
      <c r="BB247" s="680">
        <f>AZ247*BA247</f>
        <v>80.782699563660145</v>
      </c>
      <c r="BC247" s="431" t="s">
        <v>576</v>
      </c>
      <c r="BD247" s="430"/>
    </row>
    <row r="248" spans="45:58" x14ac:dyDescent="0.35">
      <c r="AS248" s="353"/>
      <c r="AW248" s="353"/>
      <c r="BA248" s="343"/>
      <c r="BB248" s="343"/>
      <c r="BC248" s="430"/>
      <c r="BD248" s="430"/>
    </row>
    <row r="249" spans="45:58" x14ac:dyDescent="0.35">
      <c r="AS249" s="353"/>
      <c r="AW249" s="353"/>
      <c r="AZ249" s="453">
        <v>14000</v>
      </c>
      <c r="BA249" s="350">
        <v>0</v>
      </c>
      <c r="BB249" s="680">
        <f>AZ249*BA249</f>
        <v>0</v>
      </c>
      <c r="BC249" s="431" t="s">
        <v>573</v>
      </c>
      <c r="BD249" s="432"/>
    </row>
    <row r="250" spans="45:58" x14ac:dyDescent="0.35">
      <c r="AS250" s="353"/>
      <c r="AW250" s="353"/>
      <c r="BA250" s="343"/>
      <c r="BB250" s="343"/>
      <c r="BC250" s="424"/>
      <c r="BD250" s="425"/>
    </row>
    <row r="251" spans="45:58" x14ac:dyDescent="0.35">
      <c r="AS251" s="353"/>
      <c r="AW251" s="353"/>
      <c r="AZ251" s="453">
        <v>8000</v>
      </c>
      <c r="BA251" s="350">
        <v>5.8497725236184564E-3</v>
      </c>
      <c r="BB251" s="680">
        <f>AZ251*BA251</f>
        <v>46.798180188947654</v>
      </c>
      <c r="BC251" s="422" t="s">
        <v>579</v>
      </c>
      <c r="BD251" s="423"/>
    </row>
    <row r="252" spans="45:58" x14ac:dyDescent="0.35">
      <c r="AS252" s="677"/>
      <c r="AW252" s="353"/>
      <c r="BA252" s="343"/>
      <c r="BB252" s="343"/>
      <c r="BC252" s="424"/>
      <c r="BD252" s="425"/>
    </row>
    <row r="253" spans="45:58" x14ac:dyDescent="0.35">
      <c r="AS253" s="677"/>
      <c r="AW253" s="353"/>
    </row>
    <row r="254" spans="45:58" x14ac:dyDescent="0.35">
      <c r="AS254" s="677"/>
      <c r="AW254" s="353"/>
    </row>
    <row r="255" spans="45:58" x14ac:dyDescent="0.35">
      <c r="AS255" s="677"/>
      <c r="AW255" s="353"/>
    </row>
    <row r="256" spans="45:58" x14ac:dyDescent="0.35">
      <c r="AS256" s="677"/>
      <c r="AW256" s="353"/>
      <c r="BA256" s="343"/>
      <c r="BB256" s="579" t="s">
        <v>712</v>
      </c>
      <c r="BC256" s="517">
        <f>'Hảo_R&amp;D (Vảy sạch)'!BR42</f>
        <v>0</v>
      </c>
    </row>
    <row r="257" spans="45:58" ht="16" x14ac:dyDescent="0.35">
      <c r="AS257" s="677"/>
      <c r="AW257" s="353"/>
      <c r="AZ257" s="466">
        <f>($AH$5*0+$AH$123*0.9+$AH$94*0.1+$AH$5*0)/BA257</f>
        <v>22533.020377501292</v>
      </c>
      <c r="BA257" s="577">
        <f>BA258</f>
        <v>0.876</v>
      </c>
      <c r="BB257" s="343"/>
      <c r="BD257" s="438">
        <f>(0.3*AK79+0.7*AK161)*BA257</f>
        <v>0</v>
      </c>
      <c r="BE257" s="468" t="e">
        <f>($N$5/BD257)*0+($N$41/BD257)*0.3+($N$123/BD257)*0.7+($N$5/BD257)*0</f>
        <v>#DIV/0!</v>
      </c>
      <c r="BF257" s="463" t="e">
        <f>BE257-AZ257</f>
        <v>#DIV/0!</v>
      </c>
    </row>
    <row r="258" spans="45:58" ht="16" x14ac:dyDescent="0.35">
      <c r="AS258" s="677"/>
      <c r="AW258" s="353"/>
      <c r="AZ258" s="349"/>
      <c r="BA258" s="576">
        <v>0.876</v>
      </c>
      <c r="BB258" s="580">
        <f>BB50</f>
        <v>0</v>
      </c>
      <c r="BC258" s="426" t="s">
        <v>590</v>
      </c>
      <c r="BD258" s="423"/>
    </row>
    <row r="259" spans="45:58" x14ac:dyDescent="0.35">
      <c r="AS259" s="677"/>
      <c r="AW259" s="353"/>
      <c r="AZ259" s="349"/>
      <c r="BA259" s="356"/>
      <c r="BB259" s="356"/>
      <c r="BC259" s="431"/>
      <c r="BD259" s="432"/>
    </row>
    <row r="260" spans="45:58" x14ac:dyDescent="0.35">
      <c r="AS260" s="677"/>
      <c r="AW260" s="352"/>
      <c r="AX260" s="1015" t="s">
        <v>824</v>
      </c>
      <c r="AY260" s="1016"/>
      <c r="AZ260" s="346"/>
      <c r="BA260" s="348">
        <v>8.1000000000000003E-2</v>
      </c>
      <c r="BB260" s="350"/>
      <c r="BC260" s="426" t="s">
        <v>626</v>
      </c>
      <c r="BD260" s="423"/>
    </row>
    <row r="261" spans="45:58" x14ac:dyDescent="0.35">
      <c r="AS261" s="677"/>
      <c r="AW261" s="349"/>
      <c r="AX261" s="1017"/>
      <c r="AY261" s="1018"/>
      <c r="BA261" s="361"/>
      <c r="BB261" s="361"/>
      <c r="BC261" s="424"/>
      <c r="BD261" s="425"/>
    </row>
    <row r="262" spans="45:58" x14ac:dyDescent="0.35">
      <c r="AS262" s="677"/>
      <c r="BA262" s="357"/>
      <c r="BB262" s="350"/>
      <c r="BC262" s="368"/>
      <c r="BD262" s="368"/>
    </row>
    <row r="263" spans="45:58" x14ac:dyDescent="0.35">
      <c r="AS263" s="677"/>
      <c r="BA263" s="361"/>
      <c r="BB263" s="681">
        <f>SUM(BB264:BB268)</f>
        <v>167</v>
      </c>
      <c r="BC263" s="368"/>
      <c r="BD263" s="368"/>
    </row>
    <row r="264" spans="45:58" x14ac:dyDescent="0.35">
      <c r="AS264" s="677"/>
      <c r="AZ264" s="453">
        <v>6500</v>
      </c>
      <c r="BA264" s="362">
        <v>6.0000000000000001E-3</v>
      </c>
      <c r="BB264" s="680">
        <f>AZ264*BA264</f>
        <v>39</v>
      </c>
      <c r="BC264" s="431" t="s">
        <v>576</v>
      </c>
      <c r="BD264" s="430"/>
    </row>
    <row r="265" spans="45:58" x14ac:dyDescent="0.35">
      <c r="AS265" s="677"/>
      <c r="BA265" s="343"/>
      <c r="BB265" s="343"/>
      <c r="BC265" s="430"/>
      <c r="BD265" s="430"/>
    </row>
    <row r="266" spans="45:58" x14ac:dyDescent="0.35">
      <c r="AS266" s="677"/>
      <c r="AZ266" s="453">
        <v>14000</v>
      </c>
      <c r="BA266" s="350">
        <v>0</v>
      </c>
      <c r="BB266" s="680">
        <f>AZ266*BA266</f>
        <v>0</v>
      </c>
      <c r="BC266" s="431" t="s">
        <v>573</v>
      </c>
      <c r="BD266" s="432"/>
    </row>
    <row r="267" spans="45:58" x14ac:dyDescent="0.35">
      <c r="AS267" s="677"/>
      <c r="BA267" s="343"/>
      <c r="BB267" s="343"/>
      <c r="BC267" s="424"/>
      <c r="BD267" s="425"/>
    </row>
    <row r="268" spans="45:58" x14ac:dyDescent="0.35">
      <c r="AS268" s="677"/>
      <c r="AZ268" s="453">
        <v>8000</v>
      </c>
      <c r="BA268" s="350">
        <v>1.6E-2</v>
      </c>
      <c r="BB268" s="680">
        <f>AZ268*BA268</f>
        <v>128</v>
      </c>
      <c r="BC268" s="422" t="s">
        <v>579</v>
      </c>
      <c r="BD268" s="423"/>
    </row>
    <row r="269" spans="45:58" x14ac:dyDescent="0.35">
      <c r="AS269" s="677"/>
      <c r="BA269" s="343"/>
      <c r="BB269" s="343"/>
      <c r="BC269" s="424"/>
      <c r="BD269" s="425"/>
    </row>
    <row r="270" spans="45:58" x14ac:dyDescent="0.35">
      <c r="AS270" s="677"/>
      <c r="BA270" s="350">
        <v>5.0000000000000001E-3</v>
      </c>
      <c r="BB270" s="350"/>
      <c r="BC270" s="422" t="s">
        <v>825</v>
      </c>
      <c r="BD270" s="444"/>
    </row>
    <row r="271" spans="45:58" x14ac:dyDescent="0.35">
      <c r="AS271" s="677"/>
      <c r="BA271" s="343"/>
      <c r="BB271" s="343"/>
      <c r="BC271" s="445"/>
      <c r="BD271" s="446"/>
    </row>
    <row r="272" spans="45:58" x14ac:dyDescent="0.35">
      <c r="AS272" s="677"/>
    </row>
    <row r="273" spans="45:58" x14ac:dyDescent="0.35">
      <c r="AS273" s="677"/>
      <c r="BA273" s="343"/>
      <c r="BB273" s="579" t="s">
        <v>712</v>
      </c>
      <c r="BC273" s="517">
        <f>'Hảo_R&amp;D (Vảy sạch)'!BR81</f>
        <v>0</v>
      </c>
    </row>
    <row r="274" spans="45:58" ht="16" x14ac:dyDescent="0.35">
      <c r="AS274" s="677"/>
      <c r="AZ274" s="466">
        <f>($AH$5*0.3+$AH$41*0.15+$AH$123*0.55+$AH$5*0)/BA274</f>
        <v>22018.860776157508</v>
      </c>
      <c r="BA274" s="577">
        <f>SUM(BA275:BA277)</f>
        <v>0.91399999999999992</v>
      </c>
      <c r="BB274" s="343"/>
      <c r="BD274" s="438" t="e">
        <f>(0.3*AK82+0.15*#REF!+0.55*AK200+0*AK82)*BA274</f>
        <v>#REF!</v>
      </c>
      <c r="BE274" s="468" t="e">
        <f>($N$5/BD274)*0.3+($N$41/BD274)*0.15+($N$123/BD274)*0.55+($N$5/BD274)*0</f>
        <v>#REF!</v>
      </c>
      <c r="BF274" s="463" t="e">
        <f>BE274-AZ274</f>
        <v>#REF!</v>
      </c>
    </row>
    <row r="275" spans="45:58" ht="16" x14ac:dyDescent="0.35">
      <c r="AS275" s="677"/>
      <c r="AZ275" s="349"/>
      <c r="BA275" s="576">
        <v>0.35</v>
      </c>
      <c r="BB275" s="580">
        <f>BB89</f>
        <v>0</v>
      </c>
      <c r="BC275" s="426" t="s">
        <v>685</v>
      </c>
      <c r="BD275" s="423"/>
      <c r="BE275" s="340" t="s">
        <v>640</v>
      </c>
    </row>
    <row r="276" spans="45:58" x14ac:dyDescent="0.35">
      <c r="AS276" s="677"/>
      <c r="AZ276" s="349"/>
      <c r="BA276" s="356"/>
      <c r="BB276" s="356"/>
      <c r="BC276" s="431"/>
      <c r="BD276" s="432"/>
    </row>
    <row r="277" spans="45:58" x14ac:dyDescent="0.35">
      <c r="AS277" s="678"/>
      <c r="AT277" s="1029" t="s">
        <v>826</v>
      </c>
      <c r="AU277" s="1030"/>
      <c r="AV277" s="359"/>
      <c r="AW277" s="359"/>
      <c r="AX277" s="1015" t="s">
        <v>657</v>
      </c>
      <c r="AY277" s="1016"/>
      <c r="AZ277" s="346"/>
      <c r="BA277" s="348">
        <v>0.56399999999999995</v>
      </c>
      <c r="BB277" s="361"/>
      <c r="BC277" s="426" t="s">
        <v>836</v>
      </c>
      <c r="BD277" s="423"/>
      <c r="BE277" s="340" t="s">
        <v>642</v>
      </c>
    </row>
    <row r="278" spans="45:58" x14ac:dyDescent="0.35">
      <c r="AS278" s="677"/>
      <c r="AT278" s="1031"/>
      <c r="AU278" s="1032"/>
      <c r="AV278" s="349"/>
      <c r="AW278" s="676"/>
      <c r="AX278" s="1017"/>
      <c r="AY278" s="1018"/>
      <c r="BA278" s="361"/>
      <c r="BC278" s="424"/>
      <c r="BD278" s="425"/>
    </row>
    <row r="279" spans="45:58" x14ac:dyDescent="0.35">
      <c r="AS279" s="677"/>
      <c r="BA279" s="357"/>
      <c r="BB279" s="350"/>
      <c r="BC279" s="368"/>
      <c r="BD279" s="368"/>
    </row>
    <row r="280" spans="45:58" x14ac:dyDescent="0.35">
      <c r="AS280" s="677"/>
      <c r="BA280" s="361"/>
      <c r="BB280" s="681">
        <f>SUM(BB281:BB285)</f>
        <v>728.78269956366012</v>
      </c>
    </row>
    <row r="281" spans="45:58" x14ac:dyDescent="0.35">
      <c r="AS281" s="677"/>
      <c r="AZ281" s="453">
        <v>6500</v>
      </c>
      <c r="BA281" s="362">
        <v>1.2428107625178484E-2</v>
      </c>
      <c r="BB281" s="680">
        <f>AZ281*BA281</f>
        <v>80.782699563660145</v>
      </c>
      <c r="BC281" s="431" t="s">
        <v>576</v>
      </c>
      <c r="BD281" s="430"/>
    </row>
    <row r="282" spans="45:58" x14ac:dyDescent="0.35">
      <c r="AS282" s="677"/>
      <c r="BA282" s="343"/>
      <c r="BB282" s="343"/>
      <c r="BC282" s="430"/>
      <c r="BD282" s="430"/>
    </row>
    <row r="283" spans="45:58" x14ac:dyDescent="0.35">
      <c r="AS283" s="677"/>
      <c r="AZ283" s="453">
        <v>14000</v>
      </c>
      <c r="BA283" s="350">
        <v>0</v>
      </c>
      <c r="BB283" s="680">
        <f>AZ283*BA283</f>
        <v>0</v>
      </c>
      <c r="BC283" s="431" t="s">
        <v>573</v>
      </c>
      <c r="BD283" s="432"/>
    </row>
    <row r="284" spans="45:58" x14ac:dyDescent="0.35">
      <c r="AS284" s="677"/>
      <c r="BA284" s="343"/>
      <c r="BB284" s="343"/>
      <c r="BC284" s="424"/>
      <c r="BD284" s="425"/>
    </row>
    <row r="285" spans="45:58" x14ac:dyDescent="0.35">
      <c r="AS285" s="677"/>
      <c r="AZ285" s="453">
        <v>8000</v>
      </c>
      <c r="BA285" s="350">
        <v>8.1000000000000003E-2</v>
      </c>
      <c r="BB285" s="680">
        <f>AZ285*BA285</f>
        <v>648</v>
      </c>
      <c r="BC285" s="422" t="s">
        <v>579</v>
      </c>
      <c r="BD285" s="423"/>
    </row>
    <row r="286" spans="45:58" x14ac:dyDescent="0.35">
      <c r="AS286" s="677"/>
      <c r="BA286" s="343"/>
      <c r="BB286" s="343"/>
      <c r="BC286" s="424"/>
      <c r="BD286" s="425"/>
    </row>
    <row r="287" spans="45:58" x14ac:dyDescent="0.35">
      <c r="AS287" s="677"/>
    </row>
    <row r="288" spans="45:58" x14ac:dyDescent="0.35">
      <c r="AS288" s="677"/>
    </row>
    <row r="289" spans="45:58" x14ac:dyDescent="0.35">
      <c r="AS289" s="677"/>
      <c r="BA289" s="343"/>
      <c r="BB289" s="579" t="s">
        <v>712</v>
      </c>
      <c r="BC289" s="517">
        <f>'Hảo_R&amp;D (Vảy sạch)'!BR99</f>
        <v>0</v>
      </c>
    </row>
    <row r="290" spans="45:58" ht="16" x14ac:dyDescent="0.35">
      <c r="AS290" s="677"/>
      <c r="AZ290" s="466">
        <f>($AH$5*0.3+$AH$41*0.15+$AH$123*0.55+$AH$5*0)/BA290</f>
        <v>29040.748556144237</v>
      </c>
      <c r="BA290" s="577">
        <f>SUM(BA291,BA292:BA293)</f>
        <v>0.69300000000000006</v>
      </c>
      <c r="BB290" s="343"/>
      <c r="BD290" s="438">
        <f>(0.3*AK100+0.15*AK136+0.55*AK218+0*AK100)*BA290</f>
        <v>0</v>
      </c>
      <c r="BE290" s="468" t="e">
        <f>($N$5/BD290)*0.3+($N$41/BD290)*0.15+($N$123/BD290)*0.55+($N$5/BD290)*0</f>
        <v>#DIV/0!</v>
      </c>
      <c r="BF290" s="463" t="e">
        <f>BE290-AZ290</f>
        <v>#DIV/0!</v>
      </c>
    </row>
    <row r="291" spans="45:58" ht="16" x14ac:dyDescent="0.35">
      <c r="AS291" s="677"/>
      <c r="AZ291" s="349"/>
      <c r="BA291" s="576">
        <v>0.54</v>
      </c>
      <c r="BB291" s="580"/>
      <c r="BC291" s="426" t="s">
        <v>685</v>
      </c>
      <c r="BD291" s="423"/>
      <c r="BE291" s="340" t="s">
        <v>640</v>
      </c>
    </row>
    <row r="292" spans="45:58" x14ac:dyDescent="0.35">
      <c r="AS292" s="677"/>
      <c r="AZ292" s="349"/>
      <c r="BA292" s="356"/>
      <c r="BB292" s="356"/>
      <c r="BC292" s="431"/>
      <c r="BD292" s="432"/>
    </row>
    <row r="293" spans="45:58" x14ac:dyDescent="0.35">
      <c r="AS293" s="678"/>
      <c r="AT293" s="1029" t="s">
        <v>827</v>
      </c>
      <c r="AU293" s="1030"/>
      <c r="AV293" s="359"/>
      <c r="AW293" s="359"/>
      <c r="AX293" s="1015" t="s">
        <v>831</v>
      </c>
      <c r="AY293" s="1016"/>
      <c r="AZ293" s="346"/>
      <c r="BA293" s="348">
        <v>0.153</v>
      </c>
      <c r="BB293" s="350"/>
      <c r="BC293" s="426" t="s">
        <v>838</v>
      </c>
      <c r="BD293" s="423"/>
      <c r="BE293" s="340" t="s">
        <v>642</v>
      </c>
    </row>
    <row r="294" spans="45:58" x14ac:dyDescent="0.35">
      <c r="AS294" s="677"/>
      <c r="AT294" s="1031"/>
      <c r="AU294" s="1032"/>
      <c r="AV294" s="349"/>
      <c r="AW294" s="369"/>
      <c r="AX294" s="1017"/>
      <c r="AY294" s="1018"/>
      <c r="BA294" s="361"/>
      <c r="BB294" s="361"/>
      <c r="BC294" s="424"/>
      <c r="BD294" s="425"/>
    </row>
    <row r="295" spans="45:58" x14ac:dyDescent="0.35">
      <c r="AS295" s="677"/>
      <c r="AW295" s="353"/>
      <c r="BA295" s="357"/>
      <c r="BB295" s="681">
        <f>SUM(BB296:BB300)</f>
        <v>648</v>
      </c>
      <c r="BC295" s="368"/>
      <c r="BD295" s="368"/>
    </row>
    <row r="296" spans="45:58" x14ac:dyDescent="0.35">
      <c r="AS296" s="677"/>
      <c r="AW296" s="353"/>
      <c r="AZ296" s="453">
        <v>6500</v>
      </c>
      <c r="BA296" s="362">
        <v>0</v>
      </c>
      <c r="BB296" s="680">
        <f>AZ296*BA296</f>
        <v>0</v>
      </c>
      <c r="BC296" s="431" t="s">
        <v>576</v>
      </c>
      <c r="BD296" s="430"/>
    </row>
    <row r="297" spans="45:58" x14ac:dyDescent="0.35">
      <c r="AS297" s="677"/>
      <c r="AW297" s="353"/>
      <c r="BA297" s="343"/>
      <c r="BB297" s="343"/>
      <c r="BC297" s="430"/>
      <c r="BD297" s="430"/>
    </row>
    <row r="298" spans="45:58" x14ac:dyDescent="0.35">
      <c r="AS298" s="677"/>
      <c r="AW298" s="353"/>
      <c r="AZ298" s="453">
        <v>14000</v>
      </c>
      <c r="BA298" s="350">
        <v>0</v>
      </c>
      <c r="BB298" s="680">
        <f>AZ298*BA298</f>
        <v>0</v>
      </c>
      <c r="BC298" s="431" t="s">
        <v>573</v>
      </c>
      <c r="BD298" s="432"/>
    </row>
    <row r="299" spans="45:58" x14ac:dyDescent="0.35">
      <c r="AS299" s="677"/>
      <c r="AW299" s="353"/>
      <c r="BA299" s="343"/>
      <c r="BB299" s="343"/>
      <c r="BC299" s="424"/>
      <c r="BD299" s="425"/>
    </row>
    <row r="300" spans="45:58" x14ac:dyDescent="0.35">
      <c r="AS300" s="677"/>
      <c r="AW300" s="353"/>
      <c r="AZ300" s="453">
        <v>8000</v>
      </c>
      <c r="BA300" s="350">
        <v>8.1000000000000003E-2</v>
      </c>
      <c r="BB300" s="680">
        <f>AZ300*BA300</f>
        <v>648</v>
      </c>
      <c r="BC300" s="422" t="s">
        <v>579</v>
      </c>
      <c r="BD300" s="423"/>
    </row>
    <row r="301" spans="45:58" x14ac:dyDescent="0.35">
      <c r="AS301" s="677"/>
      <c r="AW301" s="353"/>
      <c r="BA301" s="343"/>
      <c r="BB301" s="343"/>
      <c r="BC301" s="424"/>
      <c r="BD301" s="425"/>
    </row>
    <row r="302" spans="45:58" x14ac:dyDescent="0.35">
      <c r="AS302" s="677"/>
      <c r="AW302" s="353"/>
    </row>
    <row r="303" spans="45:58" x14ac:dyDescent="0.35">
      <c r="AS303" s="677"/>
      <c r="AW303" s="353"/>
    </row>
    <row r="304" spans="45:58" x14ac:dyDescent="0.35">
      <c r="AS304" s="677"/>
      <c r="AW304" s="353"/>
      <c r="BA304" s="343"/>
      <c r="BB304" s="579" t="s">
        <v>712</v>
      </c>
      <c r="BC304" s="517">
        <f>'Hảo_R&amp;D (Vảy sạch)'!BR116</f>
        <v>0</v>
      </c>
    </row>
    <row r="305" spans="45:58" ht="16" x14ac:dyDescent="0.35">
      <c r="AS305" s="677"/>
      <c r="AW305" s="353"/>
      <c r="AZ305" s="466">
        <f>($AH$5*0.7+$AH$41*0+$AH$123*0.3+$AH$5*0)/BA305</f>
        <v>21962.69195816743</v>
      </c>
      <c r="BA305" s="577">
        <f>SUM(BA306)</f>
        <v>0.95058803508799916</v>
      </c>
      <c r="BB305" s="343"/>
      <c r="BD305" s="438">
        <f>(0.3*AK117+0.15*AK153+0.55*AK228+0*AK117)*BA305</f>
        <v>0</v>
      </c>
      <c r="BE305" s="468" t="e">
        <f>($N$5/BD305)*0.3+($N$41/BD305)*0.15+($N$123/BD305)*0.55+($N$5/BD305)*0</f>
        <v>#DIV/0!</v>
      </c>
      <c r="BF305" s="463" t="e">
        <f>BE305-AZ305</f>
        <v>#DIV/0!</v>
      </c>
    </row>
    <row r="306" spans="45:58" ht="16" x14ac:dyDescent="0.35">
      <c r="AS306" s="677"/>
      <c r="AW306" s="353"/>
      <c r="AZ306" s="349"/>
      <c r="BA306" s="576">
        <v>0.95058803508799916</v>
      </c>
      <c r="BB306" s="580">
        <f>BB124</f>
        <v>0</v>
      </c>
      <c r="BC306" s="426" t="s">
        <v>685</v>
      </c>
      <c r="BD306" s="423"/>
      <c r="BE306" s="340" t="s">
        <v>640</v>
      </c>
    </row>
    <row r="307" spans="45:58" x14ac:dyDescent="0.35">
      <c r="AS307" s="677"/>
      <c r="AW307" s="353"/>
      <c r="AZ307" s="349"/>
      <c r="BA307" s="356"/>
      <c r="BB307" s="356"/>
      <c r="BC307" s="431"/>
      <c r="BD307" s="432"/>
    </row>
    <row r="308" spans="45:58" x14ac:dyDescent="0.35">
      <c r="AS308" s="677"/>
      <c r="AW308" s="367"/>
      <c r="AX308" s="1015" t="s">
        <v>832</v>
      </c>
      <c r="AY308" s="1016"/>
      <c r="AZ308" s="346"/>
      <c r="BA308" s="348">
        <v>1.5555076937803624E-2</v>
      </c>
      <c r="BB308" s="350"/>
      <c r="BC308" s="426" t="s">
        <v>838</v>
      </c>
      <c r="BD308" s="423"/>
      <c r="BE308" s="340" t="s">
        <v>642</v>
      </c>
    </row>
    <row r="309" spans="45:58" x14ac:dyDescent="0.35">
      <c r="AS309" s="677"/>
      <c r="AW309" s="369"/>
      <c r="AX309" s="1017"/>
      <c r="AY309" s="1018"/>
      <c r="BA309" s="361"/>
      <c r="BB309" s="361"/>
      <c r="BC309" s="424"/>
      <c r="BD309" s="425"/>
    </row>
    <row r="310" spans="45:58" x14ac:dyDescent="0.35">
      <c r="AS310" s="677"/>
      <c r="AW310" s="353"/>
      <c r="BA310" s="357"/>
      <c r="BB310" s="681">
        <f>SUM(BB311:BB315)</f>
        <v>127.5808797526078</v>
      </c>
      <c r="BC310" s="368"/>
      <c r="BD310" s="368"/>
    </row>
    <row r="311" spans="45:58" x14ac:dyDescent="0.35">
      <c r="AS311" s="677"/>
      <c r="AW311" s="353"/>
      <c r="AZ311" s="453">
        <v>6500</v>
      </c>
      <c r="BA311" s="362">
        <v>1.2428107625178484E-2</v>
      </c>
      <c r="BB311" s="680">
        <f>AZ311*BA311</f>
        <v>80.782699563660145</v>
      </c>
      <c r="BC311" s="431" t="s">
        <v>576</v>
      </c>
      <c r="BD311" s="430"/>
    </row>
    <row r="312" spans="45:58" x14ac:dyDescent="0.35">
      <c r="AS312" s="677"/>
      <c r="AW312" s="353"/>
      <c r="BA312" s="343"/>
      <c r="BB312" s="343"/>
      <c r="BC312" s="430"/>
      <c r="BD312" s="430"/>
    </row>
    <row r="313" spans="45:58" x14ac:dyDescent="0.35">
      <c r="AS313" s="677"/>
      <c r="AW313" s="353"/>
      <c r="AZ313" s="453">
        <v>14000</v>
      </c>
      <c r="BA313" s="350">
        <v>0</v>
      </c>
      <c r="BB313" s="680">
        <f>AZ313*BA313</f>
        <v>0</v>
      </c>
      <c r="BC313" s="431" t="s">
        <v>573</v>
      </c>
      <c r="BD313" s="432"/>
    </row>
    <row r="314" spans="45:58" x14ac:dyDescent="0.35">
      <c r="AS314" s="677"/>
      <c r="AW314" s="353"/>
      <c r="BA314" s="343"/>
      <c r="BB314" s="343"/>
      <c r="BC314" s="424"/>
      <c r="BD314" s="425"/>
    </row>
    <row r="315" spans="45:58" x14ac:dyDescent="0.35">
      <c r="AS315" s="677"/>
      <c r="AW315" s="353"/>
      <c r="AZ315" s="453">
        <v>8000</v>
      </c>
      <c r="BA315" s="350">
        <v>5.8497725236184564E-3</v>
      </c>
      <c r="BB315" s="680">
        <f>AZ315*BA315</f>
        <v>46.798180188947654</v>
      </c>
      <c r="BC315" s="422" t="s">
        <v>579</v>
      </c>
      <c r="BD315" s="423"/>
    </row>
    <row r="316" spans="45:58" x14ac:dyDescent="0.35">
      <c r="AS316" s="677"/>
      <c r="AW316" s="353"/>
      <c r="BA316" s="343"/>
      <c r="BB316" s="343"/>
      <c r="BC316" s="424"/>
      <c r="BD316" s="425"/>
    </row>
    <row r="317" spans="45:58" x14ac:dyDescent="0.35">
      <c r="AS317" s="677"/>
      <c r="AW317" s="353"/>
    </row>
    <row r="318" spans="45:58" x14ac:dyDescent="0.35">
      <c r="AS318" s="677"/>
      <c r="AW318" s="353"/>
    </row>
    <row r="319" spans="45:58" x14ac:dyDescent="0.35">
      <c r="AS319" s="677"/>
      <c r="AW319" s="353"/>
      <c r="BA319" s="343"/>
      <c r="BB319" s="579" t="s">
        <v>712</v>
      </c>
      <c r="BC319" s="517">
        <f>'Hảo_R&amp;D (Vảy sạch)'!BR133</f>
        <v>0</v>
      </c>
    </row>
    <row r="320" spans="45:58" ht="16" x14ac:dyDescent="0.35">
      <c r="AS320" s="677"/>
      <c r="AW320" s="353"/>
      <c r="AZ320" s="466">
        <f>($AH$5*0.95+$AH$41*0+$AH$94*0.05+$AH$5*0)/BA320</f>
        <v>24199.763934577844</v>
      </c>
      <c r="BA320" s="577">
        <f>SUM(BA321)</f>
        <v>0.86899999999999999</v>
      </c>
      <c r="BB320" s="343"/>
      <c r="BD320" s="438">
        <f>(0.3*AK134+0.15*AK170+0.55*AK240+0*AK134)*BA320</f>
        <v>0</v>
      </c>
      <c r="BE320" s="468" t="e">
        <f>($N$5/BD320)*0.3+($N$41/BD320)*0.15+($N$123/BD320)*0.55+($N$5/BD320)*0</f>
        <v>#DIV/0!</v>
      </c>
      <c r="BF320" s="463" t="e">
        <f>BE320-AZ320</f>
        <v>#DIV/0!</v>
      </c>
    </row>
    <row r="321" spans="45:57" ht="16" x14ac:dyDescent="0.35">
      <c r="AS321" s="677"/>
      <c r="AW321" s="353"/>
      <c r="AZ321" s="349"/>
      <c r="BA321" s="576">
        <v>0.86899999999999999</v>
      </c>
      <c r="BB321" s="580">
        <f>BB141</f>
        <v>0</v>
      </c>
      <c r="BC321" s="426" t="s">
        <v>685</v>
      </c>
      <c r="BD321" s="423"/>
      <c r="BE321" s="340" t="s">
        <v>640</v>
      </c>
    </row>
    <row r="322" spans="45:57" x14ac:dyDescent="0.35">
      <c r="AS322" s="677"/>
      <c r="AW322" s="353"/>
      <c r="AZ322" s="349"/>
      <c r="BA322" s="356"/>
      <c r="BB322" s="356"/>
      <c r="BC322" s="431"/>
      <c r="BD322" s="432"/>
    </row>
    <row r="323" spans="45:57" x14ac:dyDescent="0.35">
      <c r="AS323" s="677"/>
      <c r="AW323" s="367"/>
      <c r="AX323" s="1015" t="s">
        <v>833</v>
      </c>
      <c r="AY323" s="1016"/>
      <c r="AZ323" s="346"/>
      <c r="BA323" s="348">
        <v>0</v>
      </c>
      <c r="BB323" s="350"/>
      <c r="BC323" s="426" t="s">
        <v>838</v>
      </c>
      <c r="BD323" s="423"/>
      <c r="BE323" s="340" t="s">
        <v>642</v>
      </c>
    </row>
    <row r="324" spans="45:57" x14ac:dyDescent="0.35">
      <c r="AS324" s="677"/>
      <c r="AX324" s="1017"/>
      <c r="AY324" s="1018"/>
      <c r="BA324" s="361"/>
      <c r="BB324" s="361"/>
      <c r="BC324" s="424"/>
      <c r="BD324" s="425"/>
    </row>
    <row r="325" spans="45:57" x14ac:dyDescent="0.35">
      <c r="AS325" s="677"/>
      <c r="BA325" s="357"/>
      <c r="BB325" s="350"/>
      <c r="BC325" s="368"/>
      <c r="BD325" s="368"/>
    </row>
    <row r="326" spans="45:57" x14ac:dyDescent="0.35">
      <c r="AS326" s="677"/>
      <c r="BA326" s="361"/>
      <c r="BB326" s="681">
        <f>SUM(BB327:BB331)</f>
        <v>0</v>
      </c>
    </row>
    <row r="327" spans="45:57" x14ac:dyDescent="0.35">
      <c r="AS327" s="677"/>
      <c r="AZ327" s="453">
        <v>6500</v>
      </c>
      <c r="BA327" s="362">
        <v>0</v>
      </c>
      <c r="BB327" s="680">
        <f>AZ327*BA327</f>
        <v>0</v>
      </c>
      <c r="BC327" s="431" t="s">
        <v>576</v>
      </c>
      <c r="BD327" s="430"/>
    </row>
    <row r="328" spans="45:57" x14ac:dyDescent="0.35">
      <c r="AS328" s="677"/>
      <c r="BA328" s="343"/>
      <c r="BB328" s="343"/>
      <c r="BC328" s="430"/>
      <c r="BD328" s="430"/>
    </row>
    <row r="329" spans="45:57" x14ac:dyDescent="0.35">
      <c r="AS329" s="677"/>
      <c r="AZ329" s="453">
        <v>14000</v>
      </c>
      <c r="BA329" s="350">
        <v>0</v>
      </c>
      <c r="BB329" s="680">
        <f>AZ329*BA329</f>
        <v>0</v>
      </c>
      <c r="BC329" s="431" t="s">
        <v>573</v>
      </c>
      <c r="BD329" s="432"/>
    </row>
    <row r="330" spans="45:57" x14ac:dyDescent="0.35">
      <c r="AS330" s="677"/>
      <c r="BA330" s="343"/>
      <c r="BB330" s="343"/>
      <c r="BC330" s="424"/>
      <c r="BD330" s="425"/>
    </row>
    <row r="331" spans="45:57" x14ac:dyDescent="0.35">
      <c r="AS331" s="677"/>
      <c r="AZ331" s="453">
        <v>8000</v>
      </c>
      <c r="BA331" s="350">
        <v>0</v>
      </c>
      <c r="BB331" s="680">
        <f>AZ331*BA331</f>
        <v>0</v>
      </c>
      <c r="BC331" s="422" t="s">
        <v>579</v>
      </c>
      <c r="BD331" s="423"/>
    </row>
    <row r="332" spans="45:57" x14ac:dyDescent="0.35">
      <c r="AS332" s="677"/>
      <c r="BA332" s="343"/>
      <c r="BB332" s="343"/>
      <c r="BC332" s="424"/>
      <c r="BD332" s="425"/>
    </row>
    <row r="333" spans="45:57" x14ac:dyDescent="0.35">
      <c r="AS333" s="677"/>
    </row>
    <row r="334" spans="45:57" x14ac:dyDescent="0.35">
      <c r="AS334" s="677"/>
    </row>
    <row r="335" spans="45:57" x14ac:dyDescent="0.35">
      <c r="AS335" s="677"/>
    </row>
    <row r="336" spans="45:57" x14ac:dyDescent="0.35">
      <c r="AS336" s="353"/>
      <c r="BA336" s="343"/>
      <c r="BB336" s="579" t="s">
        <v>712</v>
      </c>
      <c r="BC336" s="517">
        <f>'Hảo_R&amp;D (Vảy sạch)'!BR154</f>
        <v>0</v>
      </c>
    </row>
    <row r="337" spans="45:58" ht="16" x14ac:dyDescent="0.35">
      <c r="AS337" s="353"/>
      <c r="AX337" s="463">
        <f>DP60</f>
        <v>7692</v>
      </c>
      <c r="AZ337" s="466">
        <f>($DR$77*0+$DR$78*0+$DR$79*0+$DR$80*1)/BA337</f>
        <v>8613.6618141097424</v>
      </c>
      <c r="BA337" s="577">
        <f>SUM(BA338)</f>
        <v>0.89300000000000002</v>
      </c>
      <c r="BB337" s="343"/>
      <c r="BD337" s="438">
        <f>(0.3*AK155+0.15*AK191+0.55*AK261+0*AK155)*BA337</f>
        <v>0</v>
      </c>
      <c r="BE337" s="468" t="e">
        <f>($N$5/BD337)*0.3+($N$41/BD337)*0.15+($N$123/BD337)*0.55+($N$5/BD337)*0</f>
        <v>#DIV/0!</v>
      </c>
      <c r="BF337" s="463" t="e">
        <f>BE337-AZ337</f>
        <v>#DIV/0!</v>
      </c>
    </row>
    <row r="338" spans="45:58" ht="16" x14ac:dyDescent="0.35">
      <c r="AS338" s="353"/>
      <c r="AZ338" s="349"/>
      <c r="BA338" s="576">
        <v>0.89300000000000002</v>
      </c>
      <c r="BB338" s="580">
        <f>BB162</f>
        <v>0</v>
      </c>
      <c r="BC338" s="426" t="s">
        <v>836</v>
      </c>
      <c r="BD338" s="423"/>
      <c r="BE338" s="340" t="s">
        <v>640</v>
      </c>
    </row>
    <row r="339" spans="45:58" x14ac:dyDescent="0.35">
      <c r="AS339" s="353"/>
      <c r="AZ339" s="349"/>
      <c r="BA339" s="356"/>
      <c r="BB339" s="356"/>
      <c r="BC339" s="431"/>
      <c r="BD339" s="432"/>
    </row>
    <row r="340" spans="45:58" x14ac:dyDescent="0.35">
      <c r="AS340" s="358"/>
      <c r="AT340" s="1029" t="s">
        <v>828</v>
      </c>
      <c r="AU340" s="1030"/>
      <c r="AV340" s="359"/>
      <c r="AW340" s="359"/>
      <c r="AX340" s="1015" t="s">
        <v>829</v>
      </c>
      <c r="AY340" s="1016"/>
      <c r="AZ340" s="346"/>
      <c r="BA340" s="348">
        <v>5.2999999999999999E-2</v>
      </c>
      <c r="BB340" s="350"/>
      <c r="BC340" s="426" t="s">
        <v>837</v>
      </c>
      <c r="BD340" s="423"/>
      <c r="BE340" s="340" t="s">
        <v>642</v>
      </c>
    </row>
    <row r="341" spans="45:58" x14ac:dyDescent="0.35">
      <c r="AT341" s="1031"/>
      <c r="AU341" s="1032"/>
      <c r="AV341" s="349"/>
      <c r="AW341" s="369"/>
      <c r="AX341" s="1017"/>
      <c r="AY341" s="1018"/>
      <c r="BA341" s="361"/>
      <c r="BB341" s="361"/>
      <c r="BC341" s="424"/>
      <c r="BD341" s="425"/>
    </row>
    <row r="342" spans="45:58" x14ac:dyDescent="0.35">
      <c r="AW342" s="353"/>
      <c r="BA342" s="357"/>
      <c r="BB342" s="350"/>
      <c r="BC342" s="368"/>
      <c r="BD342" s="368"/>
    </row>
    <row r="343" spans="45:58" x14ac:dyDescent="0.35">
      <c r="AW343" s="353"/>
      <c r="BA343" s="361"/>
      <c r="BB343" s="681">
        <f>SUM(BB344:BB348)</f>
        <v>71.5</v>
      </c>
    </row>
    <row r="344" spans="45:58" x14ac:dyDescent="0.35">
      <c r="AW344" s="353"/>
      <c r="AZ344" s="453">
        <v>6500</v>
      </c>
      <c r="BA344" s="362">
        <v>1.0999999999999999E-2</v>
      </c>
      <c r="BB344" s="680">
        <f>AZ344*BA344</f>
        <v>71.5</v>
      </c>
      <c r="BC344" s="431" t="s">
        <v>576</v>
      </c>
      <c r="BD344" s="430"/>
    </row>
    <row r="345" spans="45:58" x14ac:dyDescent="0.35">
      <c r="AW345" s="353"/>
      <c r="BA345" s="343"/>
      <c r="BB345" s="343"/>
      <c r="BC345" s="430"/>
      <c r="BD345" s="430"/>
    </row>
    <row r="346" spans="45:58" x14ac:dyDescent="0.35">
      <c r="AW346" s="353"/>
      <c r="AZ346" s="453">
        <v>14000</v>
      </c>
      <c r="BA346" s="350">
        <v>0</v>
      </c>
      <c r="BB346" s="680">
        <f>AZ346*BA346</f>
        <v>0</v>
      </c>
      <c r="BC346" s="431" t="s">
        <v>573</v>
      </c>
      <c r="BD346" s="432"/>
    </row>
    <row r="347" spans="45:58" x14ac:dyDescent="0.35">
      <c r="AW347" s="353"/>
      <c r="BA347" s="343"/>
      <c r="BB347" s="343"/>
      <c r="BC347" s="424"/>
      <c r="BD347" s="425"/>
    </row>
    <row r="348" spans="45:58" x14ac:dyDescent="0.35">
      <c r="AW348" s="353"/>
      <c r="AZ348" s="453">
        <v>8000</v>
      </c>
      <c r="BA348" s="350">
        <v>0</v>
      </c>
      <c r="BB348" s="680">
        <f>AZ348*BA348</f>
        <v>0</v>
      </c>
      <c r="BC348" s="422" t="s">
        <v>579</v>
      </c>
      <c r="BD348" s="423"/>
    </row>
    <row r="349" spans="45:58" x14ac:dyDescent="0.35">
      <c r="AW349" s="353"/>
      <c r="BA349" s="343"/>
      <c r="BB349" s="343"/>
      <c r="BC349" s="424"/>
      <c r="BD349" s="425"/>
    </row>
    <row r="350" spans="45:58" x14ac:dyDescent="0.35">
      <c r="AW350" s="353"/>
    </row>
    <row r="351" spans="45:58" x14ac:dyDescent="0.35">
      <c r="AW351" s="353"/>
    </row>
    <row r="352" spans="45:58" x14ac:dyDescent="0.35">
      <c r="AW352" s="353"/>
    </row>
    <row r="353" spans="49:58" x14ac:dyDescent="0.35">
      <c r="AW353" s="353"/>
      <c r="BA353" s="343"/>
      <c r="BB353" s="579" t="s">
        <v>712</v>
      </c>
      <c r="BC353" s="517">
        <f>'Hảo_R&amp;D (Vảy sạch)'!BR171</f>
        <v>0</v>
      </c>
    </row>
    <row r="354" spans="49:58" ht="16" x14ac:dyDescent="0.35">
      <c r="AW354" s="353"/>
      <c r="AX354" s="463">
        <f>DP62</f>
        <v>8000</v>
      </c>
      <c r="AZ354" s="466">
        <f>($DR$77*0+$DR$78*1+$DR$79*0+$DR$80*0)/BA354</f>
        <v>9345.7943925233649</v>
      </c>
      <c r="BA354" s="577">
        <f>SUM(BA355:BA357)</f>
        <v>0.85599999999999998</v>
      </c>
      <c r="BB354" s="343"/>
      <c r="BD354" s="438">
        <f>(0.3*AK172+0.15*AK208+0.55*AK278+0*AK172)*BA354</f>
        <v>0</v>
      </c>
      <c r="BE354" s="468" t="e">
        <f>($N$5/BD354)*0.3+($N$41/BD354)*0.15+($N$123/BD354)*0.55+($N$5/BD354)*0</f>
        <v>#DIV/0!</v>
      </c>
      <c r="BF354" s="463" t="e">
        <f>BE354-AZ354</f>
        <v>#DIV/0!</v>
      </c>
    </row>
    <row r="355" spans="49:58" ht="16" x14ac:dyDescent="0.35">
      <c r="AW355" s="353"/>
      <c r="AZ355" s="349"/>
      <c r="BA355" s="576">
        <v>0.58299999999999996</v>
      </c>
      <c r="BB355" s="580">
        <f>BB179</f>
        <v>0</v>
      </c>
      <c r="BC355" s="426" t="s">
        <v>836</v>
      </c>
      <c r="BD355" s="423"/>
      <c r="BE355" s="340" t="s">
        <v>640</v>
      </c>
    </row>
    <row r="356" spans="49:58" x14ac:dyDescent="0.35">
      <c r="AW356" s="353"/>
      <c r="AZ356" s="349"/>
      <c r="BA356" s="356"/>
      <c r="BB356" s="356"/>
      <c r="BC356" s="431"/>
      <c r="BD356" s="432"/>
    </row>
    <row r="357" spans="49:58" x14ac:dyDescent="0.35">
      <c r="AW357" s="353"/>
      <c r="AX357" s="1015" t="s">
        <v>830</v>
      </c>
      <c r="AY357" s="1016"/>
      <c r="AZ357" s="346"/>
      <c r="BA357" s="348">
        <v>0.27300000000000002</v>
      </c>
      <c r="BB357" s="350"/>
      <c r="BC357" s="426" t="s">
        <v>837</v>
      </c>
      <c r="BD357" s="423"/>
      <c r="BE357" s="340" t="s">
        <v>642</v>
      </c>
    </row>
    <row r="358" spans="49:58" x14ac:dyDescent="0.35">
      <c r="AW358" s="675"/>
      <c r="AX358" s="1017"/>
      <c r="AY358" s="1018"/>
      <c r="BA358" s="361"/>
      <c r="BB358" s="361"/>
      <c r="BC358" s="424"/>
      <c r="BD358" s="425"/>
    </row>
    <row r="359" spans="49:58" x14ac:dyDescent="0.35">
      <c r="AW359" s="353"/>
      <c r="BA359" s="357"/>
      <c r="BB359" s="350"/>
      <c r="BC359" s="368"/>
      <c r="BD359" s="368"/>
    </row>
    <row r="360" spans="49:58" x14ac:dyDescent="0.35">
      <c r="AW360" s="353"/>
      <c r="BA360" s="361"/>
      <c r="BB360" s="681">
        <f>SUM(BB361:BB365)</f>
        <v>871.5</v>
      </c>
    </row>
    <row r="361" spans="49:58" x14ac:dyDescent="0.35">
      <c r="AW361" s="353"/>
      <c r="AZ361" s="453">
        <v>6500</v>
      </c>
      <c r="BA361" s="362">
        <v>1.0999999999999999E-2</v>
      </c>
      <c r="BB361" s="680">
        <f>AZ361*BA361</f>
        <v>71.5</v>
      </c>
      <c r="BC361" s="431" t="s">
        <v>576</v>
      </c>
      <c r="BD361" s="430"/>
    </row>
    <row r="362" spans="49:58" x14ac:dyDescent="0.35">
      <c r="AW362" s="353"/>
      <c r="BA362" s="343"/>
      <c r="BB362" s="343"/>
      <c r="BC362" s="430"/>
      <c r="BD362" s="430"/>
    </row>
    <row r="363" spans="49:58" x14ac:dyDescent="0.35">
      <c r="AW363" s="353"/>
      <c r="AZ363" s="453">
        <v>14000</v>
      </c>
      <c r="BA363" s="350">
        <v>0</v>
      </c>
      <c r="BB363" s="680">
        <f>AZ363*BA363</f>
        <v>0</v>
      </c>
      <c r="BC363" s="431" t="s">
        <v>573</v>
      </c>
      <c r="BD363" s="432"/>
    </row>
    <row r="364" spans="49:58" x14ac:dyDescent="0.35">
      <c r="AW364" s="353"/>
      <c r="BA364" s="343"/>
      <c r="BB364" s="343"/>
      <c r="BC364" s="424"/>
      <c r="BD364" s="425"/>
    </row>
    <row r="365" spans="49:58" x14ac:dyDescent="0.35">
      <c r="AW365" s="353"/>
      <c r="AZ365" s="453">
        <v>8000</v>
      </c>
      <c r="BA365" s="350">
        <v>0.1</v>
      </c>
      <c r="BB365" s="680">
        <f>AZ365*BA365</f>
        <v>800</v>
      </c>
      <c r="BC365" s="422" t="s">
        <v>579</v>
      </c>
      <c r="BD365" s="423"/>
    </row>
    <row r="366" spans="49:58" x14ac:dyDescent="0.35">
      <c r="AW366" s="353"/>
      <c r="BA366" s="343"/>
      <c r="BB366" s="343"/>
      <c r="BC366" s="424"/>
      <c r="BD366" s="425"/>
    </row>
    <row r="367" spans="49:58" x14ac:dyDescent="0.35">
      <c r="AW367" s="353"/>
    </row>
    <row r="368" spans="49:58" x14ac:dyDescent="0.35">
      <c r="AW368" s="353"/>
    </row>
    <row r="369" spans="49:58" x14ac:dyDescent="0.35">
      <c r="AW369" s="353"/>
    </row>
    <row r="370" spans="49:58" x14ac:dyDescent="0.35">
      <c r="AW370" s="353"/>
      <c r="BA370" s="343"/>
      <c r="BB370" s="579" t="s">
        <v>712</v>
      </c>
      <c r="BC370" s="517">
        <f>'Hảo_R&amp;D (Vảy sạch)'!BR188</f>
        <v>0</v>
      </c>
    </row>
    <row r="371" spans="49:58" ht="16" x14ac:dyDescent="0.35">
      <c r="AW371" s="353"/>
      <c r="AZ371" s="466">
        <f>($DR$77*0.3+$DR$78*0+$DR$79*0+$DR$80*0.7)/BA371</f>
        <v>12205.285714285714</v>
      </c>
      <c r="BA371" s="577">
        <f>SUM(BA372)</f>
        <v>0.7</v>
      </c>
      <c r="BB371" s="343"/>
      <c r="BD371" s="438" t="e">
        <f>(0.3*AK189+0.15*#REF!+0.55*AK293+0*AK189)*BA371</f>
        <v>#REF!</v>
      </c>
      <c r="BE371" s="468" t="e">
        <f>($N$5/BD371)*0.3+($N$41/BD371)*0.15+($N$123/BD371)*0.55+($N$5/BD371)*0</f>
        <v>#REF!</v>
      </c>
      <c r="BF371" s="463" t="e">
        <f>BE371-AZ371</f>
        <v>#REF!</v>
      </c>
    </row>
    <row r="372" spans="49:58" ht="16" x14ac:dyDescent="0.35">
      <c r="AW372" s="353"/>
      <c r="AZ372" s="349"/>
      <c r="BA372" s="576">
        <v>0.7</v>
      </c>
      <c r="BB372" s="580">
        <f>BB196</f>
        <v>0</v>
      </c>
      <c r="BC372" s="426" t="s">
        <v>836</v>
      </c>
      <c r="BD372" s="423"/>
      <c r="BE372" s="340" t="s">
        <v>640</v>
      </c>
    </row>
    <row r="373" spans="49:58" x14ac:dyDescent="0.35">
      <c r="AW373" s="353"/>
      <c r="AZ373" s="349"/>
      <c r="BA373" s="356"/>
      <c r="BB373" s="356"/>
      <c r="BC373" s="431"/>
      <c r="BD373" s="432"/>
    </row>
    <row r="374" spans="49:58" x14ac:dyDescent="0.35">
      <c r="AW374" s="353"/>
      <c r="AX374" s="1015" t="s">
        <v>834</v>
      </c>
      <c r="AY374" s="1016"/>
      <c r="AZ374" s="346"/>
      <c r="BA374" s="348">
        <v>0</v>
      </c>
      <c r="BB374" s="350"/>
      <c r="BC374" s="426" t="s">
        <v>837</v>
      </c>
      <c r="BD374" s="423"/>
      <c r="BE374" s="340" t="s">
        <v>642</v>
      </c>
    </row>
    <row r="375" spans="49:58" x14ac:dyDescent="0.35">
      <c r="AW375" s="675"/>
      <c r="AX375" s="1017"/>
      <c r="AY375" s="1018"/>
      <c r="BA375" s="361"/>
      <c r="BB375" s="361"/>
      <c r="BC375" s="424"/>
      <c r="BD375" s="425"/>
    </row>
    <row r="376" spans="49:58" x14ac:dyDescent="0.35">
      <c r="AW376" s="353"/>
      <c r="BA376" s="357"/>
      <c r="BB376" s="350"/>
      <c r="BC376" s="368"/>
      <c r="BD376" s="368"/>
    </row>
    <row r="377" spans="49:58" x14ac:dyDescent="0.35">
      <c r="AW377" s="353"/>
      <c r="BA377" s="361"/>
      <c r="BB377" s="681">
        <f>SUM(BB378:BB382)</f>
        <v>2055</v>
      </c>
    </row>
    <row r="378" spans="49:58" x14ac:dyDescent="0.35">
      <c r="AW378" s="353"/>
      <c r="AZ378" s="453">
        <v>6500</v>
      </c>
      <c r="BA378" s="362">
        <v>0.23</v>
      </c>
      <c r="BB378" s="680">
        <f>AZ378*BA378</f>
        <v>1495</v>
      </c>
      <c r="BC378" s="431" t="s">
        <v>576</v>
      </c>
      <c r="BD378" s="430"/>
    </row>
    <row r="379" spans="49:58" x14ac:dyDescent="0.35">
      <c r="AW379" s="353"/>
      <c r="BA379" s="343"/>
      <c r="BB379" s="343"/>
      <c r="BC379" s="430"/>
      <c r="BD379" s="430"/>
    </row>
    <row r="380" spans="49:58" x14ac:dyDescent="0.35">
      <c r="AW380" s="353"/>
      <c r="AZ380" s="453">
        <v>14000</v>
      </c>
      <c r="BA380" s="350">
        <v>0</v>
      </c>
      <c r="BB380" s="680">
        <f>AZ380*BA380</f>
        <v>0</v>
      </c>
      <c r="BC380" s="431" t="s">
        <v>573</v>
      </c>
      <c r="BD380" s="432"/>
    </row>
    <row r="381" spans="49:58" x14ac:dyDescent="0.35">
      <c r="AW381" s="353"/>
      <c r="BA381" s="343"/>
      <c r="BB381" s="343"/>
      <c r="BC381" s="424"/>
      <c r="BD381" s="425"/>
    </row>
    <row r="382" spans="49:58" x14ac:dyDescent="0.35">
      <c r="AW382" s="353"/>
      <c r="AZ382" s="453">
        <v>8000</v>
      </c>
      <c r="BA382" s="350">
        <v>7.0000000000000007E-2</v>
      </c>
      <c r="BB382" s="680">
        <f>AZ382*BA382</f>
        <v>560</v>
      </c>
      <c r="BC382" s="422" t="s">
        <v>579</v>
      </c>
      <c r="BD382" s="423"/>
    </row>
    <row r="383" spans="49:58" x14ac:dyDescent="0.35">
      <c r="AW383" s="353"/>
      <c r="BA383" s="343"/>
      <c r="BB383" s="343"/>
      <c r="BC383" s="424"/>
      <c r="BD383" s="425"/>
    </row>
    <row r="384" spans="49:58" x14ac:dyDescent="0.35">
      <c r="AW384" s="353"/>
    </row>
    <row r="385" spans="49:58" x14ac:dyDescent="0.35">
      <c r="AW385" s="353"/>
    </row>
    <row r="386" spans="49:58" x14ac:dyDescent="0.35">
      <c r="AW386" s="353"/>
      <c r="BA386" s="343"/>
      <c r="BB386" s="579" t="s">
        <v>712</v>
      </c>
      <c r="BC386" s="517">
        <f>'Hảo_R&amp;D (Vảy sạch)'!BR204</f>
        <v>0</v>
      </c>
    </row>
    <row r="387" spans="49:58" ht="16" x14ac:dyDescent="0.35">
      <c r="AW387" s="353"/>
      <c r="AZ387" s="466">
        <f>($DR$77*0+$DR$78*0+$DR$79*0.3+$DR$80*0.7)/BA387</f>
        <v>10173.06818181818</v>
      </c>
      <c r="BA387" s="577">
        <f>SUM(BA388)</f>
        <v>0.88</v>
      </c>
      <c r="BB387" s="343"/>
      <c r="BD387" s="438">
        <f>(0.3*AK205+0.15*AK234+0.55*AK307+0*AK205)*BA387</f>
        <v>0</v>
      </c>
      <c r="BE387" s="468" t="e">
        <f>($N$5/BD387)*0.3+($N$41/BD387)*0.15+($N$123/BD387)*0.55+($N$5/BD387)*0</f>
        <v>#DIV/0!</v>
      </c>
      <c r="BF387" s="463" t="e">
        <f>BE387-AZ387</f>
        <v>#DIV/0!</v>
      </c>
    </row>
    <row r="388" spans="49:58" ht="16" x14ac:dyDescent="0.35">
      <c r="AW388" s="353"/>
      <c r="AZ388" s="349"/>
      <c r="BA388" s="576">
        <v>0.88</v>
      </c>
      <c r="BB388" s="580">
        <f>BB212</f>
        <v>0</v>
      </c>
      <c r="BC388" s="426" t="s">
        <v>836</v>
      </c>
      <c r="BD388" s="423"/>
      <c r="BE388" s="340" t="s">
        <v>640</v>
      </c>
    </row>
    <row r="389" spans="49:58" x14ac:dyDescent="0.35">
      <c r="AW389" s="353"/>
      <c r="AZ389" s="349"/>
      <c r="BA389" s="356"/>
      <c r="BB389" s="356"/>
      <c r="BC389" s="431"/>
      <c r="BD389" s="432"/>
    </row>
    <row r="390" spans="49:58" x14ac:dyDescent="0.35">
      <c r="AW390" s="367"/>
      <c r="AX390" s="1015" t="s">
        <v>835</v>
      </c>
      <c r="AY390" s="1016"/>
      <c r="AZ390" s="346"/>
      <c r="BA390" s="348">
        <v>0</v>
      </c>
      <c r="BB390" s="350"/>
      <c r="BC390" s="426" t="s">
        <v>837</v>
      </c>
      <c r="BD390" s="423"/>
      <c r="BE390" s="340" t="s">
        <v>642</v>
      </c>
    </row>
    <row r="391" spans="49:58" x14ac:dyDescent="0.35">
      <c r="AX391" s="1017"/>
      <c r="AY391" s="1018"/>
      <c r="BA391" s="361"/>
      <c r="BB391" s="361"/>
      <c r="BC391" s="424"/>
      <c r="BD391" s="425"/>
    </row>
    <row r="392" spans="49:58" x14ac:dyDescent="0.35">
      <c r="BA392" s="357"/>
      <c r="BB392" s="350"/>
      <c r="BC392" s="368"/>
      <c r="BD392" s="368"/>
    </row>
    <row r="393" spans="49:58" x14ac:dyDescent="0.35">
      <c r="BA393" s="361"/>
      <c r="BB393" s="681">
        <f>SUM(BB394:BB398)</f>
        <v>630</v>
      </c>
    </row>
    <row r="394" spans="49:58" x14ac:dyDescent="0.35">
      <c r="AZ394" s="453">
        <v>6500</v>
      </c>
      <c r="BA394" s="362">
        <v>0.06</v>
      </c>
      <c r="BB394" s="680">
        <f>AZ394*BA394</f>
        <v>390</v>
      </c>
      <c r="BC394" s="431" t="s">
        <v>576</v>
      </c>
      <c r="BD394" s="430"/>
    </row>
    <row r="395" spans="49:58" x14ac:dyDescent="0.35">
      <c r="BA395" s="343"/>
      <c r="BB395" s="343"/>
      <c r="BC395" s="430"/>
      <c r="BD395" s="430"/>
    </row>
    <row r="396" spans="49:58" x14ac:dyDescent="0.35">
      <c r="AZ396" s="453">
        <v>14000</v>
      </c>
      <c r="BA396" s="350">
        <v>0</v>
      </c>
      <c r="BB396" s="680">
        <f>AZ396*BA396</f>
        <v>0</v>
      </c>
      <c r="BC396" s="431" t="s">
        <v>573</v>
      </c>
      <c r="BD396" s="432"/>
    </row>
    <row r="397" spans="49:58" x14ac:dyDescent="0.35">
      <c r="BA397" s="343"/>
      <c r="BB397" s="343"/>
      <c r="BC397" s="424"/>
      <c r="BD397" s="425"/>
    </row>
    <row r="398" spans="49:58" x14ac:dyDescent="0.35">
      <c r="AZ398" s="453">
        <v>8000</v>
      </c>
      <c r="BA398" s="350">
        <v>0.03</v>
      </c>
      <c r="BB398" s="680">
        <f>AZ398*BA398</f>
        <v>240</v>
      </c>
      <c r="BC398" s="422" t="s">
        <v>579</v>
      </c>
      <c r="BD398" s="423"/>
    </row>
    <row r="399" spans="49:58" x14ac:dyDescent="0.35">
      <c r="BA399" s="343"/>
      <c r="BB399" s="343"/>
      <c r="BC399" s="424"/>
      <c r="BD399" s="425"/>
    </row>
  </sheetData>
  <mergeCells count="371">
    <mergeCell ref="GL2:GN2"/>
    <mergeCell ref="FZ2:GB2"/>
    <mergeCell ref="GD2:GF2"/>
    <mergeCell ref="GH2:GJ2"/>
    <mergeCell ref="D96:D97"/>
    <mergeCell ref="E96:F97"/>
    <mergeCell ref="H96:I97"/>
    <mergeCell ref="D125:D126"/>
    <mergeCell ref="E125:F126"/>
    <mergeCell ref="H125:I126"/>
    <mergeCell ref="D43:D44"/>
    <mergeCell ref="E43:F44"/>
    <mergeCell ref="H43:I44"/>
    <mergeCell ref="D71:D72"/>
    <mergeCell ref="E71:F72"/>
    <mergeCell ref="H71:I72"/>
    <mergeCell ref="S7:T8"/>
    <mergeCell ref="W7:X8"/>
    <mergeCell ref="AA7:AA8"/>
    <mergeCell ref="AB7:AC8"/>
    <mergeCell ref="AI7:AI8"/>
    <mergeCell ref="AJ7:AK8"/>
    <mergeCell ref="D7:D8"/>
    <mergeCell ref="E7:F8"/>
    <mergeCell ref="H7:I8"/>
    <mergeCell ref="AX357:AY358"/>
    <mergeCell ref="AX374:AY375"/>
    <mergeCell ref="AX390:AY391"/>
    <mergeCell ref="AX260:AY261"/>
    <mergeCell ref="AT277:AU278"/>
    <mergeCell ref="AX277:AY278"/>
    <mergeCell ref="AT293:AU294"/>
    <mergeCell ref="AX293:AY294"/>
    <mergeCell ref="AX308:AY309"/>
    <mergeCell ref="AX323:AY324"/>
    <mergeCell ref="AT340:AU341"/>
    <mergeCell ref="AX340:AY341"/>
    <mergeCell ref="M7:M8"/>
    <mergeCell ref="N7:O8"/>
    <mergeCell ref="R7:R8"/>
    <mergeCell ref="AI11:AI12"/>
    <mergeCell ref="AJ11:AK12"/>
    <mergeCell ref="AT11:AU12"/>
    <mergeCell ref="AX11:AY12"/>
    <mergeCell ref="AA13:AA14"/>
    <mergeCell ref="AB13:AC14"/>
    <mergeCell ref="AI13:AI14"/>
    <mergeCell ref="AJ13:AK14"/>
    <mergeCell ref="AM7:AN8"/>
    <mergeCell ref="AR7:AS8"/>
    <mergeCell ref="AE8:AF9"/>
    <mergeCell ref="AA9:AA10"/>
    <mergeCell ref="AB9:AC10"/>
    <mergeCell ref="AI9:AI10"/>
    <mergeCell ref="AJ9:AK10"/>
    <mergeCell ref="AA19:AA20"/>
    <mergeCell ref="AB19:AC20"/>
    <mergeCell ref="AA21:AA22"/>
    <mergeCell ref="AB21:AC22"/>
    <mergeCell ref="AI21:AI22"/>
    <mergeCell ref="AJ21:AK22"/>
    <mergeCell ref="AA15:AA16"/>
    <mergeCell ref="AB15:AC16"/>
    <mergeCell ref="AI15:AI16"/>
    <mergeCell ref="AJ15:AK16"/>
    <mergeCell ref="AA17:AA18"/>
    <mergeCell ref="AB17:AC18"/>
    <mergeCell ref="AB26:AC26"/>
    <mergeCell ref="AT28:AU29"/>
    <mergeCell ref="AA23:AA24"/>
    <mergeCell ref="AB23:AC24"/>
    <mergeCell ref="AI23:AI24"/>
    <mergeCell ref="AJ23:AK24"/>
    <mergeCell ref="AN24:AO26"/>
    <mergeCell ref="AB30:AC31"/>
    <mergeCell ref="AI25:AI26"/>
    <mergeCell ref="AJ25:AK26"/>
    <mergeCell ref="AB25:AC25"/>
    <mergeCell ref="M43:M44"/>
    <mergeCell ref="N43:O44"/>
    <mergeCell ref="R43:R44"/>
    <mergeCell ref="S43:T44"/>
    <mergeCell ref="W43:X44"/>
    <mergeCell ref="AA43:AA44"/>
    <mergeCell ref="AX28:AY29"/>
    <mergeCell ref="AB27:AC27"/>
    <mergeCell ref="AI29:AI30"/>
    <mergeCell ref="AJ29:AK30"/>
    <mergeCell ref="AN30:AO31"/>
    <mergeCell ref="AI31:AI32"/>
    <mergeCell ref="AJ31:AK32"/>
    <mergeCell ref="AI27:AI28"/>
    <mergeCell ref="AJ27:AK28"/>
    <mergeCell ref="AN27:AO29"/>
    <mergeCell ref="AB43:AC44"/>
    <mergeCell ref="AE43:AF44"/>
    <mergeCell ref="AI43:AI44"/>
    <mergeCell ref="AJ43:AK44"/>
    <mergeCell ref="AM43:AN44"/>
    <mergeCell ref="AP43:AQ44"/>
    <mergeCell ref="AI33:AI34"/>
    <mergeCell ref="AJ33:AK34"/>
    <mergeCell ref="AJ35:AK36"/>
    <mergeCell ref="AT47:AU48"/>
    <mergeCell ref="AA49:AA50"/>
    <mergeCell ref="AB49:AC50"/>
    <mergeCell ref="AJ49:AK50"/>
    <mergeCell ref="AT49:AU50"/>
    <mergeCell ref="AA45:AA46"/>
    <mergeCell ref="AB45:AC46"/>
    <mergeCell ref="AI45:AI46"/>
    <mergeCell ref="AJ45:AK46"/>
    <mergeCell ref="AI47:AI48"/>
    <mergeCell ref="AJ47:AK48"/>
    <mergeCell ref="AT55:AU56"/>
    <mergeCell ref="AA57:AA58"/>
    <mergeCell ref="AB57:AC58"/>
    <mergeCell ref="AI57:AI58"/>
    <mergeCell ref="AJ57:AK58"/>
    <mergeCell ref="AX49:AY50"/>
    <mergeCell ref="AA51:AA52"/>
    <mergeCell ref="AB51:AC52"/>
    <mergeCell ref="AJ51:AK52"/>
    <mergeCell ref="AT51:AU52"/>
    <mergeCell ref="AA53:AA54"/>
    <mergeCell ref="AB53:AC54"/>
    <mergeCell ref="AJ53:AK54"/>
    <mergeCell ref="AT53:AU54"/>
    <mergeCell ref="AI51:AI52"/>
    <mergeCell ref="AI53:AI54"/>
    <mergeCell ref="AA59:AA60"/>
    <mergeCell ref="AB59:AC60"/>
    <mergeCell ref="AI59:AI60"/>
    <mergeCell ref="AJ59:AK60"/>
    <mergeCell ref="AA61:AA62"/>
    <mergeCell ref="AB61:AC62"/>
    <mergeCell ref="AJ61:AK62"/>
    <mergeCell ref="AA55:AA56"/>
    <mergeCell ref="AB55:AC56"/>
    <mergeCell ref="AI55:AI56"/>
    <mergeCell ref="AJ55:AK56"/>
    <mergeCell ref="AA63:AA64"/>
    <mergeCell ref="AB63:AC64"/>
    <mergeCell ref="AA65:AA66"/>
    <mergeCell ref="AB65:AC66"/>
    <mergeCell ref="M71:M72"/>
    <mergeCell ref="N71:O72"/>
    <mergeCell ref="R71:R72"/>
    <mergeCell ref="S71:T72"/>
    <mergeCell ref="W71:X72"/>
    <mergeCell ref="AA71:AA72"/>
    <mergeCell ref="AT88:AU89"/>
    <mergeCell ref="AX88:AY89"/>
    <mergeCell ref="AB73:AC73"/>
    <mergeCell ref="AJ73:AK73"/>
    <mergeCell ref="AA74:AA75"/>
    <mergeCell ref="AB74:AC75"/>
    <mergeCell ref="AI75:AI76"/>
    <mergeCell ref="AJ75:AK76"/>
    <mergeCell ref="AB71:AC72"/>
    <mergeCell ref="AE71:AF72"/>
    <mergeCell ref="AI71:AI72"/>
    <mergeCell ref="AJ71:AK72"/>
    <mergeCell ref="AM71:AN72"/>
    <mergeCell ref="AP71:AQ72"/>
    <mergeCell ref="AA76:AA77"/>
    <mergeCell ref="AB76:AC77"/>
    <mergeCell ref="AI77:AI78"/>
    <mergeCell ref="AJ77:AK78"/>
    <mergeCell ref="AA78:AA79"/>
    <mergeCell ref="AB78:AC79"/>
    <mergeCell ref="AI79:AI80"/>
    <mergeCell ref="AJ79:AK80"/>
    <mergeCell ref="AA80:AA81"/>
    <mergeCell ref="AB80:AC81"/>
    <mergeCell ref="AI81:AI82"/>
    <mergeCell ref="AJ81:AK82"/>
    <mergeCell ref="AA82:AA83"/>
    <mergeCell ref="AB82:AC83"/>
    <mergeCell ref="AI83:AI84"/>
    <mergeCell ref="AJ83:AK84"/>
    <mergeCell ref="AA84:AA85"/>
    <mergeCell ref="AB84:AC85"/>
    <mergeCell ref="AI85:AI86"/>
    <mergeCell ref="AJ85:AK86"/>
    <mergeCell ref="AM96:AN97"/>
    <mergeCell ref="AP96:AQ97"/>
    <mergeCell ref="M96:M97"/>
    <mergeCell ref="N96:O97"/>
    <mergeCell ref="R96:R97"/>
    <mergeCell ref="S96:T97"/>
    <mergeCell ref="W96:X97"/>
    <mergeCell ref="AA96:AA97"/>
    <mergeCell ref="AA86:AA87"/>
    <mergeCell ref="AB86:AC87"/>
    <mergeCell ref="AJ87:AK88"/>
    <mergeCell ref="AA88:AA89"/>
    <mergeCell ref="AB88:AC89"/>
    <mergeCell ref="AA98:AA99"/>
    <mergeCell ref="AB98:AC99"/>
    <mergeCell ref="AI98:AI99"/>
    <mergeCell ref="AJ98:AK99"/>
    <mergeCell ref="AI100:AI101"/>
    <mergeCell ref="AJ100:AK101"/>
    <mergeCell ref="AI104:AI105"/>
    <mergeCell ref="AB96:AC97"/>
    <mergeCell ref="AE96:AF97"/>
    <mergeCell ref="AI96:AI97"/>
    <mergeCell ref="AJ96:AK97"/>
    <mergeCell ref="AA116:AA117"/>
    <mergeCell ref="AB116:AC117"/>
    <mergeCell ref="AI116:AI117"/>
    <mergeCell ref="AI108:AI109"/>
    <mergeCell ref="AJ108:AK109"/>
    <mergeCell ref="AI106:AI107"/>
    <mergeCell ref="AA102:AA103"/>
    <mergeCell ref="AB102:AC103"/>
    <mergeCell ref="AA104:AA105"/>
    <mergeCell ref="AB104:AC105"/>
    <mergeCell ref="AJ104:AK105"/>
    <mergeCell ref="AI129:AI130"/>
    <mergeCell ref="AJ129:AK130"/>
    <mergeCell ref="AB125:AC126"/>
    <mergeCell ref="AI125:AI126"/>
    <mergeCell ref="AJ125:AK126"/>
    <mergeCell ref="AM125:AN126"/>
    <mergeCell ref="AP125:AQ126"/>
    <mergeCell ref="AE126:AF127"/>
    <mergeCell ref="M125:M126"/>
    <mergeCell ref="N125:O126"/>
    <mergeCell ref="R125:R126"/>
    <mergeCell ref="S125:T126"/>
    <mergeCell ref="W125:X126"/>
    <mergeCell ref="AA125:AA126"/>
    <mergeCell ref="AA127:AA128"/>
    <mergeCell ref="AB127:AC128"/>
    <mergeCell ref="AI127:AI128"/>
    <mergeCell ref="AA133:AA134"/>
    <mergeCell ref="AB133:AC134"/>
    <mergeCell ref="AT150:AU151"/>
    <mergeCell ref="AA135:AA136"/>
    <mergeCell ref="AB135:AC136"/>
    <mergeCell ref="AT152:AU153"/>
    <mergeCell ref="AT146:AU147"/>
    <mergeCell ref="AA131:AA132"/>
    <mergeCell ref="AB131:AC132"/>
    <mergeCell ref="AI131:AI132"/>
    <mergeCell ref="AJ131:AK132"/>
    <mergeCell ref="AT148:AU149"/>
    <mergeCell ref="AA137:AA138"/>
    <mergeCell ref="AB137:AC138"/>
    <mergeCell ref="AT154:AU155"/>
    <mergeCell ref="AA139:AA140"/>
    <mergeCell ref="AB139:AC140"/>
    <mergeCell ref="AI139:AI140"/>
    <mergeCell ref="AJ139:AK140"/>
    <mergeCell ref="AA141:AA142"/>
    <mergeCell ref="AB141:AC142"/>
    <mergeCell ref="AI141:AI142"/>
    <mergeCell ref="AA149:AA150"/>
    <mergeCell ref="AB149:AC150"/>
    <mergeCell ref="AI149:AI150"/>
    <mergeCell ref="AB151:AC152"/>
    <mergeCell ref="AJ149:AK150"/>
    <mergeCell ref="AB153:AC154"/>
    <mergeCell ref="AJ141:AK142"/>
    <mergeCell ref="AA143:AA144"/>
    <mergeCell ref="AB143:AC144"/>
    <mergeCell ref="AI143:AI144"/>
    <mergeCell ref="AJ143:AK144"/>
    <mergeCell ref="AI153:AI154"/>
    <mergeCell ref="AJ153:AK154"/>
    <mergeCell ref="AJ155:AK156"/>
    <mergeCell ref="AA153:AA154"/>
    <mergeCell ref="AA155:AA156"/>
    <mergeCell ref="AB155:AC156"/>
    <mergeCell ref="AI151:AI152"/>
    <mergeCell ref="AJ151:AK152"/>
    <mergeCell ref="AA151:AA152"/>
    <mergeCell ref="AA145:AA146"/>
    <mergeCell ref="AB145:AC146"/>
    <mergeCell ref="AI145:AI146"/>
    <mergeCell ref="AJ145:AK146"/>
    <mergeCell ref="AA147:AA148"/>
    <mergeCell ref="AB147:AC148"/>
    <mergeCell ref="AI147:AI148"/>
    <mergeCell ref="AJ147:AK148"/>
    <mergeCell ref="AI160:AI161"/>
    <mergeCell ref="R160:R161"/>
    <mergeCell ref="S160:T161"/>
    <mergeCell ref="W160:X161"/>
    <mergeCell ref="AA160:AA161"/>
    <mergeCell ref="AB160:AC161"/>
    <mergeCell ref="AE160:AF161"/>
    <mergeCell ref="AJ169:AK170"/>
    <mergeCell ref="AA170:AA171"/>
    <mergeCell ref="AB170:AC171"/>
    <mergeCell ref="AJ171:AK172"/>
    <mergeCell ref="AA172:AA173"/>
    <mergeCell ref="AB172:AC173"/>
    <mergeCell ref="AI164:AI165"/>
    <mergeCell ref="AJ160:AK161"/>
    <mergeCell ref="AA162:AA163"/>
    <mergeCell ref="AB162:AC163"/>
    <mergeCell ref="AI162:AI163"/>
    <mergeCell ref="AJ162:AK163"/>
    <mergeCell ref="AX148:AY149"/>
    <mergeCell ref="AI173:AI174"/>
    <mergeCell ref="AJ173:AK174"/>
    <mergeCell ref="AA174:AA175"/>
    <mergeCell ref="AB174:AC175"/>
    <mergeCell ref="AI175:AI176"/>
    <mergeCell ref="AJ175:AK176"/>
    <mergeCell ref="AA176:AA177"/>
    <mergeCell ref="AB176:AC177"/>
    <mergeCell ref="AI177:AI178"/>
    <mergeCell ref="AJ177:AK178"/>
    <mergeCell ref="AA178:AA179"/>
    <mergeCell ref="AB178:AC179"/>
    <mergeCell ref="AI179:AI180"/>
    <mergeCell ref="AJ179:AK180"/>
    <mergeCell ref="AA180:AA181"/>
    <mergeCell ref="AI171:AI172"/>
    <mergeCell ref="AX170:AY171"/>
    <mergeCell ref="AJ164:AK165"/>
    <mergeCell ref="AA166:AA167"/>
    <mergeCell ref="AB166:AC167"/>
    <mergeCell ref="AA168:AA169"/>
    <mergeCell ref="AB168:AC169"/>
    <mergeCell ref="AI169:AI170"/>
    <mergeCell ref="AT213:AU214"/>
    <mergeCell ref="AX213:AY214"/>
    <mergeCell ref="AX228:AY229"/>
    <mergeCell ref="AT244:AU245"/>
    <mergeCell ref="AX244:AY245"/>
    <mergeCell ref="AB180:AC181"/>
    <mergeCell ref="AI181:AI182"/>
    <mergeCell ref="AJ181:AK182"/>
    <mergeCell ref="AA182:AA183"/>
    <mergeCell ref="AB182:AC183"/>
    <mergeCell ref="AI183:AI184"/>
    <mergeCell ref="AJ183:AK184"/>
    <mergeCell ref="AA184:AA185"/>
    <mergeCell ref="AB184:AC185"/>
    <mergeCell ref="AA186:AA187"/>
    <mergeCell ref="AB186:AC187"/>
    <mergeCell ref="AX192:AY193"/>
    <mergeCell ref="AA118:AA119"/>
    <mergeCell ref="AB118:AC119"/>
    <mergeCell ref="AA110:AA111"/>
    <mergeCell ref="AB110:AC111"/>
    <mergeCell ref="AX68:AY69"/>
    <mergeCell ref="AX108:AY109"/>
    <mergeCell ref="AJ127:AK128"/>
    <mergeCell ref="AJ114:AK115"/>
    <mergeCell ref="AJ116:AK117"/>
    <mergeCell ref="AI110:AI111"/>
    <mergeCell ref="AJ110:AK111"/>
    <mergeCell ref="AA112:AA113"/>
    <mergeCell ref="AB112:AC113"/>
    <mergeCell ref="AI112:AI113"/>
    <mergeCell ref="AJ112:AK113"/>
    <mergeCell ref="AA106:AA107"/>
    <mergeCell ref="AB106:AC107"/>
    <mergeCell ref="AJ106:AK107"/>
    <mergeCell ref="AA108:AA109"/>
    <mergeCell ref="AB108:AC109"/>
    <mergeCell ref="AX125:AY126"/>
    <mergeCell ref="AA114:AA115"/>
    <mergeCell ref="AB114:AC115"/>
    <mergeCell ref="AI114:AI115"/>
  </mergeCells>
  <pageMargins left="0.04" right="0.09" top="0.16" bottom="0.23" header="0.11" footer="0.11"/>
  <pageSetup paperSize="9" scale="54" fitToHeight="2"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4479-A427-4A85-88B8-96C4DFD97A65}">
  <sheetPr>
    <tabColor rgb="FFFFFF00"/>
  </sheetPr>
  <dimension ref="B1:BS271"/>
  <sheetViews>
    <sheetView tabSelected="1" topLeftCell="AD1" zoomScaleNormal="100" workbookViewId="0">
      <selection activeCell="AO3" sqref="AO3"/>
    </sheetView>
  </sheetViews>
  <sheetFormatPr defaultRowHeight="14.5" x14ac:dyDescent="0.35"/>
  <cols>
    <col min="1" max="1" width="5.08984375" customWidth="1"/>
    <col min="2" max="2" width="3.90625" bestFit="1" customWidth="1"/>
    <col min="3" max="3" width="23.1796875" bestFit="1" customWidth="1"/>
    <col min="4" max="4" width="8.1796875" customWidth="1"/>
    <col min="5" max="5" width="5.6328125" bestFit="1" customWidth="1"/>
    <col min="6" max="6" width="6.6328125" customWidth="1"/>
    <col min="13" max="13" width="3.26953125" customWidth="1"/>
    <col min="14" max="14" width="3.7265625" bestFit="1" customWidth="1"/>
    <col min="15" max="15" width="22.81640625" bestFit="1" customWidth="1"/>
    <col min="17" max="17" width="5.6328125" bestFit="1" customWidth="1"/>
    <col min="18" max="18" width="3.1796875" customWidth="1"/>
    <col min="25" max="25" width="6.54296875" customWidth="1"/>
    <col min="26" max="26" width="3.7265625" bestFit="1" customWidth="1"/>
    <col min="27" max="27" width="22.81640625" bestFit="1" customWidth="1"/>
    <col min="29" max="29" width="5.6328125" bestFit="1" customWidth="1"/>
    <col min="30" max="30" width="3.1796875" customWidth="1"/>
    <col min="31" max="37" width="6.54296875" customWidth="1"/>
    <col min="38" max="38" width="7.36328125" customWidth="1"/>
    <col min="39" max="39" width="4.1796875" customWidth="1"/>
    <col min="40" max="40" width="3.7265625" bestFit="1" customWidth="1"/>
    <col min="41" max="41" width="22.81640625" bestFit="1" customWidth="1"/>
    <col min="42" max="42" width="9.1796875" customWidth="1"/>
    <col min="43" max="43" width="5.6328125" bestFit="1" customWidth="1"/>
    <col min="44" max="44" width="3.1796875" customWidth="1"/>
    <col min="45" max="51" width="6.54296875" customWidth="1"/>
    <col min="52" max="52" width="7.36328125" customWidth="1"/>
    <col min="53" max="54" width="4.1796875" customWidth="1"/>
    <col min="55" max="55" width="4.54296875" customWidth="1"/>
    <col min="56" max="56" width="3.90625" bestFit="1" customWidth="1"/>
    <col min="57" max="57" width="23.1796875" customWidth="1"/>
    <col min="58" max="58" width="8.26953125" customWidth="1"/>
    <col min="59" max="59" width="5.6328125" bestFit="1" customWidth="1"/>
    <col min="61" max="61" width="8.7265625" customWidth="1"/>
    <col min="68" max="68" width="3.90625" bestFit="1" customWidth="1"/>
    <col min="69" max="69" width="23.1796875" customWidth="1"/>
    <col min="70" max="70" width="8.26953125" customWidth="1"/>
    <col min="71" max="71" width="6.36328125" bestFit="1" customWidth="1"/>
  </cols>
  <sheetData>
    <row r="1" spans="2:71" ht="18.5" customHeight="1" x14ac:dyDescent="0.35"/>
    <row r="2" spans="2:71" ht="22" customHeight="1" x14ac:dyDescent="0.35"/>
    <row r="3" spans="2:71" x14ac:dyDescent="0.35">
      <c r="C3" s="800" t="s">
        <v>908</v>
      </c>
      <c r="D3" s="801">
        <v>11300</v>
      </c>
      <c r="F3" s="799">
        <v>26.5</v>
      </c>
      <c r="BE3" t="s">
        <v>938</v>
      </c>
      <c r="BQ3" t="s">
        <v>902</v>
      </c>
    </row>
    <row r="5" spans="2:71" x14ac:dyDescent="0.35">
      <c r="AA5" t="s">
        <v>921</v>
      </c>
      <c r="AB5" s="309">
        <f>'H_Tỷ lệ HH&amp;PS (-PS)'!DS5</f>
        <v>0.96300000000000008</v>
      </c>
      <c r="AO5" s="864" t="s">
        <v>922</v>
      </c>
      <c r="AP5" s="865">
        <v>26.5</v>
      </c>
    </row>
    <row r="6" spans="2:71" ht="22" customHeight="1" x14ac:dyDescent="0.35">
      <c r="B6" s="75" t="s">
        <v>0</v>
      </c>
      <c r="C6" s="75" t="str">
        <f>'H_Tỷ lệ HH&amp;PS (-PS)'!CH6</f>
        <v>Vảy B1_ A1 DT</v>
      </c>
      <c r="D6" s="674" t="s">
        <v>888</v>
      </c>
      <c r="E6" s="674" t="s">
        <v>455</v>
      </c>
      <c r="F6" s="3" t="s">
        <v>392</v>
      </c>
      <c r="G6" s="674"/>
      <c r="H6" s="674"/>
      <c r="I6" s="674"/>
      <c r="J6" s="674"/>
      <c r="K6" s="674"/>
      <c r="N6" s="75" t="s">
        <v>0</v>
      </c>
      <c r="O6" s="75" t="str">
        <f>C6</f>
        <v>Vảy B1_ A1 DT</v>
      </c>
      <c r="P6" s="674" t="s">
        <v>888</v>
      </c>
      <c r="Q6" s="674" t="s">
        <v>455</v>
      </c>
      <c r="Z6" s="75" t="s">
        <v>0</v>
      </c>
      <c r="AA6" s="75" t="str">
        <f>BE6</f>
        <v>Hạt rPET iSS01084G</v>
      </c>
      <c r="AB6" s="674" t="s">
        <v>888</v>
      </c>
      <c r="AC6" s="674" t="s">
        <v>455</v>
      </c>
      <c r="AN6" s="75" t="s">
        <v>0</v>
      </c>
      <c r="AO6" s="75" t="str">
        <f>BE6</f>
        <v>Hạt rPET iSS01084G</v>
      </c>
      <c r="AP6" s="674" t="s">
        <v>888</v>
      </c>
      <c r="AQ6" s="674" t="s">
        <v>455</v>
      </c>
      <c r="BD6" s="2" t="s">
        <v>0</v>
      </c>
      <c r="BE6" s="2" t="str">
        <f>'H_Tỷ lệ HH&amp;PS (-PS)'!DR6</f>
        <v>Hạt rPET iSS01084G</v>
      </c>
      <c r="BF6" s="674" t="s">
        <v>888</v>
      </c>
      <c r="BG6" s="674" t="s">
        <v>455</v>
      </c>
      <c r="BP6" s="2" t="s">
        <v>0</v>
      </c>
      <c r="BQ6" s="2" t="str">
        <f>BE6</f>
        <v>Hạt rPET iSS01084G</v>
      </c>
      <c r="BR6" s="674" t="s">
        <v>888</v>
      </c>
      <c r="BS6" s="674" t="s">
        <v>455</v>
      </c>
    </row>
    <row r="7" spans="2:71" ht="22" customHeight="1" x14ac:dyDescent="0.35">
      <c r="B7" s="3">
        <v>1</v>
      </c>
      <c r="C7" s="5" t="s">
        <v>889</v>
      </c>
      <c r="D7" s="790">
        <f>'H_Tỷ lệ HH&amp;PS (-PS)'!$CL$6</f>
        <v>15239.822067011435</v>
      </c>
      <c r="E7" s="110">
        <f>D7/$D$14</f>
        <v>0.6482312925085435</v>
      </c>
      <c r="F7" s="109">
        <f t="shared" ref="F7:F14" si="0">D7/$F$44</f>
        <v>575.08762517024286</v>
      </c>
      <c r="G7" s="110"/>
      <c r="H7" s="110"/>
      <c r="I7" s="110"/>
      <c r="J7" s="110"/>
      <c r="K7" s="110"/>
      <c r="N7" s="3">
        <v>1</v>
      </c>
      <c r="O7" s="5" t="s">
        <v>889</v>
      </c>
      <c r="P7" s="790">
        <f>F7</f>
        <v>575.08762517024286</v>
      </c>
      <c r="Q7" s="110">
        <f>P7/$P$14</f>
        <v>0.64823129250854361</v>
      </c>
      <c r="Z7" s="3">
        <v>1</v>
      </c>
      <c r="AA7" s="5" t="s">
        <v>889</v>
      </c>
      <c r="AB7" s="790">
        <f>'H_Tỷ lệ HH&amp;PS (-PS)'!$DC$6/$AB$5</f>
        <v>15825.360401881033</v>
      </c>
      <c r="AC7" s="110">
        <f>AB7/$AB$15</f>
        <v>0.55675527403145586</v>
      </c>
      <c r="AN7" s="3">
        <v>1</v>
      </c>
      <c r="AO7" s="5" t="s">
        <v>889</v>
      </c>
      <c r="AP7" s="790">
        <f>AB7/$AP$5</f>
        <v>597.18341139173708</v>
      </c>
      <c r="AQ7" s="110">
        <f>AP7/$AP$15</f>
        <v>0.55675527403145586</v>
      </c>
      <c r="BD7" s="3">
        <v>1</v>
      </c>
      <c r="BE7" s="5" t="s">
        <v>889</v>
      </c>
      <c r="BF7" s="790">
        <f>'H_Tỷ lệ HH&amp;PS (-PS)'!FB6</f>
        <v>597.18341139173708</v>
      </c>
      <c r="BG7" s="301">
        <f t="shared" ref="BG7:BG14" si="1">BF7/$BF$14</f>
        <v>0.45495742466899625</v>
      </c>
      <c r="BP7" s="3">
        <v>1</v>
      </c>
      <c r="BQ7" s="5" t="s">
        <v>889</v>
      </c>
      <c r="BR7" s="790">
        <f>BF7</f>
        <v>597.18341139173708</v>
      </c>
      <c r="BS7" s="301">
        <f t="shared" ref="BS7:BS13" si="2">BR7/$BR$14</f>
        <v>0.40624721863383473</v>
      </c>
    </row>
    <row r="8" spans="2:71" ht="22" customHeight="1" x14ac:dyDescent="0.35">
      <c r="B8" s="3">
        <f>B7+1</f>
        <v>2</v>
      </c>
      <c r="C8" s="5" t="s">
        <v>891</v>
      </c>
      <c r="D8" s="790">
        <f>SUM('H_Tỷ lệ HH&amp;PS (-PS)'!$CR$6)</f>
        <v>2123.8170112219323</v>
      </c>
      <c r="E8" s="110">
        <f t="shared" ref="E8:E13" si="3">D8/$D$14</f>
        <v>9.0337317600060668E-2</v>
      </c>
      <c r="F8" s="109">
        <f t="shared" si="0"/>
        <v>80.1440381593182</v>
      </c>
      <c r="G8" s="110"/>
      <c r="H8" s="110"/>
      <c r="I8" s="110"/>
      <c r="J8" s="110"/>
      <c r="K8" s="110"/>
      <c r="N8" s="3">
        <f>N7+1</f>
        <v>2</v>
      </c>
      <c r="O8" s="5" t="s">
        <v>891</v>
      </c>
      <c r="P8" s="790">
        <f t="shared" ref="P8:P13" si="4">F8</f>
        <v>80.1440381593182</v>
      </c>
      <c r="Q8" s="110">
        <f t="shared" ref="Q8:Q14" si="5">P8/$P$14</f>
        <v>9.0337317600060668E-2</v>
      </c>
      <c r="Z8" s="3">
        <f>Z7+1</f>
        <v>2</v>
      </c>
      <c r="AA8" s="5" t="s">
        <v>891</v>
      </c>
      <c r="AB8" s="790">
        <f>'H_Tỷ lệ HH&amp;PS (-PS)'!$DI$6/$AB$5</f>
        <v>2205.4174571359626</v>
      </c>
      <c r="AC8" s="110">
        <f t="shared" ref="AC8:AC15" si="6">AB8/$AB$15</f>
        <v>7.758924722848913E-2</v>
      </c>
      <c r="AN8" s="3">
        <f>AN7+1</f>
        <v>2</v>
      </c>
      <c r="AO8" s="5" t="s">
        <v>891</v>
      </c>
      <c r="AP8" s="790">
        <f t="shared" ref="AP8:AP14" si="7">AB8/$AP$5</f>
        <v>83.223300269281609</v>
      </c>
      <c r="AQ8" s="110">
        <f t="shared" ref="AQ8:AQ15" si="8">AP8/$AP$15</f>
        <v>7.7589247228489117E-2</v>
      </c>
      <c r="BD8" s="3">
        <f>BD7+1</f>
        <v>2</v>
      </c>
      <c r="BE8" s="5" t="s">
        <v>890</v>
      </c>
      <c r="BF8" s="790">
        <f>'H_Tỷ lệ HH&amp;PS (-PS)'!FD6</f>
        <v>444.04791320121774</v>
      </c>
      <c r="BG8" s="301">
        <f t="shared" si="1"/>
        <v>0.33829287814417563</v>
      </c>
      <c r="BP8" s="3">
        <f>BP7+1</f>
        <v>2</v>
      </c>
      <c r="BQ8" s="5" t="s">
        <v>890</v>
      </c>
      <c r="BR8" s="790">
        <f t="shared" ref="BR8:BR10" si="9">BF8</f>
        <v>444.04791320121774</v>
      </c>
      <c r="BS8" s="301">
        <f t="shared" si="2"/>
        <v>0.30207341034096447</v>
      </c>
    </row>
    <row r="9" spans="2:71" ht="22" customHeight="1" x14ac:dyDescent="0.35">
      <c r="B9" s="3">
        <f t="shared" ref="B9:B14" si="10">B8+1</f>
        <v>3</v>
      </c>
      <c r="C9" s="5" t="s">
        <v>904</v>
      </c>
      <c r="D9" s="790">
        <f>SUM('H_Tỷ lệ HH&amp;PS (-PS)'!$CM$6)</f>
        <v>3874.5310339859575</v>
      </c>
      <c r="E9" s="110">
        <f t="shared" si="3"/>
        <v>0.16480456589200257</v>
      </c>
      <c r="F9" s="109">
        <f t="shared" si="0"/>
        <v>146.20871826362105</v>
      </c>
      <c r="G9" s="110"/>
      <c r="H9" s="110"/>
      <c r="I9" s="110"/>
      <c r="J9" s="110"/>
      <c r="K9" s="110"/>
      <c r="N9" s="3">
        <f t="shared" ref="N9:N14" si="11">N8+1</f>
        <v>3</v>
      </c>
      <c r="O9" s="5" t="s">
        <v>904</v>
      </c>
      <c r="P9" s="790">
        <f t="shared" si="4"/>
        <v>146.20871826362105</v>
      </c>
      <c r="Q9" s="110">
        <f t="shared" si="5"/>
        <v>0.1648045658920026</v>
      </c>
      <c r="Z9" s="3">
        <f t="shared" ref="Z9:Z15" si="12">Z8+1</f>
        <v>3</v>
      </c>
      <c r="AA9" s="5" t="s">
        <v>904</v>
      </c>
      <c r="AB9" s="790">
        <f>'H_Tỷ lệ HH&amp;PS (-PS)'!$DD$6/$AB$5</f>
        <v>4023.3967123426346</v>
      </c>
      <c r="AC9" s="110">
        <f t="shared" si="6"/>
        <v>0.14154795102494638</v>
      </c>
      <c r="AN9" s="3">
        <f t="shared" ref="AN9:AN15" si="13">AN8+1</f>
        <v>3</v>
      </c>
      <c r="AO9" s="5" t="s">
        <v>904</v>
      </c>
      <c r="AP9" s="790">
        <f t="shared" si="7"/>
        <v>151.82629103179752</v>
      </c>
      <c r="AQ9" s="110">
        <f t="shared" si="8"/>
        <v>0.14154795102494636</v>
      </c>
      <c r="BD9" s="3">
        <f t="shared" ref="BD9:BD14" si="14">BD8+1</f>
        <v>3</v>
      </c>
      <c r="BE9" s="5" t="s">
        <v>891</v>
      </c>
      <c r="BF9" s="790">
        <f>'H_Tỷ lệ HH&amp;PS (-PS)'!FC6</f>
        <v>31.382513561719055</v>
      </c>
      <c r="BG9" s="301">
        <f t="shared" si="1"/>
        <v>2.3908412854947401E-2</v>
      </c>
      <c r="BP9" s="3">
        <f t="shared" ref="BP9:BP14" si="15">BP8+1</f>
        <v>3</v>
      </c>
      <c r="BQ9" s="5" t="s">
        <v>891</v>
      </c>
      <c r="BR9" s="790">
        <f t="shared" si="9"/>
        <v>31.382513561719055</v>
      </c>
      <c r="BS9" s="301">
        <f t="shared" si="2"/>
        <v>2.1348648681441533E-2</v>
      </c>
    </row>
    <row r="10" spans="2:71" ht="22" customHeight="1" x14ac:dyDescent="0.35">
      <c r="B10" s="3">
        <f t="shared" si="10"/>
        <v>4</v>
      </c>
      <c r="C10" s="5" t="s">
        <v>905</v>
      </c>
      <c r="D10" s="790">
        <f>SUM('H_Tỷ lệ HH&amp;PS (-PS)'!$CN$6)</f>
        <v>2010.8731903888172</v>
      </c>
      <c r="E10" s="110">
        <f t="shared" si="3"/>
        <v>8.5533211709744261E-2</v>
      </c>
      <c r="F10" s="109">
        <f t="shared" si="0"/>
        <v>75.882007184483669</v>
      </c>
      <c r="G10" s="110"/>
      <c r="H10" s="110"/>
      <c r="I10" s="110"/>
      <c r="J10" s="110"/>
      <c r="K10" s="110"/>
      <c r="N10" s="3">
        <f t="shared" si="11"/>
        <v>4</v>
      </c>
      <c r="O10" s="5" t="s">
        <v>905</v>
      </c>
      <c r="P10" s="790">
        <f t="shared" si="4"/>
        <v>75.882007184483669</v>
      </c>
      <c r="Q10" s="110">
        <f t="shared" si="5"/>
        <v>8.5533211709744261E-2</v>
      </c>
      <c r="Z10" s="3">
        <f t="shared" si="12"/>
        <v>4</v>
      </c>
      <c r="AA10" s="5" t="s">
        <v>905</v>
      </c>
      <c r="AB10" s="790">
        <f>'H_Tỷ lệ HH&amp;PS (-PS)'!$DE$6/$AB$5</f>
        <v>2088.1341540901526</v>
      </c>
      <c r="AC10" s="110">
        <f t="shared" si="6"/>
        <v>7.3463079111722396E-2</v>
      </c>
      <c r="AN10" s="3">
        <f t="shared" si="13"/>
        <v>4</v>
      </c>
      <c r="AO10" s="5" t="s">
        <v>905</v>
      </c>
      <c r="AP10" s="790">
        <f t="shared" si="7"/>
        <v>78.797515248685002</v>
      </c>
      <c r="AQ10" s="110">
        <f t="shared" si="8"/>
        <v>7.3463079111722382E-2</v>
      </c>
      <c r="BD10" s="3">
        <f t="shared" si="14"/>
        <v>4</v>
      </c>
      <c r="BE10" s="5" t="s">
        <v>892</v>
      </c>
      <c r="BF10" s="790">
        <f>'H_Tỷ lệ HH&amp;PS (-PS)'!FE6</f>
        <v>140</v>
      </c>
      <c r="BG10" s="301">
        <f t="shared" si="1"/>
        <v>0.10665741586026375</v>
      </c>
      <c r="BP10" s="3">
        <f t="shared" si="15"/>
        <v>4</v>
      </c>
      <c r="BQ10" s="5" t="s">
        <v>892</v>
      </c>
      <c r="BR10" s="790">
        <f t="shared" si="9"/>
        <v>140</v>
      </c>
      <c r="BS10" s="301">
        <f t="shared" si="2"/>
        <v>9.5238095238095233E-2</v>
      </c>
    </row>
    <row r="11" spans="2:71" ht="22" customHeight="1" x14ac:dyDescent="0.35">
      <c r="B11" s="3">
        <f t="shared" si="10"/>
        <v>5</v>
      </c>
      <c r="C11" s="5" t="s">
        <v>906</v>
      </c>
      <c r="D11" s="790">
        <f>SUM('H_Tỷ lệ HH&amp;PS (-PS)'!$CO$6)</f>
        <v>1273.8558498087386</v>
      </c>
      <c r="E11" s="110">
        <f t="shared" si="3"/>
        <v>5.4183915032612967E-2</v>
      </c>
      <c r="F11" s="109">
        <f t="shared" si="0"/>
        <v>48.070032068254285</v>
      </c>
      <c r="G11" s="110"/>
      <c r="H11" s="110"/>
      <c r="I11" s="110"/>
      <c r="J11" s="110"/>
      <c r="K11" s="110"/>
      <c r="N11" s="3">
        <f t="shared" si="11"/>
        <v>5</v>
      </c>
      <c r="O11" s="5" t="s">
        <v>906</v>
      </c>
      <c r="P11" s="790">
        <f t="shared" si="4"/>
        <v>48.070032068254285</v>
      </c>
      <c r="Q11" s="110">
        <f t="shared" si="5"/>
        <v>5.4183915032612967E-2</v>
      </c>
      <c r="Z11" s="3">
        <f t="shared" si="12"/>
        <v>5</v>
      </c>
      <c r="AA11" s="5" t="s">
        <v>906</v>
      </c>
      <c r="AB11" s="790">
        <f>'H_Tỷ lệ HH&amp;PS (-PS)'!$DF$6/$AB$5</f>
        <v>1322.7994286695105</v>
      </c>
      <c r="AC11" s="110">
        <f t="shared" si="6"/>
        <v>4.6537680008223239E-2</v>
      </c>
      <c r="AN11" s="3">
        <f t="shared" si="13"/>
        <v>5</v>
      </c>
      <c r="AO11" s="5" t="s">
        <v>906</v>
      </c>
      <c r="AP11" s="790">
        <f t="shared" si="7"/>
        <v>49.916959572434358</v>
      </c>
      <c r="AQ11" s="110">
        <f t="shared" si="8"/>
        <v>4.6537680008223233E-2</v>
      </c>
      <c r="BD11" s="3">
        <f t="shared" si="14"/>
        <v>5</v>
      </c>
      <c r="BE11" s="5" t="s">
        <v>895</v>
      </c>
      <c r="BF11" s="790">
        <f>'H_Tỷ lệ HH&amp;PS (-PS)'!FF6</f>
        <v>100</v>
      </c>
      <c r="BG11" s="301">
        <f t="shared" si="1"/>
        <v>7.618386847161697E-2</v>
      </c>
      <c r="BP11" s="3">
        <f t="shared" si="15"/>
        <v>5</v>
      </c>
      <c r="BQ11" s="5" t="s">
        <v>895</v>
      </c>
      <c r="BR11" s="790">
        <f>BR14-SUM(BR7:BR10)</f>
        <v>257.38616184532611</v>
      </c>
      <c r="BS11" s="301">
        <f t="shared" si="2"/>
        <v>0.17509262710566403</v>
      </c>
    </row>
    <row r="12" spans="2:71" ht="22" customHeight="1" x14ac:dyDescent="0.35">
      <c r="B12" s="3">
        <f t="shared" si="10"/>
        <v>6</v>
      </c>
      <c r="C12" s="5" t="s">
        <v>907</v>
      </c>
      <c r="D12" s="790">
        <f>SUM('H_Tỷ lệ HH&amp;PS (-PS)'!$CP$6:$CQ$6)</f>
        <v>-1013.0466612852859</v>
      </c>
      <c r="E12" s="110">
        <f t="shared" si="3"/>
        <v>-4.3090302742963965E-2</v>
      </c>
      <c r="F12" s="109">
        <f t="shared" si="0"/>
        <v>-38.228175897557961</v>
      </c>
      <c r="G12" s="110"/>
      <c r="H12" s="110"/>
      <c r="I12" s="110"/>
      <c r="J12" s="110"/>
      <c r="K12" s="110"/>
      <c r="N12" s="3">
        <f t="shared" si="11"/>
        <v>6</v>
      </c>
      <c r="O12" s="5" t="s">
        <v>907</v>
      </c>
      <c r="P12" s="790">
        <f t="shared" si="4"/>
        <v>-38.228175897557961</v>
      </c>
      <c r="Q12" s="110">
        <f t="shared" si="5"/>
        <v>-4.3090302742963965E-2</v>
      </c>
      <c r="Z12" s="3">
        <f t="shared" si="12"/>
        <v>6</v>
      </c>
      <c r="AA12" s="5" t="s">
        <v>919</v>
      </c>
      <c r="AB12" s="790">
        <f>'H_Tỷ lệ HH&amp;PS (-PS)'!$EB$6</f>
        <v>2000.939404729972</v>
      </c>
      <c r="AC12" s="110">
        <f t="shared" si="6"/>
        <v>7.0395462618870766E-2</v>
      </c>
      <c r="AN12" s="3">
        <f t="shared" si="13"/>
        <v>6</v>
      </c>
      <c r="AO12" s="5" t="s">
        <v>919</v>
      </c>
      <c r="AP12" s="790">
        <f t="shared" si="7"/>
        <v>75.507147348300833</v>
      </c>
      <c r="AQ12" s="110">
        <f t="shared" si="8"/>
        <v>7.0395462618870752E-2</v>
      </c>
      <c r="BD12" s="3">
        <f t="shared" si="14"/>
        <v>6</v>
      </c>
      <c r="BE12" s="5" t="s">
        <v>893</v>
      </c>
      <c r="BF12" s="790">
        <f>BF11*20%</f>
        <v>20</v>
      </c>
      <c r="BG12" s="301">
        <f t="shared" si="1"/>
        <v>1.5236773694323394E-2</v>
      </c>
      <c r="BP12" s="3">
        <f t="shared" si="15"/>
        <v>6</v>
      </c>
      <c r="BQ12" s="5" t="s">
        <v>893</v>
      </c>
      <c r="BR12" s="790">
        <f>BR11*20%</f>
        <v>51.477232369065227</v>
      </c>
      <c r="BS12" s="301">
        <f t="shared" si="2"/>
        <v>3.5018525421132811E-2</v>
      </c>
    </row>
    <row r="13" spans="2:71" ht="22" customHeight="1" x14ac:dyDescent="0.35">
      <c r="B13" s="3">
        <f t="shared" si="10"/>
        <v>7</v>
      </c>
      <c r="C13" s="5"/>
      <c r="D13" s="790"/>
      <c r="E13" s="110">
        <f t="shared" si="3"/>
        <v>0</v>
      </c>
      <c r="F13" s="109">
        <f t="shared" si="0"/>
        <v>0</v>
      </c>
      <c r="G13" s="110"/>
      <c r="H13" s="110"/>
      <c r="I13" s="110"/>
      <c r="J13" s="110"/>
      <c r="K13" s="110"/>
      <c r="N13" s="3">
        <f t="shared" si="11"/>
        <v>7</v>
      </c>
      <c r="O13" s="5"/>
      <c r="P13" s="790">
        <f t="shared" si="4"/>
        <v>0</v>
      </c>
      <c r="Q13" s="110">
        <f t="shared" si="5"/>
        <v>0</v>
      </c>
      <c r="Z13" s="3">
        <f t="shared" si="12"/>
        <v>7</v>
      </c>
      <c r="AA13" s="5" t="s">
        <v>920</v>
      </c>
      <c r="AB13" s="790">
        <f>SUM('H_Tỷ lệ HH&amp;PS (-PS)'!$EC$6:$ED$6)</f>
        <v>2332</v>
      </c>
      <c r="AC13" s="110">
        <f t="shared" si="6"/>
        <v>8.2042573822649276E-2</v>
      </c>
      <c r="AN13" s="3">
        <f t="shared" si="13"/>
        <v>7</v>
      </c>
      <c r="AO13" s="5" t="s">
        <v>920</v>
      </c>
      <c r="AP13" s="790">
        <f t="shared" si="7"/>
        <v>88</v>
      </c>
      <c r="AQ13" s="110">
        <f t="shared" si="8"/>
        <v>8.2042573822649262E-2</v>
      </c>
      <c r="BD13" s="3">
        <f t="shared" si="14"/>
        <v>7</v>
      </c>
      <c r="BE13" s="5" t="s">
        <v>894</v>
      </c>
      <c r="BF13" s="790">
        <f>BF11-BF12</f>
        <v>80</v>
      </c>
      <c r="BG13" s="301">
        <f t="shared" si="1"/>
        <v>6.0947094777293577E-2</v>
      </c>
      <c r="BP13" s="3">
        <f t="shared" si="15"/>
        <v>7</v>
      </c>
      <c r="BQ13" s="5" t="s">
        <v>894</v>
      </c>
      <c r="BR13" s="790">
        <f>BR11-BR12</f>
        <v>205.90892947626088</v>
      </c>
      <c r="BS13" s="301">
        <f t="shared" si="2"/>
        <v>0.14007410168453122</v>
      </c>
    </row>
    <row r="14" spans="2:71" ht="22" customHeight="1" x14ac:dyDescent="0.35">
      <c r="B14" s="3">
        <f t="shared" si="10"/>
        <v>8</v>
      </c>
      <c r="C14" s="75" t="s">
        <v>449</v>
      </c>
      <c r="D14" s="200">
        <f>SUM(D7:D13)</f>
        <v>23509.852491131594</v>
      </c>
      <c r="E14" s="793">
        <f>D14/$D$14</f>
        <v>1</v>
      </c>
      <c r="F14" s="200">
        <f t="shared" si="0"/>
        <v>887.16424494836201</v>
      </c>
      <c r="G14" s="793"/>
      <c r="H14" s="793"/>
      <c r="I14" s="793"/>
      <c r="J14" s="793"/>
      <c r="K14" s="793"/>
      <c r="N14" s="3">
        <f t="shared" si="11"/>
        <v>8</v>
      </c>
      <c r="O14" s="75" t="s">
        <v>449</v>
      </c>
      <c r="P14" s="200">
        <f>SUM(P7:P13)</f>
        <v>887.16424494836201</v>
      </c>
      <c r="Q14" s="793">
        <f t="shared" si="5"/>
        <v>1</v>
      </c>
      <c r="Z14" s="3">
        <f t="shared" si="12"/>
        <v>8</v>
      </c>
      <c r="AA14" s="5" t="s">
        <v>907</v>
      </c>
      <c r="AB14" s="862">
        <f>SUM('H_Tỷ lệ HH&amp;PS (-PS)'!$DX$6:$DZ$6)</f>
        <v>-1373.7808477504077</v>
      </c>
      <c r="AC14" s="863">
        <f t="shared" si="6"/>
        <v>-4.8331267846357003E-2</v>
      </c>
      <c r="AN14" s="3">
        <f t="shared" si="13"/>
        <v>8</v>
      </c>
      <c r="AO14" s="5" t="s">
        <v>907</v>
      </c>
      <c r="AP14" s="862">
        <f t="shared" si="7"/>
        <v>-51.840786707562557</v>
      </c>
      <c r="AQ14" s="863">
        <f t="shared" si="8"/>
        <v>-4.8331267846356996E-2</v>
      </c>
      <c r="BD14" s="3">
        <f t="shared" si="14"/>
        <v>8</v>
      </c>
      <c r="BE14" s="75" t="s">
        <v>896</v>
      </c>
      <c r="BF14" s="200">
        <f>'H_Tỷ lệ HH&amp;PS (-PS)'!FG6</f>
        <v>1312.6138381546739</v>
      </c>
      <c r="BG14" s="793">
        <f t="shared" si="1"/>
        <v>1</v>
      </c>
      <c r="BP14" s="3">
        <f t="shared" si="15"/>
        <v>8</v>
      </c>
      <c r="BQ14" s="75" t="s">
        <v>896</v>
      </c>
      <c r="BR14" s="200">
        <f>'H_Tỷ lệ HH&amp;PS (-PS)'!FS6</f>
        <v>1470</v>
      </c>
      <c r="BS14" s="793">
        <f>BR14/$BR$14</f>
        <v>1</v>
      </c>
    </row>
    <row r="15" spans="2:71" x14ac:dyDescent="0.35">
      <c r="Z15" s="3">
        <f t="shared" si="12"/>
        <v>9</v>
      </c>
      <c r="AA15" s="75" t="s">
        <v>918</v>
      </c>
      <c r="AB15" s="200">
        <f>SUM(AB7:AB14)</f>
        <v>28424.266711098855</v>
      </c>
      <c r="AC15" s="793">
        <f t="shared" si="6"/>
        <v>1</v>
      </c>
      <c r="AN15" s="3">
        <f t="shared" si="13"/>
        <v>9</v>
      </c>
      <c r="AO15" s="75" t="s">
        <v>918</v>
      </c>
      <c r="AP15" s="200">
        <f>SUM(AP7:AP14)</f>
        <v>1072.6138381546739</v>
      </c>
      <c r="AQ15" s="793">
        <f t="shared" si="8"/>
        <v>1</v>
      </c>
      <c r="BF15" s="316"/>
      <c r="BR15" s="316"/>
    </row>
    <row r="43" spans="2:71" x14ac:dyDescent="0.35">
      <c r="AB43" s="864">
        <f>$AB$9/(SUM($AB$9:$AB$11))</f>
        <v>0.54119154686915505</v>
      </c>
      <c r="AP43" s="864">
        <f>$AP$9/(SUM($AP$9:$AP$11))</f>
        <v>0.54119154686915505</v>
      </c>
    </row>
    <row r="44" spans="2:71" x14ac:dyDescent="0.35">
      <c r="F44" s="866">
        <v>26.5</v>
      </c>
      <c r="AB44" s="864">
        <f>$AB$10/(SUM($AB$9:$AB$11))</f>
        <v>0.2808772372497097</v>
      </c>
      <c r="AP44" s="864">
        <f>$AP$10/(SUM($AP$9:$AP$11))</f>
        <v>0.28087723724970975</v>
      </c>
    </row>
    <row r="45" spans="2:71" x14ac:dyDescent="0.35">
      <c r="B45" s="75" t="s">
        <v>0</v>
      </c>
      <c r="C45" s="75" t="str">
        <f>'H_Tỷ lệ HH&amp;PS (-PS)'!CH8</f>
        <v>Vảy B2.2 _ A1 DT</v>
      </c>
      <c r="D45" s="674" t="s">
        <v>888</v>
      </c>
      <c r="E45" s="674" t="s">
        <v>455</v>
      </c>
      <c r="F45" s="3" t="s">
        <v>392</v>
      </c>
      <c r="N45" s="75" t="s">
        <v>0</v>
      </c>
      <c r="O45" s="75" t="str">
        <f>C45</f>
        <v>Vảy B2.2 _ A1 DT</v>
      </c>
      <c r="P45" s="674" t="s">
        <v>888</v>
      </c>
      <c r="Q45" s="674" t="s">
        <v>455</v>
      </c>
      <c r="AB45" s="864">
        <f>$AB$11/(SUM($AB$9:$AB$11))</f>
        <v>0.1779312158811352</v>
      </c>
      <c r="AO45" s="864" t="s">
        <v>922</v>
      </c>
      <c r="AP45" s="865">
        <v>26.5</v>
      </c>
      <c r="BD45" s="75" t="s">
        <v>0</v>
      </c>
      <c r="BE45" s="75" t="str">
        <f>'H_Tỷ lệ HH&amp;PS (-PS)'!DR8</f>
        <v>Hạt rPET iSS01G</v>
      </c>
      <c r="BF45" s="674" t="s">
        <v>888</v>
      </c>
      <c r="BG45" s="674" t="s">
        <v>455</v>
      </c>
      <c r="BP45" s="75" t="s">
        <v>0</v>
      </c>
      <c r="BQ45" s="75" t="str">
        <f>BE45</f>
        <v>Hạt rPET iSS01G</v>
      </c>
      <c r="BR45" s="674" t="s">
        <v>888</v>
      </c>
      <c r="BS45" s="674" t="s">
        <v>455</v>
      </c>
    </row>
    <row r="46" spans="2:71" x14ac:dyDescent="0.35">
      <c r="B46" s="3">
        <v>1</v>
      </c>
      <c r="C46" s="5" t="s">
        <v>889</v>
      </c>
      <c r="D46" s="790">
        <f>'H_Tỷ lệ HH&amp;PS (-PS)'!$CL$8</f>
        <v>13079.217291965209</v>
      </c>
      <c r="E46" s="110">
        <f>D46/$D$53</f>
        <v>0.63090341727506505</v>
      </c>
      <c r="F46" s="109">
        <f t="shared" ref="F46:F53" si="16">D46/$F$44</f>
        <v>493.55536950812109</v>
      </c>
      <c r="N46" s="3">
        <v>1</v>
      </c>
      <c r="O46" s="5" t="s">
        <v>889</v>
      </c>
      <c r="P46" s="790">
        <f>F46</f>
        <v>493.55536950812109</v>
      </c>
      <c r="Q46" s="110">
        <f>P46/$P$53</f>
        <v>0.63090341727506516</v>
      </c>
      <c r="Z46" s="75" t="s">
        <v>0</v>
      </c>
      <c r="AA46" s="75" t="str">
        <f>BE45</f>
        <v>Hạt rPET iSS01G</v>
      </c>
      <c r="AB46" s="674" t="s">
        <v>888</v>
      </c>
      <c r="AC46" s="674" t="s">
        <v>455</v>
      </c>
      <c r="AN46" s="75" t="s">
        <v>0</v>
      </c>
      <c r="AO46" s="75" t="str">
        <f>BE45</f>
        <v>Hạt rPET iSS01G</v>
      </c>
      <c r="AP46" s="674" t="s">
        <v>888</v>
      </c>
      <c r="AQ46" s="674" t="s">
        <v>455</v>
      </c>
      <c r="BD46" s="3">
        <v>1</v>
      </c>
      <c r="BE46" s="5" t="s">
        <v>889</v>
      </c>
      <c r="BF46" s="790">
        <f>'H_Tỷ lệ HH&amp;PS (-PS)'!FB8</f>
        <v>584.25002356238429</v>
      </c>
      <c r="BG46" s="110">
        <f t="shared" ref="BG46:BG52" si="17">BF46/$BF$53</f>
        <v>0.46271291185594887</v>
      </c>
      <c r="BP46" s="3">
        <v>1</v>
      </c>
      <c r="BQ46" s="5" t="s">
        <v>889</v>
      </c>
      <c r="BR46" s="790">
        <f>BF46</f>
        <v>584.25002356238429</v>
      </c>
      <c r="BS46" s="301">
        <f t="shared" ref="BS46:BS52" si="18">BR46/$BR$53</f>
        <v>0.41436171883857043</v>
      </c>
    </row>
    <row r="47" spans="2:71" x14ac:dyDescent="0.35">
      <c r="B47" s="3">
        <f>B46+1</f>
        <v>2</v>
      </c>
      <c r="C47" s="5" t="s">
        <v>891</v>
      </c>
      <c r="D47" s="790">
        <f>SUM('H_Tỷ lệ HH&amp;PS (-PS)'!$CR$8)</f>
        <v>1822.7157808011777</v>
      </c>
      <c r="E47" s="110">
        <f t="shared" ref="E47:E53" si="19">D47/$D$53</f>
        <v>8.792251012872844E-2</v>
      </c>
      <c r="F47" s="109">
        <f t="shared" si="16"/>
        <v>68.781727577402933</v>
      </c>
      <c r="N47" s="3">
        <f>N46+1</f>
        <v>2</v>
      </c>
      <c r="O47" s="5" t="s">
        <v>891</v>
      </c>
      <c r="P47" s="790">
        <f t="shared" ref="P47:P52" si="20">F47</f>
        <v>68.781727577402933</v>
      </c>
      <c r="Q47" s="110">
        <f t="shared" ref="Q47:Q53" si="21">P47/$P$53</f>
        <v>8.7922510128728468E-2</v>
      </c>
      <c r="Z47" s="3">
        <v>1</v>
      </c>
      <c r="AA47" s="5" t="s">
        <v>889</v>
      </c>
      <c r="AB47" s="790">
        <f>'H_Tỷ lệ HH&amp;PS (-PS)'!$DV$8</f>
        <v>15482.625624403183</v>
      </c>
      <c r="AC47" s="110">
        <f>AB47/$AB$55</f>
        <v>0.55502146761814408</v>
      </c>
      <c r="AN47" s="3">
        <v>1</v>
      </c>
      <c r="AO47" s="5" t="s">
        <v>889</v>
      </c>
      <c r="AP47" s="790">
        <f>AB47/$AP$5</f>
        <v>584.25002356238429</v>
      </c>
      <c r="AQ47" s="110">
        <f>AP47/$AP$55</f>
        <v>0.55502146761814419</v>
      </c>
      <c r="BD47" s="3">
        <f>BD46+1</f>
        <v>2</v>
      </c>
      <c r="BE47" s="5" t="s">
        <v>890</v>
      </c>
      <c r="BF47" s="790">
        <f>'H_Tỷ lệ HH&amp;PS (-PS)'!FD8</f>
        <v>437.97215413372527</v>
      </c>
      <c r="BG47" s="110">
        <f t="shared" si="17"/>
        <v>0.34686412080118573</v>
      </c>
      <c r="BP47" s="3">
        <f>BP46+1</f>
        <v>2</v>
      </c>
      <c r="BQ47" s="5" t="s">
        <v>890</v>
      </c>
      <c r="BR47" s="790">
        <f t="shared" ref="BR47:BR49" si="22">BF47</f>
        <v>437.97215413372527</v>
      </c>
      <c r="BS47" s="301">
        <f t="shared" si="18"/>
        <v>0.31061854903101083</v>
      </c>
    </row>
    <row r="48" spans="2:71" x14ac:dyDescent="0.35">
      <c r="B48" s="3">
        <f t="shared" ref="B48:B53" si="23">B47+1</f>
        <v>3</v>
      </c>
      <c r="C48" s="5" t="s">
        <v>904</v>
      </c>
      <c r="D48" s="790">
        <f>SUM('H_Tỷ lệ HH&amp;PS (-PS)'!$CM$8)</f>
        <v>3325.2247352453919</v>
      </c>
      <c r="E48" s="110">
        <f t="shared" si="19"/>
        <v>0.16039917388349109</v>
      </c>
      <c r="F48" s="109">
        <f t="shared" si="16"/>
        <v>125.48017868850536</v>
      </c>
      <c r="N48" s="3">
        <f t="shared" ref="N48:N53" si="24">N47+1</f>
        <v>3</v>
      </c>
      <c r="O48" s="5" t="s">
        <v>904</v>
      </c>
      <c r="P48" s="790">
        <f t="shared" si="20"/>
        <v>125.48017868850536</v>
      </c>
      <c r="Q48" s="110">
        <f t="shared" si="21"/>
        <v>0.16039917388349115</v>
      </c>
      <c r="Z48" s="3">
        <f>Z47+1</f>
        <v>2</v>
      </c>
      <c r="AA48" s="5" t="s">
        <v>891</v>
      </c>
      <c r="AB48" s="790">
        <f>'H_Tỷ lệ HH&amp;PS (-PS)'!$EA$8</f>
        <v>2157.6540418188988</v>
      </c>
      <c r="AC48" s="110">
        <f t="shared" ref="AC48:AC55" si="25">AB48/$AB$55</f>
        <v>7.7347624489157552E-2</v>
      </c>
      <c r="AN48" s="3">
        <f>AN47+1</f>
        <v>2</v>
      </c>
      <c r="AO48" s="5" t="s">
        <v>891</v>
      </c>
      <c r="AP48" s="790">
        <f t="shared" ref="AP48:AP54" si="26">AB48/$AP$5</f>
        <v>81.420907238449018</v>
      </c>
      <c r="AQ48" s="110">
        <f t="shared" ref="AQ48:AQ55" si="27">AP48/$AP$55</f>
        <v>7.7347624489157552E-2</v>
      </c>
      <c r="BD48" s="3">
        <f t="shared" ref="BD48:BD53" si="28">BD47+1</f>
        <v>3</v>
      </c>
      <c r="BE48" s="5" t="s">
        <v>891</v>
      </c>
      <c r="BF48" s="790">
        <f>'H_Tỷ lệ HH&amp;PS (-PS)'!FC8</f>
        <v>30.439850080353754</v>
      </c>
      <c r="BG48" s="110">
        <f t="shared" si="17"/>
        <v>2.4107678389567209E-2</v>
      </c>
      <c r="BP48" s="3">
        <f t="shared" ref="BP48:BP53" si="29">BP47+1</f>
        <v>3</v>
      </c>
      <c r="BQ48" s="5" t="s">
        <v>891</v>
      </c>
      <c r="BR48" s="790">
        <f t="shared" si="22"/>
        <v>30.439850080353754</v>
      </c>
      <c r="BS48" s="301">
        <f t="shared" si="18"/>
        <v>2.1588546156279257E-2</v>
      </c>
    </row>
    <row r="49" spans="2:71" x14ac:dyDescent="0.35">
      <c r="B49" s="3">
        <f t="shared" si="23"/>
        <v>4</v>
      </c>
      <c r="C49" s="5" t="s">
        <v>905</v>
      </c>
      <c r="D49" s="790">
        <f>SUM('H_Tỷ lệ HH&amp;PS (-PS)'!$CN$8)</f>
        <v>1983.3563574192092</v>
      </c>
      <c r="E49" s="110">
        <f t="shared" si="19"/>
        <v>9.567134451835306E-2</v>
      </c>
      <c r="F49" s="109">
        <f t="shared" si="16"/>
        <v>74.843636129026763</v>
      </c>
      <c r="N49" s="3">
        <f t="shared" si="24"/>
        <v>4</v>
      </c>
      <c r="O49" s="5" t="s">
        <v>905</v>
      </c>
      <c r="P49" s="790">
        <f t="shared" si="20"/>
        <v>74.843636129026763</v>
      </c>
      <c r="Q49" s="110">
        <f t="shared" si="21"/>
        <v>9.5671344518353088E-2</v>
      </c>
      <c r="Z49" s="3">
        <f t="shared" ref="Z49:Z55" si="30">Z48+1</f>
        <v>3</v>
      </c>
      <c r="AA49" s="5" t="s">
        <v>904</v>
      </c>
      <c r="AB49" s="790">
        <f>'H_Tỷ lệ HH&amp;PS (-PS)'!$DW$8*AB43</f>
        <v>3936.2607519669095</v>
      </c>
      <c r="AC49" s="110">
        <f t="shared" si="25"/>
        <v>0.14110715278427388</v>
      </c>
      <c r="AN49" s="3">
        <f t="shared" ref="AN49:AN55" si="31">AN48+1</f>
        <v>3</v>
      </c>
      <c r="AO49" s="5" t="s">
        <v>904</v>
      </c>
      <c r="AP49" s="790">
        <f t="shared" si="26"/>
        <v>148.53814158365697</v>
      </c>
      <c r="AQ49" s="110">
        <f t="shared" si="27"/>
        <v>0.14110715278427388</v>
      </c>
      <c r="BD49" s="3">
        <f t="shared" si="28"/>
        <v>4</v>
      </c>
      <c r="BE49" s="5" t="s">
        <v>892</v>
      </c>
      <c r="BF49" s="790">
        <f>'H_Tỷ lệ HH&amp;PS (-PS)'!FE8</f>
        <v>140</v>
      </c>
      <c r="BG49" s="110">
        <f t="shared" si="17"/>
        <v>0.11087685930219884</v>
      </c>
      <c r="BP49" s="3">
        <f t="shared" si="29"/>
        <v>4</v>
      </c>
      <c r="BQ49" s="5" t="s">
        <v>892</v>
      </c>
      <c r="BR49" s="790">
        <f t="shared" si="22"/>
        <v>140</v>
      </c>
      <c r="BS49" s="301">
        <f t="shared" si="18"/>
        <v>9.9290780141843976E-2</v>
      </c>
    </row>
    <row r="50" spans="2:71" x14ac:dyDescent="0.35">
      <c r="B50" s="3">
        <f t="shared" si="23"/>
        <v>5</v>
      </c>
      <c r="C50" s="5" t="s">
        <v>906</v>
      </c>
      <c r="D50" s="790">
        <f>SUM('H_Tỷ lệ HH&amp;PS (-PS)'!$CO$8)</f>
        <v>1273.8558498087386</v>
      </c>
      <c r="E50" s="110">
        <f t="shared" si="19"/>
        <v>6.1447102744739912E-2</v>
      </c>
      <c r="F50" s="109">
        <f t="shared" si="16"/>
        <v>48.070032068254285</v>
      </c>
      <c r="N50" s="3">
        <f t="shared" si="24"/>
        <v>5</v>
      </c>
      <c r="O50" s="5" t="s">
        <v>906</v>
      </c>
      <c r="P50" s="790">
        <f t="shared" si="20"/>
        <v>48.070032068254285</v>
      </c>
      <c r="Q50" s="110">
        <f t="shared" si="21"/>
        <v>6.1447102744739933E-2</v>
      </c>
      <c r="Z50" s="3">
        <f t="shared" si="30"/>
        <v>4</v>
      </c>
      <c r="AA50" s="5" t="s">
        <v>905</v>
      </c>
      <c r="AB50" s="790">
        <f>'H_Tỷ lệ HH&amp;PS (-PS)'!$DW$8*AB44</f>
        <v>2042.9107799317401</v>
      </c>
      <c r="AC50" s="110">
        <f t="shared" si="25"/>
        <v>7.3234305782314574E-2</v>
      </c>
      <c r="AN50" s="3">
        <f t="shared" si="31"/>
        <v>4</v>
      </c>
      <c r="AO50" s="5" t="s">
        <v>905</v>
      </c>
      <c r="AP50" s="790">
        <f t="shared" si="26"/>
        <v>77.090972827612831</v>
      </c>
      <c r="AQ50" s="110">
        <f t="shared" si="27"/>
        <v>7.3234305782314574E-2</v>
      </c>
      <c r="BD50" s="3">
        <f t="shared" si="28"/>
        <v>5</v>
      </c>
      <c r="BE50" s="5" t="s">
        <v>895</v>
      </c>
      <c r="BF50" s="790">
        <f>'H_Tỷ lệ HH&amp;PS (-PS)'!FF8</f>
        <v>70</v>
      </c>
      <c r="BG50" s="110">
        <f t="shared" si="17"/>
        <v>5.5438429651099422E-2</v>
      </c>
      <c r="BP50" s="3">
        <f t="shared" si="29"/>
        <v>5</v>
      </c>
      <c r="BQ50" s="5" t="s">
        <v>895</v>
      </c>
      <c r="BR50" s="790">
        <f>BR53-SUM(BR46:BR49)</f>
        <v>217.33797222353655</v>
      </c>
      <c r="BS50" s="301">
        <f t="shared" si="18"/>
        <v>0.15414040583229544</v>
      </c>
    </row>
    <row r="51" spans="2:71" x14ac:dyDescent="0.35">
      <c r="B51" s="3">
        <f t="shared" si="23"/>
        <v>6</v>
      </c>
      <c r="C51" s="5" t="s">
        <v>907</v>
      </c>
      <c r="D51" s="790">
        <f>SUM('H_Tỷ lệ HH&amp;PS (-PS)'!$CP$8:$CQ$8)</f>
        <v>-753.43571715705696</v>
      </c>
      <c r="E51" s="110">
        <f t="shared" si="19"/>
        <v>-3.6343548550377656E-2</v>
      </c>
      <c r="F51" s="109">
        <f t="shared" si="16"/>
        <v>-28.431536496492715</v>
      </c>
      <c r="N51" s="3">
        <f t="shared" si="24"/>
        <v>6</v>
      </c>
      <c r="O51" s="5" t="s">
        <v>907</v>
      </c>
      <c r="P51" s="790">
        <f t="shared" si="20"/>
        <v>-28.431536496492715</v>
      </c>
      <c r="Q51" s="110">
        <f t="shared" si="21"/>
        <v>-3.6343548550377663E-2</v>
      </c>
      <c r="Z51" s="3">
        <f t="shared" si="30"/>
        <v>5</v>
      </c>
      <c r="AA51" s="5" t="s">
        <v>906</v>
      </c>
      <c r="AB51" s="790">
        <f>'H_Tỷ lệ HH&amp;PS (-PS)'!$DW$8*AB45</f>
        <v>1294.1511479150965</v>
      </c>
      <c r="AC51" s="110">
        <f t="shared" si="25"/>
        <v>4.6392755780609453E-2</v>
      </c>
      <c r="AN51" s="3">
        <f t="shared" si="31"/>
        <v>5</v>
      </c>
      <c r="AO51" s="5" t="s">
        <v>906</v>
      </c>
      <c r="AP51" s="790">
        <f t="shared" si="26"/>
        <v>48.835892374154589</v>
      </c>
      <c r="AQ51" s="110">
        <f t="shared" si="27"/>
        <v>4.639275578060946E-2</v>
      </c>
      <c r="BD51" s="3">
        <f t="shared" si="28"/>
        <v>6</v>
      </c>
      <c r="BE51" s="5" t="s">
        <v>893</v>
      </c>
      <c r="BF51" s="790">
        <f>BF50*20%</f>
        <v>14</v>
      </c>
      <c r="BG51" s="110">
        <f t="shared" si="17"/>
        <v>1.1087685930219884E-2</v>
      </c>
      <c r="BP51" s="3">
        <f t="shared" si="29"/>
        <v>6</v>
      </c>
      <c r="BQ51" s="5" t="s">
        <v>893</v>
      </c>
      <c r="BR51" s="790">
        <f>BR50*20%</f>
        <v>43.467594444707316</v>
      </c>
      <c r="BS51" s="301">
        <f t="shared" si="18"/>
        <v>3.082808116645909E-2</v>
      </c>
    </row>
    <row r="52" spans="2:71" x14ac:dyDescent="0.35">
      <c r="B52" s="3">
        <f t="shared" si="23"/>
        <v>7</v>
      </c>
      <c r="C52" s="5"/>
      <c r="D52" s="790"/>
      <c r="E52" s="110">
        <f t="shared" si="19"/>
        <v>0</v>
      </c>
      <c r="F52" s="109">
        <f t="shared" si="16"/>
        <v>0</v>
      </c>
      <c r="N52" s="3">
        <f t="shared" si="24"/>
        <v>7</v>
      </c>
      <c r="O52" s="5"/>
      <c r="P52" s="790">
        <f t="shared" si="20"/>
        <v>0</v>
      </c>
      <c r="Q52" s="110">
        <f t="shared" si="21"/>
        <v>0</v>
      </c>
      <c r="Z52" s="3">
        <f t="shared" si="30"/>
        <v>6</v>
      </c>
      <c r="AA52" s="5" t="s">
        <v>919</v>
      </c>
      <c r="AB52" s="790">
        <f>'H_Tỷ lệ HH&amp;PS (-PS)'!$EB$8</f>
        <v>2000.939404729972</v>
      </c>
      <c r="AC52" s="110">
        <f t="shared" si="25"/>
        <v>7.1729715099341507E-2</v>
      </c>
      <c r="AN52" s="3">
        <f t="shared" si="31"/>
        <v>6</v>
      </c>
      <c r="AO52" s="5" t="s">
        <v>919</v>
      </c>
      <c r="AP52" s="790">
        <f t="shared" si="26"/>
        <v>75.507147348300833</v>
      </c>
      <c r="AQ52" s="110">
        <f t="shared" si="27"/>
        <v>7.1729715099341521E-2</v>
      </c>
      <c r="BD52" s="3">
        <f t="shared" si="28"/>
        <v>7</v>
      </c>
      <c r="BE52" s="5" t="s">
        <v>894</v>
      </c>
      <c r="BF52" s="790">
        <f>BF50-BF51</f>
        <v>56</v>
      </c>
      <c r="BG52" s="110">
        <f t="shared" si="17"/>
        <v>4.4350743720879535E-2</v>
      </c>
      <c r="BP52" s="3">
        <f t="shared" si="29"/>
        <v>7</v>
      </c>
      <c r="BQ52" s="5" t="s">
        <v>894</v>
      </c>
      <c r="BR52" s="790">
        <f>BR50-BR51</f>
        <v>173.87037777882924</v>
      </c>
      <c r="BS52" s="301">
        <f t="shared" si="18"/>
        <v>0.12331232466583633</v>
      </c>
    </row>
    <row r="53" spans="2:71" x14ac:dyDescent="0.35">
      <c r="B53" s="3">
        <f t="shared" si="23"/>
        <v>8</v>
      </c>
      <c r="C53" s="75" t="s">
        <v>449</v>
      </c>
      <c r="D53" s="200">
        <f>SUM(D46:D52)</f>
        <v>20730.934298082673</v>
      </c>
      <c r="E53" s="793">
        <f t="shared" si="19"/>
        <v>1</v>
      </c>
      <c r="F53" s="200">
        <f t="shared" si="16"/>
        <v>782.29940747481783</v>
      </c>
      <c r="N53" s="3">
        <f t="shared" si="24"/>
        <v>8</v>
      </c>
      <c r="O53" s="75" t="s">
        <v>449</v>
      </c>
      <c r="P53" s="200">
        <f>SUM(P46:P52)</f>
        <v>782.2994074748176</v>
      </c>
      <c r="Q53" s="793">
        <f t="shared" si="21"/>
        <v>1</v>
      </c>
      <c r="Z53" s="3">
        <f t="shared" si="30"/>
        <v>7</v>
      </c>
      <c r="AA53" s="5" t="s">
        <v>920</v>
      </c>
      <c r="AB53" s="790">
        <f>'H_Tỷ lệ HH&amp;PS (-PS)'!$ED$8</f>
        <v>2332</v>
      </c>
      <c r="AC53" s="110">
        <f t="shared" si="25"/>
        <v>8.3597581823942377E-2</v>
      </c>
      <c r="AN53" s="3">
        <f t="shared" si="31"/>
        <v>7</v>
      </c>
      <c r="AO53" s="5" t="s">
        <v>920</v>
      </c>
      <c r="AP53" s="790">
        <f t="shared" si="26"/>
        <v>88</v>
      </c>
      <c r="AQ53" s="110">
        <f t="shared" si="27"/>
        <v>8.3597581823942391E-2</v>
      </c>
      <c r="BD53" s="3">
        <f t="shared" si="28"/>
        <v>8</v>
      </c>
      <c r="BE53" s="75" t="s">
        <v>896</v>
      </c>
      <c r="BF53" s="200">
        <f>'H_Tỷ lệ HH&amp;PS (-PS)'!FG8</f>
        <v>1262.6620277764632</v>
      </c>
      <c r="BG53" s="793">
        <f>BF53/$BF$53</f>
        <v>1</v>
      </c>
      <c r="BP53" s="3">
        <f t="shared" si="29"/>
        <v>8</v>
      </c>
      <c r="BQ53" s="75" t="s">
        <v>896</v>
      </c>
      <c r="BR53" s="200">
        <f>'H_Tỷ lệ HH&amp;PS (-PS)'!FS8</f>
        <v>1410</v>
      </c>
      <c r="BS53" s="793">
        <f>BR53/$BR$53</f>
        <v>1</v>
      </c>
    </row>
    <row r="54" spans="2:71" x14ac:dyDescent="0.35">
      <c r="Z54" s="3">
        <f t="shared" si="30"/>
        <v>8</v>
      </c>
      <c r="AA54" s="5" t="s">
        <v>907</v>
      </c>
      <c r="AB54" s="862">
        <f>SUM('H_Tỷ lệ HH&amp;PS (-PS)'!DX8:DZ8)</f>
        <v>-1350.9980146895243</v>
      </c>
      <c r="AC54" s="863">
        <f t="shared" si="25"/>
        <v>-4.8430603377783543E-2</v>
      </c>
      <c r="AN54" s="3">
        <f t="shared" si="31"/>
        <v>8</v>
      </c>
      <c r="AO54" s="5" t="s">
        <v>907</v>
      </c>
      <c r="AP54" s="862">
        <f t="shared" si="26"/>
        <v>-50.981057158095254</v>
      </c>
      <c r="AQ54" s="863">
        <f t="shared" si="27"/>
        <v>-4.8430603377783543E-2</v>
      </c>
    </row>
    <row r="55" spans="2:71" x14ac:dyDescent="0.35">
      <c r="Z55" s="3">
        <f t="shared" si="30"/>
        <v>9</v>
      </c>
      <c r="AA55" s="75" t="s">
        <v>918</v>
      </c>
      <c r="AB55" s="200">
        <f>SUM(AB47:AB54)</f>
        <v>27895.543736076277</v>
      </c>
      <c r="AC55" s="793">
        <f t="shared" si="25"/>
        <v>1</v>
      </c>
      <c r="AN55" s="3">
        <f t="shared" si="31"/>
        <v>9</v>
      </c>
      <c r="AO55" s="75" t="s">
        <v>918</v>
      </c>
      <c r="AP55" s="200">
        <f>SUM(AP47:AP54)</f>
        <v>1052.6620277764632</v>
      </c>
      <c r="AQ55" s="793">
        <f t="shared" si="27"/>
        <v>1</v>
      </c>
    </row>
    <row r="81" spans="2:71" x14ac:dyDescent="0.35">
      <c r="BD81" s="75" t="s">
        <v>0</v>
      </c>
      <c r="BE81" s="75" t="str">
        <f>'H_Tỷ lệ HH&amp;PS (-PS)'!DR10</f>
        <v>Hạt rPET WSS01G</v>
      </c>
      <c r="BF81" s="674" t="s">
        <v>888</v>
      </c>
      <c r="BG81" s="674" t="s">
        <v>455</v>
      </c>
      <c r="BP81" s="75" t="s">
        <v>0</v>
      </c>
      <c r="BQ81" s="75" t="str">
        <f>BE81</f>
        <v>Hạt rPET WSS01G</v>
      </c>
      <c r="BR81" s="674" t="s">
        <v>888</v>
      </c>
      <c r="BS81" s="674" t="s">
        <v>455</v>
      </c>
    </row>
    <row r="82" spans="2:71" x14ac:dyDescent="0.35">
      <c r="BD82" s="3">
        <v>1</v>
      </c>
      <c r="BE82" s="5" t="s">
        <v>889</v>
      </c>
      <c r="BF82" s="790">
        <f>'H_Tỷ lệ HH&amp;PS (-PS)'!FB10</f>
        <v>569.52103137173594</v>
      </c>
      <c r="BG82" s="110">
        <f t="shared" ref="BG82:BG89" si="32">BF82/$BF$89</f>
        <v>0.48106838593039658</v>
      </c>
      <c r="BP82" s="3">
        <v>1</v>
      </c>
      <c r="BQ82" s="5" t="s">
        <v>889</v>
      </c>
      <c r="BR82" s="790">
        <f>BF82</f>
        <v>569.52103137173594</v>
      </c>
      <c r="BS82" s="301">
        <f t="shared" ref="BS82:BS88" si="33">BR82/$BR$89</f>
        <v>0.41269639954473619</v>
      </c>
    </row>
    <row r="83" spans="2:71" x14ac:dyDescent="0.35">
      <c r="BD83" s="3">
        <f>BD82+1</f>
        <v>2</v>
      </c>
      <c r="BE83" s="5" t="s">
        <v>890</v>
      </c>
      <c r="BF83" s="790">
        <f>'H_Tỷ lệ HH&amp;PS (-PS)'!FD10</f>
        <v>394.97974908412294</v>
      </c>
      <c r="BG83" s="110">
        <f t="shared" si="32"/>
        <v>0.33363521257403378</v>
      </c>
      <c r="BP83" s="3">
        <f>BP82+1</f>
        <v>2</v>
      </c>
      <c r="BQ83" s="5" t="s">
        <v>890</v>
      </c>
      <c r="BR83" s="790">
        <f t="shared" ref="BR83:BR85" si="34">BF83</f>
        <v>394.97974908412294</v>
      </c>
      <c r="BS83" s="301">
        <f t="shared" si="33"/>
        <v>0.28621720948124851</v>
      </c>
    </row>
    <row r="84" spans="2:71" x14ac:dyDescent="0.35">
      <c r="BD84" s="3">
        <f t="shared" ref="BD84:BD89" si="35">BD83+1</f>
        <v>3</v>
      </c>
      <c r="BE84" s="5" t="s">
        <v>891</v>
      </c>
      <c r="BF84" s="790">
        <f>'H_Tỷ lệ HH&amp;PS (-PS)'!FC10</f>
        <v>29.366312099537371</v>
      </c>
      <c r="BG84" s="110">
        <f t="shared" si="32"/>
        <v>2.4805412942216099E-2</v>
      </c>
      <c r="BP84" s="3">
        <f t="shared" ref="BP84:BP89" si="36">BP83+1</f>
        <v>3</v>
      </c>
      <c r="BQ84" s="5" t="s">
        <v>891</v>
      </c>
      <c r="BR84" s="790">
        <f t="shared" si="34"/>
        <v>29.366312099537371</v>
      </c>
      <c r="BS84" s="301">
        <f t="shared" si="33"/>
        <v>2.1279936304012589E-2</v>
      </c>
    </row>
    <row r="85" spans="2:71" x14ac:dyDescent="0.35">
      <c r="BD85" s="3">
        <f t="shared" si="35"/>
        <v>4</v>
      </c>
      <c r="BE85" s="5" t="s">
        <v>892</v>
      </c>
      <c r="BF85" s="790">
        <f>'H_Tỷ lệ HH&amp;PS (-PS)'!FE10</f>
        <v>140</v>
      </c>
      <c r="BG85" s="110">
        <f t="shared" si="32"/>
        <v>0.11825651788141837</v>
      </c>
      <c r="BP85" s="3">
        <f t="shared" si="36"/>
        <v>4</v>
      </c>
      <c r="BQ85" s="5" t="s">
        <v>892</v>
      </c>
      <c r="BR85" s="790">
        <f t="shared" si="34"/>
        <v>140</v>
      </c>
      <c r="BS85" s="301">
        <f t="shared" si="33"/>
        <v>0.10144927536231885</v>
      </c>
    </row>
    <row r="86" spans="2:71" x14ac:dyDescent="0.35">
      <c r="AB86" s="864">
        <f>$AB$9/(SUM($AB$9:$AB$11))</f>
        <v>0.54119154686915505</v>
      </c>
      <c r="AP86" s="864">
        <f>$AB$9/(SUM($AB$9:$AB$11))</f>
        <v>0.54119154686915505</v>
      </c>
      <c r="BD86" s="3">
        <f t="shared" si="35"/>
        <v>5</v>
      </c>
      <c r="BE86" s="5" t="s">
        <v>895</v>
      </c>
      <c r="BF86" s="790">
        <f>'H_Tỷ lệ HH&amp;PS (-PS)'!FF10</f>
        <v>50</v>
      </c>
      <c r="BG86" s="110">
        <f t="shared" si="32"/>
        <v>4.2234470671935129E-2</v>
      </c>
      <c r="BP86" s="3">
        <f t="shared" si="36"/>
        <v>5</v>
      </c>
      <c r="BQ86" s="5" t="s">
        <v>895</v>
      </c>
      <c r="BR86" s="790">
        <f>BR89-SUM(BR82:BR85)</f>
        <v>246.13290744460392</v>
      </c>
      <c r="BS86" s="301">
        <f t="shared" si="33"/>
        <v>0.17835717930768399</v>
      </c>
    </row>
    <row r="87" spans="2:71" x14ac:dyDescent="0.35">
      <c r="AB87" s="864">
        <f>$AB$10/(SUM($AB$9:$AB$11))</f>
        <v>0.2808772372497097</v>
      </c>
      <c r="AP87" s="864">
        <f>$AB$10/(SUM($AB$9:$AB$11))</f>
        <v>0.2808772372497097</v>
      </c>
      <c r="BD87" s="3">
        <f t="shared" si="35"/>
        <v>6</v>
      </c>
      <c r="BE87" s="5" t="s">
        <v>893</v>
      </c>
      <c r="BF87" s="790">
        <f>BF86*20%</f>
        <v>10</v>
      </c>
      <c r="BG87" s="110">
        <f t="shared" si="32"/>
        <v>8.4468941343870257E-3</v>
      </c>
      <c r="BP87" s="3">
        <f t="shared" si="36"/>
        <v>6</v>
      </c>
      <c r="BQ87" s="5" t="s">
        <v>893</v>
      </c>
      <c r="BR87" s="790">
        <f>BR86*20%</f>
        <v>49.226581488920786</v>
      </c>
      <c r="BS87" s="301">
        <f t="shared" si="33"/>
        <v>3.5671435861536802E-2</v>
      </c>
    </row>
    <row r="88" spans="2:71" x14ac:dyDescent="0.35">
      <c r="F88" s="866">
        <v>26.5</v>
      </c>
      <c r="AB88" s="864">
        <f>$AB$11/(SUM($AB$9:$AB$11))</f>
        <v>0.1779312158811352</v>
      </c>
      <c r="AO88" s="864" t="s">
        <v>922</v>
      </c>
      <c r="AP88" s="865">
        <v>26.5</v>
      </c>
      <c r="BD88" s="3">
        <f t="shared" si="35"/>
        <v>7</v>
      </c>
      <c r="BE88" s="5" t="s">
        <v>894</v>
      </c>
      <c r="BF88" s="790">
        <f>BF86-BF87</f>
        <v>40</v>
      </c>
      <c r="BG88" s="110">
        <f t="shared" si="32"/>
        <v>3.3787576537548103E-2</v>
      </c>
      <c r="BP88" s="3">
        <f t="shared" si="36"/>
        <v>7</v>
      </c>
      <c r="BQ88" s="5" t="s">
        <v>894</v>
      </c>
      <c r="BR88" s="790">
        <f>BR86-BR87</f>
        <v>196.90632595568314</v>
      </c>
      <c r="BS88" s="301">
        <f t="shared" si="33"/>
        <v>0.14268574344614721</v>
      </c>
    </row>
    <row r="89" spans="2:71" x14ac:dyDescent="0.35">
      <c r="B89" s="75" t="s">
        <v>0</v>
      </c>
      <c r="C89" s="75" t="str">
        <f>'H_Tỷ lệ HH&amp;PS (-PS)'!CH10</f>
        <v>Vảy B4_ A1 DT</v>
      </c>
      <c r="D89" s="674" t="s">
        <v>888</v>
      </c>
      <c r="E89" s="674" t="s">
        <v>455</v>
      </c>
      <c r="F89" s="3" t="s">
        <v>392</v>
      </c>
      <c r="N89" s="75" t="s">
        <v>0</v>
      </c>
      <c r="O89" s="75" t="str">
        <f>C89</f>
        <v>Vảy B4_ A1 DT</v>
      </c>
      <c r="P89" s="674" t="s">
        <v>888</v>
      </c>
      <c r="Q89" s="674" t="s">
        <v>455</v>
      </c>
      <c r="Z89" s="75" t="s">
        <v>0</v>
      </c>
      <c r="AA89" s="75" t="str">
        <f>BE81</f>
        <v>Hạt rPET WSS01G</v>
      </c>
      <c r="AB89" s="674" t="s">
        <v>888</v>
      </c>
      <c r="AC89" s="674" t="s">
        <v>455</v>
      </c>
      <c r="AN89" s="75" t="s">
        <v>0</v>
      </c>
      <c r="AO89" s="75" t="str">
        <f>BE81</f>
        <v>Hạt rPET WSS01G</v>
      </c>
      <c r="AP89" s="674" t="s">
        <v>888</v>
      </c>
      <c r="AQ89" s="674" t="s">
        <v>455</v>
      </c>
      <c r="BD89" s="3">
        <f t="shared" si="35"/>
        <v>8</v>
      </c>
      <c r="BE89" s="75" t="s">
        <v>896</v>
      </c>
      <c r="BF89" s="200">
        <f>'H_Tỷ lệ HH&amp;PS (-PS)'!FG10</f>
        <v>1183.8670925553963</v>
      </c>
      <c r="BG89" s="793">
        <f t="shared" si="32"/>
        <v>1</v>
      </c>
      <c r="BP89" s="3">
        <f t="shared" si="36"/>
        <v>8</v>
      </c>
      <c r="BQ89" s="75" t="s">
        <v>896</v>
      </c>
      <c r="BR89" s="200">
        <f>'H_Tỷ lệ HH&amp;PS (-PS)'!FS10</f>
        <v>1380</v>
      </c>
      <c r="BS89" s="793">
        <f>BR89/$BR$89</f>
        <v>1</v>
      </c>
    </row>
    <row r="90" spans="2:71" x14ac:dyDescent="0.35">
      <c r="B90" s="3">
        <v>1</v>
      </c>
      <c r="C90" s="5" t="s">
        <v>889</v>
      </c>
      <c r="D90" s="790">
        <f>'H_Tỷ lệ HH&amp;PS (-PS)'!$CL$10</f>
        <v>12992.638114934616</v>
      </c>
      <c r="E90" s="110">
        <f>D90/$D$97</f>
        <v>0.63817453919703548</v>
      </c>
      <c r="F90" s="109">
        <f t="shared" ref="F90:F97" si="37">D90/$F$44</f>
        <v>490.28823075224966</v>
      </c>
      <c r="N90" s="3">
        <v>1</v>
      </c>
      <c r="O90" s="5" t="s">
        <v>889</v>
      </c>
      <c r="P90" s="790">
        <f>F90</f>
        <v>490.28823075224966</v>
      </c>
      <c r="Q90" s="110">
        <f>P90/$P$97</f>
        <v>0.6381745391970356</v>
      </c>
      <c r="Z90" s="3">
        <v>1</v>
      </c>
      <c r="AA90" s="5" t="s">
        <v>889</v>
      </c>
      <c r="AB90" s="790">
        <f>'H_Tỷ lệ HH&amp;PS (-PS)'!$DV$10</f>
        <v>15092.307331351003</v>
      </c>
      <c r="AC90" s="110">
        <f>AB90/$AB$98</f>
        <v>0.57303540446983048</v>
      </c>
      <c r="AN90" s="3">
        <v>1</v>
      </c>
      <c r="AO90" s="5" t="s">
        <v>889</v>
      </c>
      <c r="AP90" s="790">
        <f>AB90/$AP$5</f>
        <v>569.52103137173594</v>
      </c>
      <c r="AQ90" s="110">
        <f>AP90/$AP$98</f>
        <v>0.57303540446983048</v>
      </c>
    </row>
    <row r="91" spans="2:71" x14ac:dyDescent="0.35">
      <c r="B91" s="3">
        <f>B90+1</f>
        <v>2</v>
      </c>
      <c r="C91" s="5" t="s">
        <v>891</v>
      </c>
      <c r="D91" s="790">
        <f>SUM('H_Tỷ lệ HH&amp;PS (-PS)'!$CR$10)</f>
        <v>1810.6501327780813</v>
      </c>
      <c r="E91" s="110">
        <f t="shared" ref="E91:E97" si="38">D91/$D$97</f>
        <v>8.8935811488852365E-2</v>
      </c>
      <c r="F91" s="109">
        <f t="shared" si="37"/>
        <v>68.326420104833261</v>
      </c>
      <c r="N91" s="3">
        <f>N90+1</f>
        <v>2</v>
      </c>
      <c r="O91" s="5" t="s">
        <v>891</v>
      </c>
      <c r="P91" s="790">
        <f t="shared" ref="P91:P96" si="39">F91</f>
        <v>68.326420104833261</v>
      </c>
      <c r="Q91" s="110">
        <f t="shared" ref="Q91:Q97" si="40">P91/$P$97</f>
        <v>8.8935811488852379E-2</v>
      </c>
      <c r="Z91" s="3">
        <f>Z90+1</f>
        <v>2</v>
      </c>
      <c r="AA91" s="5" t="s">
        <v>891</v>
      </c>
      <c r="AB91" s="790">
        <f>'H_Tỷ lệ HH&amp;PS (-PS)'!$EA$10</f>
        <v>2103.2594021091791</v>
      </c>
      <c r="AC91" s="110">
        <f t="shared" ref="AC91:AC98" si="41">AB91/$AB$98</f>
        <v>7.9858041300880325E-2</v>
      </c>
      <c r="AN91" s="3">
        <f>AN90+1</f>
        <v>2</v>
      </c>
      <c r="AO91" s="5" t="s">
        <v>891</v>
      </c>
      <c r="AP91" s="790">
        <f t="shared" ref="AP91:AP97" si="42">AB91/$AP$5</f>
        <v>79.368279324874678</v>
      </c>
      <c r="AQ91" s="110">
        <f t="shared" ref="AQ91:AQ95" si="43">AP91/$AP$55</f>
        <v>7.5397684375985527E-2</v>
      </c>
    </row>
    <row r="92" spans="2:71" x14ac:dyDescent="0.35">
      <c r="B92" s="3">
        <f t="shared" ref="B92:B97" si="44">B91+1</f>
        <v>3</v>
      </c>
      <c r="C92" s="5" t="s">
        <v>904</v>
      </c>
      <c r="D92" s="790">
        <f>SUM('H_Tỷ lệ HH&amp;PS (-PS)'!$CM$10)</f>
        <v>3303.2130800681216</v>
      </c>
      <c r="E92" s="110">
        <f t="shared" si="38"/>
        <v>0.16224776420263609</v>
      </c>
      <c r="F92" s="109">
        <f t="shared" si="37"/>
        <v>124.64955019124987</v>
      </c>
      <c r="N92" s="3">
        <f t="shared" ref="N92:N97" si="45">N91+1</f>
        <v>3</v>
      </c>
      <c r="O92" s="5" t="s">
        <v>904</v>
      </c>
      <c r="P92" s="790">
        <f t="shared" si="39"/>
        <v>124.64955019124987</v>
      </c>
      <c r="Q92" s="110">
        <f t="shared" si="40"/>
        <v>0.16224776420263612</v>
      </c>
      <c r="Z92" s="3">
        <f t="shared" ref="Z92:Z98" si="46">Z91+1</f>
        <v>3</v>
      </c>
      <c r="AA92" s="5" t="s">
        <v>904</v>
      </c>
      <c r="AB92" s="790">
        <f>'H_Tỷ lệ HH&amp;PS (-PS)'!$DW$10*AB86</f>
        <v>3837.0272876316099</v>
      </c>
      <c r="AC92" s="110">
        <f t="shared" si="41"/>
        <v>0.14568696723809246</v>
      </c>
      <c r="AN92" s="3">
        <f t="shared" ref="AN92:AN98" si="47">AN91+1</f>
        <v>3</v>
      </c>
      <c r="AO92" s="5" t="s">
        <v>904</v>
      </c>
      <c r="AP92" s="790">
        <f t="shared" si="42"/>
        <v>144.79348255213623</v>
      </c>
      <c r="AQ92" s="110">
        <f t="shared" si="43"/>
        <v>0.13754982960483844</v>
      </c>
    </row>
    <row r="93" spans="2:71" x14ac:dyDescent="0.35">
      <c r="B93" s="3">
        <f t="shared" si="44"/>
        <v>4</v>
      </c>
      <c r="C93" s="5" t="s">
        <v>905</v>
      </c>
      <c r="D93" s="790">
        <f>SUM('H_Tỷ lệ HH&amp;PS (-PS)'!$CN$10)</f>
        <v>2104.9096872249238</v>
      </c>
      <c r="E93" s="110">
        <f t="shared" si="38"/>
        <v>0.10338930075733137</v>
      </c>
      <c r="F93" s="109">
        <f t="shared" si="37"/>
        <v>79.430554234902786</v>
      </c>
      <c r="N93" s="3">
        <f t="shared" si="45"/>
        <v>4</v>
      </c>
      <c r="O93" s="5" t="s">
        <v>905</v>
      </c>
      <c r="P93" s="790">
        <f t="shared" si="39"/>
        <v>79.430554234902786</v>
      </c>
      <c r="Q93" s="110">
        <f t="shared" si="40"/>
        <v>0.10338930075733138</v>
      </c>
      <c r="Z93" s="3">
        <f t="shared" si="46"/>
        <v>4</v>
      </c>
      <c r="AA93" s="5" t="s">
        <v>905</v>
      </c>
      <c r="AB93" s="790">
        <f>'H_Tỷ lệ HH&amp;PS (-PS)'!$DW$10*AB87</f>
        <v>1991.4088274964863</v>
      </c>
      <c r="AC93" s="110">
        <f t="shared" si="41"/>
        <v>7.5611219535581045E-2</v>
      </c>
      <c r="AN93" s="3">
        <f t="shared" si="47"/>
        <v>4</v>
      </c>
      <c r="AO93" s="5" t="s">
        <v>905</v>
      </c>
      <c r="AP93" s="790">
        <f t="shared" si="42"/>
        <v>75.14750292439571</v>
      </c>
      <c r="AQ93" s="110">
        <f t="shared" si="43"/>
        <v>7.1388062779399089E-2</v>
      </c>
    </row>
    <row r="94" spans="2:71" x14ac:dyDescent="0.35">
      <c r="B94" s="3">
        <f t="shared" si="44"/>
        <v>5</v>
      </c>
      <c r="C94" s="5" t="s">
        <v>906</v>
      </c>
      <c r="D94" s="790">
        <f>SUM('H_Tỷ lệ HH&amp;PS (-PS)'!$CO$10)</f>
        <v>1273.8558498087386</v>
      </c>
      <c r="E94" s="110">
        <f t="shared" si="38"/>
        <v>6.2569461472238574E-2</v>
      </c>
      <c r="F94" s="109">
        <f t="shared" si="37"/>
        <v>48.070032068254285</v>
      </c>
      <c r="N94" s="3">
        <f t="shared" si="45"/>
        <v>5</v>
      </c>
      <c r="O94" s="5" t="s">
        <v>906</v>
      </c>
      <c r="P94" s="790">
        <f t="shared" si="39"/>
        <v>48.070032068254285</v>
      </c>
      <c r="Q94" s="110">
        <f t="shared" si="40"/>
        <v>6.2569461472238574E-2</v>
      </c>
      <c r="Z94" s="3">
        <f t="shared" si="46"/>
        <v>5</v>
      </c>
      <c r="AA94" s="5" t="s">
        <v>906</v>
      </c>
      <c r="AB94" s="790">
        <f>'H_Tỷ lệ HH&amp;PS (-PS)'!$DW$10*AB88</f>
        <v>1261.5254887239598</v>
      </c>
      <c r="AC94" s="110">
        <f t="shared" si="41"/>
        <v>4.7898492444443476E-2</v>
      </c>
      <c r="AN94" s="3">
        <f t="shared" si="47"/>
        <v>5</v>
      </c>
      <c r="AO94" s="5" t="s">
        <v>906</v>
      </c>
      <c r="AP94" s="790">
        <f t="shared" si="42"/>
        <v>47.604735423545655</v>
      </c>
      <c r="AQ94" s="110">
        <f t="shared" si="43"/>
        <v>4.5223190508829392E-2</v>
      </c>
    </row>
    <row r="95" spans="2:71" x14ac:dyDescent="0.35">
      <c r="B95" s="3">
        <f t="shared" si="44"/>
        <v>6</v>
      </c>
      <c r="C95" s="5" t="s">
        <v>907</v>
      </c>
      <c r="D95" s="790">
        <f>SUM('H_Tỷ lệ HH&amp;PS (-PS)'!$CP$10:$CQ$10)</f>
        <v>-1126.1999999999998</v>
      </c>
      <c r="E95" s="110">
        <f t="shared" si="38"/>
        <v>-5.5316877118093896E-2</v>
      </c>
      <c r="F95" s="109">
        <f t="shared" si="37"/>
        <v>-42.498113207547163</v>
      </c>
      <c r="N95" s="3">
        <f t="shared" si="45"/>
        <v>6</v>
      </c>
      <c r="O95" s="5" t="s">
        <v>907</v>
      </c>
      <c r="P95" s="790">
        <f t="shared" si="39"/>
        <v>-42.498113207547163</v>
      </c>
      <c r="Q95" s="110">
        <f t="shared" si="40"/>
        <v>-5.5316877118093903E-2</v>
      </c>
      <c r="Z95" s="3">
        <f t="shared" si="46"/>
        <v>6</v>
      </c>
      <c r="AA95" s="5" t="s">
        <v>919</v>
      </c>
      <c r="AB95" s="790">
        <f>'H_Tỷ lệ HH&amp;PS (-PS)'!$EB$10</f>
        <v>2000.939404729972</v>
      </c>
      <c r="AC95" s="110">
        <f t="shared" si="41"/>
        <v>7.5973083236068814E-2</v>
      </c>
      <c r="AN95" s="3">
        <f t="shared" si="47"/>
        <v>6</v>
      </c>
      <c r="AO95" s="5" t="s">
        <v>919</v>
      </c>
      <c r="AP95" s="790">
        <f t="shared" si="42"/>
        <v>75.507147348300833</v>
      </c>
      <c r="AQ95" s="110">
        <f t="shared" si="43"/>
        <v>7.1729715099341521E-2</v>
      </c>
    </row>
    <row r="96" spans="2:71" x14ac:dyDescent="0.35">
      <c r="B96" s="3">
        <f t="shared" si="44"/>
        <v>7</v>
      </c>
      <c r="C96" s="5"/>
      <c r="D96" s="790"/>
      <c r="E96" s="110">
        <f t="shared" si="38"/>
        <v>0</v>
      </c>
      <c r="F96" s="109">
        <f t="shared" si="37"/>
        <v>0</v>
      </c>
      <c r="N96" s="3">
        <f t="shared" si="45"/>
        <v>7</v>
      </c>
      <c r="O96" s="5"/>
      <c r="P96" s="790">
        <f t="shared" si="39"/>
        <v>0</v>
      </c>
      <c r="Q96" s="110">
        <f t="shared" si="40"/>
        <v>0</v>
      </c>
      <c r="Z96" s="3">
        <f t="shared" si="46"/>
        <v>7</v>
      </c>
      <c r="AA96" s="5" t="s">
        <v>920</v>
      </c>
      <c r="AB96" s="790">
        <f>'H_Tỷ lệ HH&amp;PS (-PS)'!$EC$10</f>
        <v>1376.0623421472308</v>
      </c>
      <c r="AC96" s="110">
        <f t="shared" si="41"/>
        <v>5.2247308744504242E-2</v>
      </c>
      <c r="AN96" s="3">
        <f t="shared" si="47"/>
        <v>7</v>
      </c>
      <c r="AO96" s="5" t="s">
        <v>920</v>
      </c>
      <c r="AP96" s="790">
        <f t="shared" si="42"/>
        <v>51.926880835744555</v>
      </c>
      <c r="AQ96" s="110">
        <f t="shared" ref="AQ96:AQ98" si="48">AP96/$AP$98</f>
        <v>5.2247308744504235E-2</v>
      </c>
    </row>
    <row r="97" spans="2:43" x14ac:dyDescent="0.35">
      <c r="B97" s="3">
        <f t="shared" si="44"/>
        <v>8</v>
      </c>
      <c r="C97" s="75" t="s">
        <v>449</v>
      </c>
      <c r="D97" s="200">
        <f>SUM(D90:D96)</f>
        <v>20359.066864814482</v>
      </c>
      <c r="E97" s="793">
        <f t="shared" si="38"/>
        <v>1</v>
      </c>
      <c r="F97" s="200">
        <f t="shared" si="37"/>
        <v>768.26667414394274</v>
      </c>
      <c r="N97" s="3">
        <f t="shared" si="45"/>
        <v>8</v>
      </c>
      <c r="O97" s="75" t="s">
        <v>449</v>
      </c>
      <c r="P97" s="200">
        <f>SUM(P90:P96)</f>
        <v>768.26667414394262</v>
      </c>
      <c r="Q97" s="793">
        <f t="shared" si="40"/>
        <v>1</v>
      </c>
      <c r="Z97" s="3">
        <f t="shared" si="46"/>
        <v>8</v>
      </c>
      <c r="AA97" s="5" t="s">
        <v>907</v>
      </c>
      <c r="AB97" s="862">
        <f>SUM('H_Tỷ lệ HH&amp;PS (-PS)'!$DX$10:$DZ$10)</f>
        <v>-1325.0521314714388</v>
      </c>
      <c r="AC97" s="863">
        <f t="shared" si="41"/>
        <v>-5.0310516969400816E-2</v>
      </c>
      <c r="AN97" s="3">
        <f t="shared" si="47"/>
        <v>8</v>
      </c>
      <c r="AO97" s="5" t="s">
        <v>907</v>
      </c>
      <c r="AP97" s="862">
        <f t="shared" si="42"/>
        <v>-50.00196722533731</v>
      </c>
      <c r="AQ97" s="863">
        <f t="shared" si="48"/>
        <v>-5.0310516969400816E-2</v>
      </c>
    </row>
    <row r="98" spans="2:43" x14ac:dyDescent="0.35">
      <c r="Z98" s="3">
        <f t="shared" si="46"/>
        <v>9</v>
      </c>
      <c r="AA98" s="75" t="s">
        <v>918</v>
      </c>
      <c r="AB98" s="200">
        <f>SUM(AB90:AB97)</f>
        <v>26337.477952718</v>
      </c>
      <c r="AC98" s="793">
        <f t="shared" si="41"/>
        <v>1</v>
      </c>
      <c r="AN98" s="3">
        <f t="shared" si="47"/>
        <v>9</v>
      </c>
      <c r="AO98" s="75" t="s">
        <v>918</v>
      </c>
      <c r="AP98" s="200">
        <f>SUM(AP90:AP97)</f>
        <v>993.8670925553962</v>
      </c>
      <c r="AQ98" s="793">
        <f t="shared" si="48"/>
        <v>1</v>
      </c>
    </row>
    <row r="126" spans="56:71" x14ac:dyDescent="0.35">
      <c r="BD126" s="75" t="s">
        <v>0</v>
      </c>
      <c r="BE126" s="75" t="str">
        <f>'H_Tỷ lệ HH&amp;PS (-PS)'!DR12</f>
        <v>Hạt rPET WSS03G</v>
      </c>
      <c r="BF126" s="674" t="s">
        <v>888</v>
      </c>
      <c r="BG126" s="674" t="s">
        <v>455</v>
      </c>
      <c r="BP126" s="75" t="s">
        <v>0</v>
      </c>
      <c r="BQ126" s="75" t="str">
        <f>BE126</f>
        <v>Hạt rPET WSS03G</v>
      </c>
      <c r="BR126" s="674" t="s">
        <v>888</v>
      </c>
      <c r="BS126" s="674" t="s">
        <v>455</v>
      </c>
    </row>
    <row r="127" spans="56:71" x14ac:dyDescent="0.35">
      <c r="BD127" s="3">
        <v>1</v>
      </c>
      <c r="BE127" s="5" t="s">
        <v>889</v>
      </c>
      <c r="BF127" s="790">
        <f>'H_Tỷ lệ HH&amp;PS (-PS)'!FB12</f>
        <v>554.7920391810876</v>
      </c>
      <c r="BG127" s="110">
        <f t="shared" ref="BG127:BG134" si="49">BF127/$BF$134</f>
        <v>0.47779726655225629</v>
      </c>
      <c r="BP127" s="3">
        <v>1</v>
      </c>
      <c r="BQ127" s="5" t="s">
        <v>889</v>
      </c>
      <c r="BR127" s="790">
        <f>BF127</f>
        <v>554.7920391810876</v>
      </c>
      <c r="BS127" s="301">
        <f t="shared" ref="BS127:BS133" si="50">BR127/$BR$134</f>
        <v>0.42350537342067757</v>
      </c>
    </row>
    <row r="128" spans="56:71" x14ac:dyDescent="0.35">
      <c r="BD128" s="3">
        <f>BD127+1</f>
        <v>2</v>
      </c>
      <c r="BE128" s="5" t="s">
        <v>890</v>
      </c>
      <c r="BF128" s="790">
        <f>'H_Tỷ lệ HH&amp;PS (-PS)'!FD12</f>
        <v>388.06046319877612</v>
      </c>
      <c r="BG128" s="110">
        <f t="shared" si="49"/>
        <v>0.33420491910277267</v>
      </c>
      <c r="BP128" s="3">
        <f>BP127+1</f>
        <v>2</v>
      </c>
      <c r="BQ128" s="5" t="s">
        <v>890</v>
      </c>
      <c r="BR128" s="790">
        <f t="shared" ref="BR128:BR130" si="51">BF128</f>
        <v>388.06046319877612</v>
      </c>
      <c r="BS128" s="301">
        <f t="shared" si="50"/>
        <v>0.2962293612204398</v>
      </c>
    </row>
    <row r="129" spans="2:71" x14ac:dyDescent="0.35">
      <c r="AB129" s="181"/>
      <c r="BD129" s="3">
        <f t="shared" ref="BD129:BD134" si="52">BD128+1</f>
        <v>3</v>
      </c>
      <c r="BE129" s="5" t="s">
        <v>891</v>
      </c>
      <c r="BF129" s="790">
        <f>'H_Tỷ lệ HH&amp;PS (-PS)'!FC12</f>
        <v>28.292774118720978</v>
      </c>
      <c r="BG129" s="110">
        <f t="shared" si="49"/>
        <v>2.436626552367107E-2</v>
      </c>
      <c r="BP129" s="3">
        <f t="shared" ref="BP129:BP134" si="53">BP128+1</f>
        <v>3</v>
      </c>
      <c r="BQ129" s="5" t="s">
        <v>891</v>
      </c>
      <c r="BR129" s="790">
        <f t="shared" si="51"/>
        <v>28.292774118720978</v>
      </c>
      <c r="BS129" s="301">
        <f t="shared" si="50"/>
        <v>2.1597537495206855E-2</v>
      </c>
    </row>
    <row r="130" spans="2:71" x14ac:dyDescent="0.35">
      <c r="AB130" s="181">
        <f>$AB$9/(SUM($AB$9:$AB$11))</f>
        <v>0.54119154686915505</v>
      </c>
      <c r="AP130" s="864">
        <f>$AB$9/(SUM($AB$9:$AB$11))</f>
        <v>0.54119154686915505</v>
      </c>
      <c r="BD130" s="3">
        <f t="shared" si="52"/>
        <v>4</v>
      </c>
      <c r="BE130" s="5" t="s">
        <v>892</v>
      </c>
      <c r="BF130" s="790">
        <f>'H_Tỷ lệ HH&amp;PS (-PS)'!FE12</f>
        <v>140</v>
      </c>
      <c r="BG130" s="110">
        <f t="shared" si="49"/>
        <v>0.12057061492095786</v>
      </c>
      <c r="BP130" s="3">
        <f t="shared" si="53"/>
        <v>4</v>
      </c>
      <c r="BQ130" s="5" t="s">
        <v>892</v>
      </c>
      <c r="BR130" s="790">
        <f t="shared" si="51"/>
        <v>140</v>
      </c>
      <c r="BS130" s="301">
        <f t="shared" si="50"/>
        <v>0.10687022900763359</v>
      </c>
    </row>
    <row r="131" spans="2:71" x14ac:dyDescent="0.35">
      <c r="AB131" s="181">
        <f>$AB$10/(SUM($AB$9:$AB$11))</f>
        <v>0.2808772372497097</v>
      </c>
      <c r="AP131" s="864">
        <f>$AB$10/(SUM($AB$9:$AB$11))</f>
        <v>0.2808772372497097</v>
      </c>
      <c r="BD131" s="3">
        <f t="shared" si="52"/>
        <v>5</v>
      </c>
      <c r="BE131" s="5" t="s">
        <v>895</v>
      </c>
      <c r="BF131" s="790">
        <f>'H_Tỷ lệ HH&amp;PS (-PS)'!FF12</f>
        <v>50</v>
      </c>
      <c r="BG131" s="110">
        <f t="shared" si="49"/>
        <v>4.3060933900342095E-2</v>
      </c>
      <c r="BP131" s="3">
        <f t="shared" si="53"/>
        <v>5</v>
      </c>
      <c r="BQ131" s="5" t="s">
        <v>895</v>
      </c>
      <c r="BR131" s="790">
        <f>BR134-SUM(BR127:BR130)</f>
        <v>198.85472350141526</v>
      </c>
      <c r="BS131" s="301">
        <f t="shared" si="50"/>
        <v>0.15179749885604218</v>
      </c>
    </row>
    <row r="132" spans="2:71" x14ac:dyDescent="0.35">
      <c r="F132" s="866">
        <v>26.5</v>
      </c>
      <c r="AB132" s="181">
        <f>$AB$11/(SUM($AB$9:$AB$11))</f>
        <v>0.1779312158811352</v>
      </c>
      <c r="AO132" s="864" t="s">
        <v>922</v>
      </c>
      <c r="AP132" s="865">
        <v>26.5</v>
      </c>
      <c r="BD132" s="3">
        <f t="shared" si="52"/>
        <v>6</v>
      </c>
      <c r="BE132" s="5" t="s">
        <v>893</v>
      </c>
      <c r="BF132" s="790">
        <f>BF131*20%</f>
        <v>10</v>
      </c>
      <c r="BG132" s="110">
        <f t="shared" si="49"/>
        <v>8.6121867800684187E-3</v>
      </c>
      <c r="BP132" s="3">
        <f t="shared" si="53"/>
        <v>6</v>
      </c>
      <c r="BQ132" s="5" t="s">
        <v>893</v>
      </c>
      <c r="BR132" s="790">
        <f>BR131*20%</f>
        <v>39.770944700283053</v>
      </c>
      <c r="BS132" s="301">
        <f t="shared" si="50"/>
        <v>3.0359499771208439E-2</v>
      </c>
    </row>
    <row r="133" spans="2:71" x14ac:dyDescent="0.35">
      <c r="B133" s="75" t="s">
        <v>0</v>
      </c>
      <c r="C133" s="75" t="str">
        <f>'H_Tỷ lệ HH&amp;PS (-PS)'!CH12</f>
        <v>Vảy B5_ A1 DT</v>
      </c>
      <c r="D133" s="674" t="s">
        <v>888</v>
      </c>
      <c r="E133" s="674" t="s">
        <v>455</v>
      </c>
      <c r="F133" s="3" t="s">
        <v>392</v>
      </c>
      <c r="N133" s="75" t="s">
        <v>0</v>
      </c>
      <c r="O133" s="75" t="str">
        <f>C133</f>
        <v>Vảy B5_ A1 DT</v>
      </c>
      <c r="P133" s="674" t="s">
        <v>888</v>
      </c>
      <c r="Q133" s="674" t="s">
        <v>455</v>
      </c>
      <c r="Z133" s="75" t="s">
        <v>0</v>
      </c>
      <c r="AA133" s="75" t="str">
        <f>BE126</f>
        <v>Hạt rPET WSS03G</v>
      </c>
      <c r="AB133" s="674" t="s">
        <v>888</v>
      </c>
      <c r="AC133" s="674" t="s">
        <v>455</v>
      </c>
      <c r="AN133" s="75" t="s">
        <v>0</v>
      </c>
      <c r="AO133" s="75" t="str">
        <f>BE126</f>
        <v>Hạt rPET WSS03G</v>
      </c>
      <c r="AP133" s="674" t="s">
        <v>888</v>
      </c>
      <c r="AQ133" s="674" t="s">
        <v>455</v>
      </c>
      <c r="BD133" s="3">
        <f t="shared" si="52"/>
        <v>7</v>
      </c>
      <c r="BE133" s="5" t="s">
        <v>894</v>
      </c>
      <c r="BF133" s="790">
        <f>BF131-BF132</f>
        <v>40</v>
      </c>
      <c r="BG133" s="110">
        <f t="shared" si="49"/>
        <v>3.4448747120273675E-2</v>
      </c>
      <c r="BP133" s="3">
        <f t="shared" si="53"/>
        <v>7</v>
      </c>
      <c r="BQ133" s="5" t="s">
        <v>894</v>
      </c>
      <c r="BR133" s="790">
        <f>BR131-BR132</f>
        <v>159.08377880113221</v>
      </c>
      <c r="BS133" s="301">
        <f t="shared" si="50"/>
        <v>0.12143799908483376</v>
      </c>
    </row>
    <row r="134" spans="2:71" x14ac:dyDescent="0.35">
      <c r="B134" s="3">
        <v>1</v>
      </c>
      <c r="C134" s="5" t="s">
        <v>889</v>
      </c>
      <c r="D134" s="790">
        <f>'H_Tỷ lệ HH&amp;PS (-PS)'!$CL$12</f>
        <v>12246.485326989954</v>
      </c>
      <c r="E134" s="110">
        <f>D134/$D$141</f>
        <v>0.63227321664856551</v>
      </c>
      <c r="F134" s="109">
        <f t="shared" ref="F134:F141" si="54">D134/$F$44</f>
        <v>462.1315217732058</v>
      </c>
      <c r="N134" s="3">
        <v>1</v>
      </c>
      <c r="O134" s="5" t="s">
        <v>889</v>
      </c>
      <c r="P134" s="790">
        <f>F134</f>
        <v>462.1315217732058</v>
      </c>
      <c r="Q134" s="110">
        <f>P134/$P$141</f>
        <v>0.63227321664856551</v>
      </c>
      <c r="Z134" s="3">
        <v>1</v>
      </c>
      <c r="AA134" s="5" t="s">
        <v>889</v>
      </c>
      <c r="AB134" s="790">
        <f>'H_Tỷ lệ HH&amp;PS (-PS)'!$DV$12</f>
        <v>14701.989038298821</v>
      </c>
      <c r="AC134" s="110">
        <f>AB134/$AB$142</f>
        <v>0.57127605169574858</v>
      </c>
      <c r="AN134" s="3">
        <v>1</v>
      </c>
      <c r="AO134" s="5" t="s">
        <v>889</v>
      </c>
      <c r="AP134" s="790">
        <f>AB134/$AP$5</f>
        <v>554.7920391810876</v>
      </c>
      <c r="AQ134" s="110">
        <f>AP134/$AP$142</f>
        <v>0.57127605169574869</v>
      </c>
      <c r="BD134" s="3">
        <f t="shared" si="52"/>
        <v>8</v>
      </c>
      <c r="BE134" s="75" t="s">
        <v>896</v>
      </c>
      <c r="BF134" s="200">
        <f>'H_Tỷ lệ HH&amp;PS (-PS)'!FG12</f>
        <v>1161.1452764985847</v>
      </c>
      <c r="BG134" s="793">
        <f t="shared" si="49"/>
        <v>1</v>
      </c>
      <c r="BP134" s="3">
        <f t="shared" si="53"/>
        <v>8</v>
      </c>
      <c r="BQ134" s="75" t="s">
        <v>896</v>
      </c>
      <c r="BR134" s="200">
        <f>'H_Tỷ lệ HH&amp;PS (-PS)'!FS12</f>
        <v>1310</v>
      </c>
      <c r="BS134" s="793">
        <f>BR134/$BR$134</f>
        <v>1</v>
      </c>
    </row>
    <row r="135" spans="2:71" x14ac:dyDescent="0.35">
      <c r="B135" s="3">
        <f>B134+1</f>
        <v>2</v>
      </c>
      <c r="C135" s="5" t="s">
        <v>891</v>
      </c>
      <c r="D135" s="790">
        <f>SUM('H_Tỷ lệ HH&amp;PS (-PS)'!$CR$12)</f>
        <v>1706.6665050795789</v>
      </c>
      <c r="E135" s="110">
        <f t="shared" ref="E135:E141" si="55">D135/$D$141</f>
        <v>8.8113404956673899E-2</v>
      </c>
      <c r="F135" s="109">
        <f t="shared" si="54"/>
        <v>64.402509625644484</v>
      </c>
      <c r="N135" s="3">
        <f>N134+1</f>
        <v>2</v>
      </c>
      <c r="O135" s="5" t="s">
        <v>891</v>
      </c>
      <c r="P135" s="790">
        <f t="shared" ref="P135:P140" si="56">F135</f>
        <v>64.402509625644484</v>
      </c>
      <c r="Q135" s="110">
        <f t="shared" ref="Q135:Q141" si="57">P135/$P$141</f>
        <v>8.8113404956673899E-2</v>
      </c>
      <c r="Z135" s="3">
        <f>Z134+1</f>
        <v>2</v>
      </c>
      <c r="AA135" s="5" t="s">
        <v>891</v>
      </c>
      <c r="AB135" s="790">
        <f>'H_Tỷ lệ HH&amp;PS (-PS)'!$EA$12</f>
        <v>2048.8647623994589</v>
      </c>
      <c r="AC135" s="110">
        <f t="shared" ref="AC135:AC142" si="58">AB135/$AB$142</f>
        <v>7.96128584284094E-2</v>
      </c>
      <c r="AN135" s="3">
        <f>AN134+1</f>
        <v>2</v>
      </c>
      <c r="AO135" s="5" t="s">
        <v>891</v>
      </c>
      <c r="AP135" s="790">
        <f t="shared" ref="AP135:AP141" si="59">AB135/$AP$5</f>
        <v>77.315651411300337</v>
      </c>
      <c r="AQ135" s="110">
        <f t="shared" ref="AQ135:AQ142" si="60">AP135/$AP$142</f>
        <v>7.9612858428409414E-2</v>
      </c>
    </row>
    <row r="136" spans="2:71" x14ac:dyDescent="0.35">
      <c r="B136" s="3">
        <f t="shared" ref="B136:B141" si="61">B135+1</f>
        <v>3</v>
      </c>
      <c r="C136" s="5" t="s">
        <v>904</v>
      </c>
      <c r="D136" s="790">
        <f>SUM('H_Tỷ lệ HH&amp;PS (-PS)'!$CM$12)</f>
        <v>3113.5132187262589</v>
      </c>
      <c r="E136" s="110">
        <f t="shared" si="55"/>
        <v>0.16074742796149968</v>
      </c>
      <c r="F136" s="109">
        <f t="shared" si="54"/>
        <v>117.49106485759468</v>
      </c>
      <c r="N136" s="3">
        <f t="shared" ref="N136:N141" si="62">N135+1</f>
        <v>3</v>
      </c>
      <c r="O136" s="5" t="s">
        <v>904</v>
      </c>
      <c r="P136" s="790">
        <f t="shared" si="56"/>
        <v>117.49106485759468</v>
      </c>
      <c r="Q136" s="110">
        <f t="shared" si="57"/>
        <v>0.16074742796149968</v>
      </c>
      <c r="Z136" s="3">
        <f t="shared" ref="Z136:Z142" si="63">Z135+1</f>
        <v>3</v>
      </c>
      <c r="AA136" s="5" t="s">
        <v>904</v>
      </c>
      <c r="AB136" s="790">
        <f>'H_Tỷ lệ HH&amp;PS (-PS)'!$DW$12*AB130</f>
        <v>3737.7938232963093</v>
      </c>
      <c r="AC136" s="110">
        <f t="shared" si="58"/>
        <v>0.14523967415993605</v>
      </c>
      <c r="AN136" s="3">
        <f t="shared" ref="AN136:AN142" si="64">AN135+1</f>
        <v>3</v>
      </c>
      <c r="AO136" s="5" t="s">
        <v>904</v>
      </c>
      <c r="AP136" s="790">
        <f t="shared" si="59"/>
        <v>141.04882352061546</v>
      </c>
      <c r="AQ136" s="110">
        <f t="shared" si="60"/>
        <v>0.14523967415993605</v>
      </c>
    </row>
    <row r="137" spans="2:71" x14ac:dyDescent="0.35">
      <c r="B137" s="3">
        <f t="shared" si="61"/>
        <v>4</v>
      </c>
      <c r="C137" s="5" t="s">
        <v>905</v>
      </c>
      <c r="D137" s="790">
        <f>SUM('H_Tỷ lệ HH&amp;PS (-PS)'!$CN$12)</f>
        <v>2042.6615365621933</v>
      </c>
      <c r="E137" s="110">
        <f t="shared" si="55"/>
        <v>0.10546047668061187</v>
      </c>
      <c r="F137" s="109">
        <f t="shared" si="54"/>
        <v>77.081567417441264</v>
      </c>
      <c r="N137" s="3">
        <f t="shared" si="62"/>
        <v>4</v>
      </c>
      <c r="O137" s="5" t="s">
        <v>905</v>
      </c>
      <c r="P137" s="790">
        <f t="shared" si="56"/>
        <v>77.081567417441264</v>
      </c>
      <c r="Q137" s="110">
        <f t="shared" si="57"/>
        <v>0.10546047668061187</v>
      </c>
      <c r="Z137" s="3">
        <f t="shared" si="63"/>
        <v>4</v>
      </c>
      <c r="AA137" s="5" t="s">
        <v>905</v>
      </c>
      <c r="AB137" s="790">
        <f>'H_Tỷ lệ HH&amp;PS (-PS)'!$DW$12*AB131</f>
        <v>1939.9068750612323</v>
      </c>
      <c r="AC137" s="110">
        <f t="shared" si="58"/>
        <v>7.5379075399627155E-2</v>
      </c>
      <c r="AN137" s="3">
        <f t="shared" si="64"/>
        <v>4</v>
      </c>
      <c r="AO137" s="5" t="s">
        <v>905</v>
      </c>
      <c r="AP137" s="790">
        <f t="shared" si="59"/>
        <v>73.204033021178574</v>
      </c>
      <c r="AQ137" s="110">
        <f t="shared" si="60"/>
        <v>7.5379075399627155E-2</v>
      </c>
    </row>
    <row r="138" spans="2:71" x14ac:dyDescent="0.35">
      <c r="B138" s="3">
        <f t="shared" si="61"/>
        <v>5</v>
      </c>
      <c r="C138" s="5" t="s">
        <v>906</v>
      </c>
      <c r="D138" s="790">
        <f>SUM('H_Tỷ lệ HH&amp;PS (-PS)'!$CO$12)</f>
        <v>1273.8558498087386</v>
      </c>
      <c r="E138" s="110">
        <f t="shared" si="55"/>
        <v>6.5767843932339684E-2</v>
      </c>
      <c r="F138" s="109">
        <f t="shared" si="54"/>
        <v>48.070032068254285</v>
      </c>
      <c r="N138" s="3">
        <f t="shared" si="62"/>
        <v>5</v>
      </c>
      <c r="O138" s="5" t="s">
        <v>906</v>
      </c>
      <c r="P138" s="790">
        <f t="shared" si="56"/>
        <v>48.070032068254285</v>
      </c>
      <c r="Q138" s="110">
        <f t="shared" si="57"/>
        <v>6.576784393233967E-2</v>
      </c>
      <c r="Z138" s="3">
        <f t="shared" si="63"/>
        <v>5</v>
      </c>
      <c r="AA138" s="5" t="s">
        <v>906</v>
      </c>
      <c r="AB138" s="790">
        <f>'H_Tỷ lệ HH&amp;PS (-PS)'!$DW$12*AB132</f>
        <v>1228.8998295328229</v>
      </c>
      <c r="AC138" s="110">
        <f t="shared" si="58"/>
        <v>4.7751432865054247E-2</v>
      </c>
      <c r="AN138" s="3">
        <f t="shared" si="64"/>
        <v>5</v>
      </c>
      <c r="AO138" s="5" t="s">
        <v>906</v>
      </c>
      <c r="AP138" s="790">
        <f t="shared" si="59"/>
        <v>46.373578472936714</v>
      </c>
      <c r="AQ138" s="110">
        <f t="shared" si="60"/>
        <v>4.7751432865054247E-2</v>
      </c>
    </row>
    <row r="139" spans="2:71" x14ac:dyDescent="0.35">
      <c r="B139" s="3">
        <f t="shared" si="61"/>
        <v>6</v>
      </c>
      <c r="C139" s="5" t="s">
        <v>907</v>
      </c>
      <c r="D139" s="790">
        <f>SUM('H_Tỷ lệ HH&amp;PS (-PS)'!$CP$12:$CQ$12)</f>
        <v>-1014.2055383763392</v>
      </c>
      <c r="E139" s="110">
        <f t="shared" si="55"/>
        <v>-5.2362370179690677E-2</v>
      </c>
      <c r="F139" s="109">
        <f t="shared" si="54"/>
        <v>-38.2719071085411</v>
      </c>
      <c r="N139" s="3">
        <f t="shared" si="62"/>
        <v>6</v>
      </c>
      <c r="O139" s="5" t="s">
        <v>907</v>
      </c>
      <c r="P139" s="790">
        <f t="shared" si="56"/>
        <v>-38.2719071085411</v>
      </c>
      <c r="Q139" s="110">
        <f t="shared" si="57"/>
        <v>-5.236237017969067E-2</v>
      </c>
      <c r="Z139" s="3">
        <f t="shared" si="63"/>
        <v>6</v>
      </c>
      <c r="AA139" s="5" t="s">
        <v>919</v>
      </c>
      <c r="AB139" s="790">
        <f>'H_Tỷ lệ HH&amp;PS (-PS)'!$EB$12</f>
        <v>2000.939404729972</v>
      </c>
      <c r="AC139" s="110">
        <f t="shared" si="58"/>
        <v>7.7750619990181111E-2</v>
      </c>
      <c r="AN139" s="3">
        <f t="shared" si="64"/>
        <v>6</v>
      </c>
      <c r="AO139" s="5" t="s">
        <v>919</v>
      </c>
      <c r="AP139" s="790">
        <f t="shared" si="59"/>
        <v>75.507147348300833</v>
      </c>
      <c r="AQ139" s="110">
        <f t="shared" si="60"/>
        <v>7.7750619990181125E-2</v>
      </c>
    </row>
    <row r="140" spans="2:71" x14ac:dyDescent="0.35">
      <c r="B140" s="3">
        <f t="shared" si="61"/>
        <v>7</v>
      </c>
      <c r="C140" s="5"/>
      <c r="D140" s="790"/>
      <c r="E140" s="110">
        <f t="shared" si="55"/>
        <v>0</v>
      </c>
      <c r="F140" s="109">
        <f t="shared" si="54"/>
        <v>0</v>
      </c>
      <c r="N140" s="3">
        <f t="shared" si="62"/>
        <v>7</v>
      </c>
      <c r="O140" s="5"/>
      <c r="P140" s="790">
        <f t="shared" si="56"/>
        <v>0</v>
      </c>
      <c r="Q140" s="110">
        <f t="shared" si="57"/>
        <v>0</v>
      </c>
      <c r="Z140" s="3">
        <f t="shared" si="63"/>
        <v>7</v>
      </c>
      <c r="AA140" s="5" t="s">
        <v>920</v>
      </c>
      <c r="AB140" s="790">
        <f>'H_Tỷ lệ HH&amp;PS (-PS)'!$EC$12</f>
        <v>1376.0623421472308</v>
      </c>
      <c r="AC140" s="110">
        <f t="shared" si="58"/>
        <v>5.3469735262436022E-2</v>
      </c>
      <c r="AN140" s="3">
        <f t="shared" si="64"/>
        <v>7</v>
      </c>
      <c r="AO140" s="5" t="s">
        <v>920</v>
      </c>
      <c r="AP140" s="790">
        <f t="shared" si="59"/>
        <v>51.926880835744555</v>
      </c>
      <c r="AQ140" s="110">
        <f t="shared" si="60"/>
        <v>5.3469735262436022E-2</v>
      </c>
    </row>
    <row r="141" spans="2:71" x14ac:dyDescent="0.35">
      <c r="B141" s="3">
        <f t="shared" si="61"/>
        <v>8</v>
      </c>
      <c r="C141" s="75" t="s">
        <v>449</v>
      </c>
      <c r="D141" s="200">
        <f>SUM(D134:D140)</f>
        <v>19368.976898790384</v>
      </c>
      <c r="E141" s="793">
        <f t="shared" si="55"/>
        <v>1</v>
      </c>
      <c r="F141" s="200">
        <f t="shared" si="54"/>
        <v>730.90478863359942</v>
      </c>
      <c r="N141" s="3">
        <f t="shared" si="62"/>
        <v>8</v>
      </c>
      <c r="O141" s="75" t="s">
        <v>449</v>
      </c>
      <c r="P141" s="200">
        <f>SUM(P134:P140)</f>
        <v>730.90478863359942</v>
      </c>
      <c r="Q141" s="793">
        <f t="shared" si="57"/>
        <v>1</v>
      </c>
      <c r="Z141" s="3">
        <f t="shared" si="63"/>
        <v>8</v>
      </c>
      <c r="AA141" s="5" t="s">
        <v>907</v>
      </c>
      <c r="AB141" s="862">
        <f>SUM('H_Tỷ lệ HH&amp;PS (-PS)'!$DX$12:$DZ$12)</f>
        <v>-1299.106248253353</v>
      </c>
      <c r="AC141" s="863">
        <f t="shared" si="58"/>
        <v>-5.0479447801392664E-2</v>
      </c>
      <c r="AN141" s="3">
        <f t="shared" si="64"/>
        <v>8</v>
      </c>
      <c r="AO141" s="5" t="s">
        <v>907</v>
      </c>
      <c r="AP141" s="862">
        <f t="shared" si="59"/>
        <v>-49.022877292579359</v>
      </c>
      <c r="AQ141" s="863">
        <f t="shared" si="60"/>
        <v>-5.0479447801392671E-2</v>
      </c>
    </row>
    <row r="142" spans="2:71" x14ac:dyDescent="0.35">
      <c r="Z142" s="3">
        <f t="shared" si="63"/>
        <v>9</v>
      </c>
      <c r="AA142" s="75" t="s">
        <v>918</v>
      </c>
      <c r="AB142" s="200">
        <f>SUM(AB134:AB141)</f>
        <v>25735.349827212496</v>
      </c>
      <c r="AC142" s="793">
        <f t="shared" si="58"/>
        <v>1</v>
      </c>
      <c r="AN142" s="3">
        <f t="shared" si="64"/>
        <v>9</v>
      </c>
      <c r="AO142" s="75" t="s">
        <v>918</v>
      </c>
      <c r="AP142" s="200">
        <f>SUM(AP134:AP141)</f>
        <v>971.14527649858474</v>
      </c>
      <c r="AQ142" s="793">
        <f t="shared" si="60"/>
        <v>1</v>
      </c>
    </row>
    <row r="173" spans="6:28" x14ac:dyDescent="0.35">
      <c r="AB173" s="864">
        <f>$AB$9/(SUM($AB$9:$AB$11))</f>
        <v>0.54119154686915505</v>
      </c>
    </row>
    <row r="174" spans="6:28" x14ac:dyDescent="0.35">
      <c r="AB174" s="864">
        <f>$AB$10/(SUM($AB$9:$AB$11))</f>
        <v>0.2808772372497097</v>
      </c>
    </row>
    <row r="176" spans="6:28" x14ac:dyDescent="0.35">
      <c r="F176" s="866">
        <v>26.5</v>
      </c>
    </row>
    <row r="177" spans="2:19" x14ac:dyDescent="0.35">
      <c r="B177" s="75" t="s">
        <v>0</v>
      </c>
      <c r="C177" s="75" t="str">
        <f>'H_Tỷ lệ HH&amp;PS (-PS)'!CH14</f>
        <v>Vảy  B6.2_ A1 DT</v>
      </c>
      <c r="D177" s="674" t="s">
        <v>888</v>
      </c>
      <c r="E177" s="674" t="s">
        <v>455</v>
      </c>
      <c r="F177" s="3" t="s">
        <v>392</v>
      </c>
      <c r="N177" s="75" t="s">
        <v>0</v>
      </c>
      <c r="O177" s="75" t="str">
        <f>C177</f>
        <v>Vảy  B6.2_ A1 DT</v>
      </c>
      <c r="P177" s="674" t="s">
        <v>888</v>
      </c>
      <c r="Q177" s="674" t="s">
        <v>455</v>
      </c>
      <c r="S177" s="75"/>
    </row>
    <row r="178" spans="2:19" x14ac:dyDescent="0.35">
      <c r="B178" s="3">
        <v>1</v>
      </c>
      <c r="C178" s="5" t="s">
        <v>889</v>
      </c>
      <c r="D178" s="790">
        <f>'H_Tỷ lệ HH&amp;PS (-PS)'!$CL$14</f>
        <v>14377.071640420023</v>
      </c>
      <c r="E178" s="110">
        <f>D178/$D$185</f>
        <v>0.64914014482276927</v>
      </c>
      <c r="F178" s="109">
        <f t="shared" ref="F178:F185" si="65">D178/$F$44</f>
        <v>542.53100529886876</v>
      </c>
      <c r="N178" s="3">
        <v>1</v>
      </c>
      <c r="O178" s="5" t="s">
        <v>889</v>
      </c>
      <c r="P178" s="790">
        <f>F178</f>
        <v>542.53100529886876</v>
      </c>
      <c r="Q178" s="110">
        <f>P178/$P$185</f>
        <v>0.64914014482276927</v>
      </c>
    </row>
    <row r="179" spans="2:19" x14ac:dyDescent="0.35">
      <c r="B179" s="3">
        <f>B178+1</f>
        <v>2</v>
      </c>
      <c r="C179" s="5" t="s">
        <v>891</v>
      </c>
      <c r="D179" s="790">
        <f>SUM('H_Tỷ lệ HH&amp;PS (-PS)'!$CR$14)</f>
        <v>2003.5843717346168</v>
      </c>
      <c r="E179" s="110">
        <f t="shared" ref="E179:E185" si="66">D179/$D$185</f>
        <v>9.0463974984717366E-2</v>
      </c>
      <c r="F179" s="109">
        <f t="shared" si="65"/>
        <v>75.606957423947804</v>
      </c>
      <c r="N179" s="3">
        <f>N178+1</f>
        <v>2</v>
      </c>
      <c r="O179" s="5" t="s">
        <v>891</v>
      </c>
      <c r="P179" s="790">
        <f t="shared" ref="P179:P184" si="67">F179</f>
        <v>75.606957423947804</v>
      </c>
      <c r="Q179" s="110">
        <f t="shared" ref="Q179:Q185" si="68">P179/$P$185</f>
        <v>9.0463974984717366E-2</v>
      </c>
    </row>
    <row r="180" spans="2:19" x14ac:dyDescent="0.35">
      <c r="B180" s="3">
        <f t="shared" ref="B180:B185" si="69">B179+1</f>
        <v>3</v>
      </c>
      <c r="C180" s="5" t="s">
        <v>904</v>
      </c>
      <c r="D180" s="790">
        <f>SUM('H_Tỷ lệ HH&amp;PS (-PS)'!$CM$14)</f>
        <v>3655.1877051915308</v>
      </c>
      <c r="E180" s="110">
        <f t="shared" si="66"/>
        <v>0.16503563003968708</v>
      </c>
      <c r="F180" s="109">
        <f t="shared" si="65"/>
        <v>137.93161151666155</v>
      </c>
      <c r="N180" s="3">
        <f t="shared" ref="N180:N185" si="70">N179+1</f>
        <v>3</v>
      </c>
      <c r="O180" s="5" t="s">
        <v>904</v>
      </c>
      <c r="P180" s="790">
        <f t="shared" si="67"/>
        <v>137.93161151666155</v>
      </c>
      <c r="Q180" s="110">
        <f t="shared" si="68"/>
        <v>0.1650356300396871</v>
      </c>
    </row>
    <row r="181" spans="2:19" x14ac:dyDescent="0.35">
      <c r="B181" s="3">
        <f t="shared" si="69"/>
        <v>4</v>
      </c>
      <c r="C181" s="5" t="s">
        <v>905</v>
      </c>
      <c r="D181" s="790">
        <f>SUM('H_Tỷ lệ HH&amp;PS (-PS)'!$CN$14)</f>
        <v>2024.4789219293125</v>
      </c>
      <c r="E181" s="110">
        <f t="shared" si="66"/>
        <v>9.1407386249446596E-2</v>
      </c>
      <c r="F181" s="109">
        <f t="shared" si="65"/>
        <v>76.395431016200476</v>
      </c>
      <c r="N181" s="3">
        <f t="shared" si="70"/>
        <v>4</v>
      </c>
      <c r="O181" s="5" t="s">
        <v>905</v>
      </c>
      <c r="P181" s="790">
        <f t="shared" si="67"/>
        <v>76.395431016200476</v>
      </c>
      <c r="Q181" s="110">
        <f t="shared" si="68"/>
        <v>9.1407386249446609E-2</v>
      </c>
    </row>
    <row r="182" spans="2:19" x14ac:dyDescent="0.35">
      <c r="B182" s="3">
        <f t="shared" si="69"/>
        <v>5</v>
      </c>
      <c r="C182" s="5" t="s">
        <v>906</v>
      </c>
      <c r="D182" s="790">
        <f>SUM('H_Tỷ lệ HH&amp;PS (-PS)'!$CO$14)</f>
        <v>1273.8558498087386</v>
      </c>
      <c r="E182" s="110">
        <f t="shared" si="66"/>
        <v>5.7515952588243373E-2</v>
      </c>
      <c r="F182" s="109">
        <f t="shared" si="65"/>
        <v>48.070032068254285</v>
      </c>
      <c r="N182" s="3">
        <f t="shared" si="70"/>
        <v>5</v>
      </c>
      <c r="O182" s="5" t="s">
        <v>906</v>
      </c>
      <c r="P182" s="790">
        <f t="shared" si="67"/>
        <v>48.070032068254285</v>
      </c>
      <c r="Q182" s="110">
        <f t="shared" si="68"/>
        <v>5.751595258824338E-2</v>
      </c>
    </row>
    <row r="183" spans="2:19" x14ac:dyDescent="0.35">
      <c r="B183" s="3">
        <f t="shared" si="69"/>
        <v>6</v>
      </c>
      <c r="C183" s="5" t="s">
        <v>907</v>
      </c>
      <c r="D183" s="790">
        <f>SUM('H_Tỷ lệ HH&amp;PS (-PS)'!$CP$14:$CQ$14)</f>
        <v>-1186.3083333333332</v>
      </c>
      <c r="E183" s="110">
        <f t="shared" si="66"/>
        <v>-5.3563088684863799E-2</v>
      </c>
      <c r="F183" s="109">
        <f t="shared" si="65"/>
        <v>-44.766352201257853</v>
      </c>
      <c r="N183" s="3">
        <f t="shared" si="70"/>
        <v>6</v>
      </c>
      <c r="O183" s="5" t="s">
        <v>907</v>
      </c>
      <c r="P183" s="790">
        <f t="shared" si="67"/>
        <v>-44.766352201257853</v>
      </c>
      <c r="Q183" s="110">
        <f t="shared" si="68"/>
        <v>-5.3563088684863799E-2</v>
      </c>
    </row>
    <row r="184" spans="2:19" x14ac:dyDescent="0.35">
      <c r="B184" s="3">
        <f t="shared" si="69"/>
        <v>7</v>
      </c>
      <c r="C184" s="5"/>
      <c r="D184" s="790"/>
      <c r="E184" s="110">
        <f t="shared" si="66"/>
        <v>0</v>
      </c>
      <c r="F184" s="109">
        <f t="shared" si="65"/>
        <v>0</v>
      </c>
      <c r="N184" s="3">
        <f t="shared" si="70"/>
        <v>7</v>
      </c>
      <c r="O184" s="5"/>
      <c r="P184" s="790">
        <f t="shared" si="67"/>
        <v>0</v>
      </c>
      <c r="Q184" s="110">
        <f t="shared" si="68"/>
        <v>0</v>
      </c>
    </row>
    <row r="185" spans="2:19" x14ac:dyDescent="0.35">
      <c r="B185" s="3">
        <f t="shared" si="69"/>
        <v>8</v>
      </c>
      <c r="C185" s="75" t="s">
        <v>449</v>
      </c>
      <c r="D185" s="200">
        <f>SUM(D178:D184)</f>
        <v>22147.87015575089</v>
      </c>
      <c r="E185" s="793">
        <f t="shared" si="66"/>
        <v>1</v>
      </c>
      <c r="F185" s="200">
        <f t="shared" si="65"/>
        <v>835.76868512267515</v>
      </c>
      <c r="N185" s="3">
        <f t="shared" si="70"/>
        <v>8</v>
      </c>
      <c r="O185" s="75" t="s">
        <v>449</v>
      </c>
      <c r="P185" s="200">
        <f>SUM(P178:P184)</f>
        <v>835.76868512267504</v>
      </c>
      <c r="Q185" s="793">
        <f t="shared" si="68"/>
        <v>1</v>
      </c>
    </row>
    <row r="213" spans="2:71" ht="16" x14ac:dyDescent="0.35">
      <c r="BJ213" s="1144"/>
      <c r="BK213" s="1144"/>
      <c r="BL213" s="1144"/>
    </row>
    <row r="214" spans="2:71" ht="16" x14ac:dyDescent="0.35">
      <c r="BJ214" s="1143"/>
      <c r="BK214" s="1143"/>
      <c r="BL214" s="1143"/>
    </row>
    <row r="215" spans="2:71" x14ac:dyDescent="0.35">
      <c r="D215" s="864">
        <f>$AB$9/(SUM($AB$9:$AB$11))</f>
        <v>0.54119154686915505</v>
      </c>
    </row>
    <row r="216" spans="2:71" x14ac:dyDescent="0.35">
      <c r="D216" s="864">
        <f>$AB$10/(SUM($AB$9:$AB$11))</f>
        <v>0.2808772372497097</v>
      </c>
    </row>
    <row r="217" spans="2:71" x14ac:dyDescent="0.35">
      <c r="D217" s="864">
        <f>$AB$11/(SUM($AB$9:$AB$11))</f>
        <v>0.1779312158811352</v>
      </c>
      <c r="AB217" s="864"/>
      <c r="AO217" s="864"/>
      <c r="AP217" s="865"/>
    </row>
    <row r="218" spans="2:71" x14ac:dyDescent="0.35">
      <c r="B218" s="75" t="s">
        <v>0</v>
      </c>
      <c r="C218" s="924" t="str">
        <f>'H_Tỷ lệ HH&amp;PS (-PS)'!DR68</f>
        <v>Vảy FPET 201</v>
      </c>
      <c r="D218" s="674" t="s">
        <v>888</v>
      </c>
      <c r="E218" s="674" t="s">
        <v>455</v>
      </c>
      <c r="F218" s="3" t="s">
        <v>392</v>
      </c>
      <c r="N218" s="75" t="s">
        <v>0</v>
      </c>
      <c r="O218" s="75" t="str">
        <f>C218</f>
        <v>Vảy FPET 201</v>
      </c>
      <c r="P218" s="674" t="s">
        <v>888</v>
      </c>
      <c r="Q218" s="674" t="s">
        <v>455</v>
      </c>
      <c r="S218" s="75"/>
      <c r="Z218" s="75"/>
      <c r="AA218" s="75"/>
      <c r="AB218" s="674"/>
      <c r="AC218" s="674"/>
      <c r="AN218" s="75"/>
      <c r="AO218" s="75"/>
      <c r="AP218" s="674"/>
      <c r="AQ218" s="674"/>
      <c r="BD218" s="75" t="s">
        <v>0</v>
      </c>
      <c r="BE218" s="75" t="str">
        <f>'H_Tỷ lệ HH&amp;PS (-PS)'!DR68</f>
        <v>Vảy FPET 201</v>
      </c>
      <c r="BF218" s="674" t="s">
        <v>888</v>
      </c>
      <c r="BG218" s="674" t="s">
        <v>455</v>
      </c>
      <c r="BP218" s="75" t="s">
        <v>0</v>
      </c>
      <c r="BQ218" s="75" t="str">
        <f>BE218</f>
        <v>Vảy FPET 201</v>
      </c>
      <c r="BR218" s="674" t="s">
        <v>888</v>
      </c>
      <c r="BS218" s="674" t="s">
        <v>455</v>
      </c>
    </row>
    <row r="219" spans="2:71" x14ac:dyDescent="0.35">
      <c r="B219" s="3">
        <v>1</v>
      </c>
      <c r="C219" s="5" t="s">
        <v>889</v>
      </c>
      <c r="D219" s="790">
        <f>'H_Tỷ lệ HH&amp;PS (-PS)'!$DV$68</f>
        <v>14621.357156513728</v>
      </c>
      <c r="E219" s="110">
        <f>D219/$D$185</f>
        <v>0.66016989686555316</v>
      </c>
      <c r="F219" s="109">
        <f t="shared" ref="F219:F226" si="71">D219/$F$44</f>
        <v>551.74932666089535</v>
      </c>
      <c r="N219" s="3">
        <v>1</v>
      </c>
      <c r="O219" s="5" t="s">
        <v>889</v>
      </c>
      <c r="P219" s="790">
        <f>F219</f>
        <v>551.74932666089535</v>
      </c>
      <c r="Q219" s="110">
        <f>P219/$P$185</f>
        <v>0.66016989686555316</v>
      </c>
      <c r="Z219" s="3"/>
      <c r="AA219" s="5"/>
      <c r="AB219" s="790"/>
      <c r="AC219" s="110"/>
      <c r="AN219" s="3"/>
      <c r="AO219" s="5"/>
      <c r="AP219" s="790"/>
      <c r="AQ219" s="110"/>
      <c r="BD219" s="3">
        <v>1</v>
      </c>
      <c r="BE219" s="5" t="s">
        <v>889</v>
      </c>
      <c r="BF219" s="790">
        <f>'H_Tỷ lệ HH&amp;PS (-PS)'!FB68</f>
        <v>551.74932666089535</v>
      </c>
      <c r="BG219" s="110">
        <f t="shared" ref="BG219:BG225" si="72">BF219/$BF$226</f>
        <v>0.52844125896209104</v>
      </c>
      <c r="BP219" s="3">
        <v>1</v>
      </c>
      <c r="BQ219" s="5" t="s">
        <v>889</v>
      </c>
      <c r="BR219" s="790">
        <f>BF219</f>
        <v>551.74932666089535</v>
      </c>
      <c r="BS219" s="301">
        <f t="shared" ref="BS219:BS225" si="73">BR219/$BR$226</f>
        <v>0.52051823269895792</v>
      </c>
    </row>
    <row r="220" spans="2:71" x14ac:dyDescent="0.35">
      <c r="B220" s="3">
        <f>B219+1</f>
        <v>2</v>
      </c>
      <c r="C220" s="5" t="s">
        <v>891</v>
      </c>
      <c r="D220" s="790">
        <f>'H_Tỷ lệ HH&amp;PS (-PS)'!$EA$68</f>
        <v>2037.6279276497469</v>
      </c>
      <c r="E220" s="110">
        <f t="shared" ref="E220:E226" si="74">D220/$D$185</f>
        <v>9.200107790593394E-2</v>
      </c>
      <c r="F220" s="109">
        <f t="shared" si="71"/>
        <v>76.89161991131121</v>
      </c>
      <c r="N220" s="3">
        <f>N219+1</f>
        <v>2</v>
      </c>
      <c r="O220" s="5" t="s">
        <v>891</v>
      </c>
      <c r="P220" s="790">
        <f>F220</f>
        <v>76.89161991131121</v>
      </c>
      <c r="Q220" s="110">
        <f t="shared" ref="Q220:Q226" si="75">P220/$P$185</f>
        <v>9.2001077905933953E-2</v>
      </c>
      <c r="Z220" s="3"/>
      <c r="AA220" s="5"/>
      <c r="AB220" s="790"/>
      <c r="AC220" s="110"/>
      <c r="AN220" s="3"/>
      <c r="AO220" s="5"/>
      <c r="AP220" s="790"/>
      <c r="AQ220" s="110"/>
      <c r="BD220" s="3">
        <f>BD219+1</f>
        <v>2</v>
      </c>
      <c r="BE220" s="5" t="s">
        <v>890</v>
      </c>
      <c r="BF220" s="790">
        <f>'H_Tỷ lệ HH&amp;PS (-PS)'!FD68</f>
        <v>269.58540497075541</v>
      </c>
      <c r="BG220" s="110">
        <f t="shared" si="72"/>
        <v>0.25819705419977246</v>
      </c>
      <c r="BP220" s="3">
        <f>BP219+1</f>
        <v>2</v>
      </c>
      <c r="BQ220" s="5" t="s">
        <v>890</v>
      </c>
      <c r="BR220" s="790">
        <f t="shared" ref="BR220:BR222" si="76">BF220</f>
        <v>269.58540497075541</v>
      </c>
      <c r="BS220" s="301">
        <f t="shared" si="73"/>
        <v>0.25432585374599564</v>
      </c>
    </row>
    <row r="221" spans="2:71" x14ac:dyDescent="0.35">
      <c r="B221" s="3">
        <f t="shared" ref="B221:B226" si="77">B220+1</f>
        <v>3</v>
      </c>
      <c r="C221" s="5" t="s">
        <v>904</v>
      </c>
      <c r="D221" s="790">
        <f>'H_Tỷ lệ HH&amp;PS (-PS)'!$DW$68*D215</f>
        <v>3866.2795717309741</v>
      </c>
      <c r="E221" s="110">
        <f t="shared" si="74"/>
        <v>0.17456665334147539</v>
      </c>
      <c r="F221" s="109">
        <f t="shared" si="71"/>
        <v>145.89734232947072</v>
      </c>
      <c r="N221" s="3">
        <f t="shared" ref="N221:N226" si="78">N220+1</f>
        <v>3</v>
      </c>
      <c r="O221" s="5" t="s">
        <v>904</v>
      </c>
      <c r="P221" s="790">
        <f t="shared" ref="P221:P225" si="79">F221</f>
        <v>145.89734232947072</v>
      </c>
      <c r="Q221" s="110">
        <f t="shared" si="75"/>
        <v>0.17456665334147539</v>
      </c>
      <c r="Z221" s="3"/>
      <c r="AA221" s="5"/>
      <c r="AB221" s="790"/>
      <c r="AC221" s="110"/>
      <c r="AN221" s="3"/>
      <c r="AO221" s="5"/>
      <c r="AP221" s="790"/>
      <c r="AQ221" s="110"/>
      <c r="BD221" s="3">
        <f t="shared" ref="BD221:BD226" si="80">BD220+1</f>
        <v>3</v>
      </c>
      <c r="BE221" s="5" t="s">
        <v>891</v>
      </c>
      <c r="BF221" s="790">
        <f>'H_Tỷ lệ HH&amp;PS (-PS)'!FC68</f>
        <v>32.772474805226551</v>
      </c>
      <c r="BG221" s="110">
        <f t="shared" si="72"/>
        <v>3.1388036212359818E-2</v>
      </c>
      <c r="BP221" s="3">
        <f t="shared" ref="BP221:BP226" si="81">BP220+1</f>
        <v>3</v>
      </c>
      <c r="BQ221" s="5" t="s">
        <v>891</v>
      </c>
      <c r="BR221" s="790">
        <f t="shared" si="76"/>
        <v>32.772474805226551</v>
      </c>
      <c r="BS221" s="301">
        <f t="shared" si="73"/>
        <v>3.0917429061534482E-2</v>
      </c>
    </row>
    <row r="222" spans="2:71" x14ac:dyDescent="0.35">
      <c r="B222" s="3">
        <f t="shared" si="77"/>
        <v>4</v>
      </c>
      <c r="C222" s="5" t="s">
        <v>905</v>
      </c>
      <c r="D222" s="790">
        <f>'H_Tỷ lệ HH&amp;PS (-PS)'!$DW$68*D216</f>
        <v>2006.5906994022932</v>
      </c>
      <c r="E222" s="110">
        <f t="shared" si="74"/>
        <v>9.0599713890830463E-2</v>
      </c>
      <c r="F222" s="109">
        <f t="shared" si="71"/>
        <v>75.720403751029934</v>
      </c>
      <c r="N222" s="3">
        <f t="shared" si="78"/>
        <v>4</v>
      </c>
      <c r="O222" s="5" t="s">
        <v>905</v>
      </c>
      <c r="P222" s="790">
        <f t="shared" si="79"/>
        <v>75.720403751029934</v>
      </c>
      <c r="Q222" s="110">
        <f t="shared" si="75"/>
        <v>9.0599713890830463E-2</v>
      </c>
      <c r="Z222" s="3"/>
      <c r="AA222" s="5"/>
      <c r="AB222" s="790"/>
      <c r="AC222" s="110"/>
      <c r="AN222" s="3"/>
      <c r="AO222" s="5"/>
      <c r="AP222" s="790"/>
      <c r="AQ222" s="110"/>
      <c r="BD222" s="3">
        <f t="shared" si="80"/>
        <v>4</v>
      </c>
      <c r="BE222" s="5" t="s">
        <v>892</v>
      </c>
      <c r="BF222" s="790">
        <f>'H_Tỷ lệ HH&amp;PS (-PS)'!FE68</f>
        <v>140</v>
      </c>
      <c r="BG222" s="110">
        <f t="shared" si="72"/>
        <v>0.13408584782951966</v>
      </c>
      <c r="BP222" s="3">
        <f t="shared" si="81"/>
        <v>4</v>
      </c>
      <c r="BQ222" s="5" t="s">
        <v>892</v>
      </c>
      <c r="BR222" s="790">
        <f t="shared" si="76"/>
        <v>140</v>
      </c>
      <c r="BS222" s="301">
        <f t="shared" si="73"/>
        <v>0.13207547169811321</v>
      </c>
    </row>
    <row r="223" spans="2:71" x14ac:dyDescent="0.35">
      <c r="B223" s="3">
        <f t="shared" si="77"/>
        <v>5</v>
      </c>
      <c r="C223" s="5" t="s">
        <v>906</v>
      </c>
      <c r="D223" s="790">
        <f>'H_Tỷ lệ HH&amp;PS (-PS)'!$DW$68*D217</f>
        <v>1271.1429605917506</v>
      </c>
      <c r="E223" s="110">
        <f t="shared" si="74"/>
        <v>5.739346274168431E-2</v>
      </c>
      <c r="F223" s="109">
        <f t="shared" si="71"/>
        <v>47.967658890254739</v>
      </c>
      <c r="N223" s="3">
        <f t="shared" si="78"/>
        <v>5</v>
      </c>
      <c r="O223" s="5" t="s">
        <v>906</v>
      </c>
      <c r="P223" s="790">
        <f t="shared" si="79"/>
        <v>47.967658890254739</v>
      </c>
      <c r="Q223" s="110">
        <f t="shared" si="75"/>
        <v>5.7393462741684317E-2</v>
      </c>
      <c r="Z223" s="3"/>
      <c r="AA223" s="5"/>
      <c r="AB223" s="790"/>
      <c r="AC223" s="110"/>
      <c r="AN223" s="3"/>
      <c r="AO223" s="5"/>
      <c r="AP223" s="790"/>
      <c r="AQ223" s="110"/>
      <c r="BD223" s="3">
        <f t="shared" si="80"/>
        <v>5</v>
      </c>
      <c r="BE223" s="5" t="s">
        <v>895</v>
      </c>
      <c r="BF223" s="790">
        <f>'H_Tỷ lệ HH&amp;PS (-PS)'!FF68</f>
        <v>50</v>
      </c>
      <c r="BG223" s="110">
        <f t="shared" si="72"/>
        <v>4.7887802796257026E-2</v>
      </c>
      <c r="BP223" s="3">
        <f t="shared" si="81"/>
        <v>5</v>
      </c>
      <c r="BQ223" s="5" t="s">
        <v>895</v>
      </c>
      <c r="BR223" s="790">
        <f>BR226-SUM(BR219:BR222)</f>
        <v>65.892793563122609</v>
      </c>
      <c r="BS223" s="301">
        <f t="shared" si="73"/>
        <v>6.2163012795398688E-2</v>
      </c>
    </row>
    <row r="224" spans="2:71" x14ac:dyDescent="0.35">
      <c r="B224" s="3">
        <f t="shared" si="77"/>
        <v>6</v>
      </c>
      <c r="C224" s="5" t="s">
        <v>907</v>
      </c>
      <c r="D224" s="790">
        <f>SUM('H_Tỷ lệ HH&amp;PS (-PS)'!$DX$68:$DZ$68)</f>
        <v>-1169.1573453112433</v>
      </c>
      <c r="E224" s="110">
        <f t="shared" si="74"/>
        <v>-5.2788703251796028E-2</v>
      </c>
      <c r="F224" s="109">
        <f t="shared" si="71"/>
        <v>-44.119145106084652</v>
      </c>
      <c r="N224" s="3">
        <f t="shared" si="78"/>
        <v>6</v>
      </c>
      <c r="O224" s="5" t="s">
        <v>907</v>
      </c>
      <c r="P224" s="790">
        <f t="shared" si="79"/>
        <v>-44.119145106084652</v>
      </c>
      <c r="Q224" s="110">
        <f t="shared" si="75"/>
        <v>-5.2788703251796035E-2</v>
      </c>
      <c r="Z224" s="3"/>
      <c r="AA224" s="5"/>
      <c r="AB224" s="790"/>
      <c r="AC224" s="110"/>
      <c r="AN224" s="3"/>
      <c r="AO224" s="5"/>
      <c r="AP224" s="790"/>
      <c r="AQ224" s="110"/>
      <c r="BD224" s="3">
        <f t="shared" si="80"/>
        <v>6</v>
      </c>
      <c r="BE224" s="5" t="s">
        <v>893</v>
      </c>
      <c r="BF224" s="790">
        <f>BF223*20%</f>
        <v>10</v>
      </c>
      <c r="BG224" s="110">
        <f t="shared" si="72"/>
        <v>9.5775605592514045E-3</v>
      </c>
      <c r="BP224" s="3">
        <f t="shared" si="81"/>
        <v>6</v>
      </c>
      <c r="BQ224" s="5" t="s">
        <v>893</v>
      </c>
      <c r="BR224" s="790">
        <f>BR223*20%</f>
        <v>13.178558712624522</v>
      </c>
      <c r="BS224" s="301">
        <f t="shared" si="73"/>
        <v>1.2432602559079738E-2</v>
      </c>
    </row>
    <row r="225" spans="2:71" x14ac:dyDescent="0.35">
      <c r="B225" s="3">
        <f t="shared" si="77"/>
        <v>7</v>
      </c>
      <c r="C225" s="5"/>
      <c r="D225" s="790"/>
      <c r="E225" s="110">
        <f t="shared" si="74"/>
        <v>0</v>
      </c>
      <c r="F225" s="109">
        <f t="shared" si="71"/>
        <v>0</v>
      </c>
      <c r="N225" s="3">
        <f t="shared" si="78"/>
        <v>7</v>
      </c>
      <c r="O225" s="5"/>
      <c r="P225" s="790">
        <f t="shared" si="79"/>
        <v>0</v>
      </c>
      <c r="Q225" s="110">
        <f t="shared" si="75"/>
        <v>0</v>
      </c>
      <c r="Z225" s="3"/>
      <c r="AA225" s="5"/>
      <c r="AB225" s="790"/>
      <c r="AC225" s="110"/>
      <c r="AN225" s="3"/>
      <c r="AO225" s="5"/>
      <c r="AP225" s="790"/>
      <c r="AQ225" s="110"/>
      <c r="BD225" s="3">
        <f t="shared" si="80"/>
        <v>7</v>
      </c>
      <c r="BE225" s="5" t="s">
        <v>894</v>
      </c>
      <c r="BF225" s="790">
        <f>BF223-BF224</f>
        <v>40</v>
      </c>
      <c r="BG225" s="110">
        <f t="shared" si="72"/>
        <v>3.8310242237005618E-2</v>
      </c>
      <c r="BP225" s="3">
        <f t="shared" si="81"/>
        <v>7</v>
      </c>
      <c r="BQ225" s="5" t="s">
        <v>894</v>
      </c>
      <c r="BR225" s="790">
        <f>BR223-BR224</f>
        <v>52.714234850498087</v>
      </c>
      <c r="BS225" s="301">
        <f t="shared" si="73"/>
        <v>4.9730410236318953E-2</v>
      </c>
    </row>
    <row r="226" spans="2:71" x14ac:dyDescent="0.35">
      <c r="B226" s="3">
        <f t="shared" si="77"/>
        <v>8</v>
      </c>
      <c r="C226" s="75" t="s">
        <v>449</v>
      </c>
      <c r="D226" s="200">
        <f>SUM(D219:D225)</f>
        <v>22633.84097057725</v>
      </c>
      <c r="E226" s="793">
        <f t="shared" si="74"/>
        <v>1.0219421014936811</v>
      </c>
      <c r="F226" s="200">
        <f t="shared" si="71"/>
        <v>854.10720643687739</v>
      </c>
      <c r="N226" s="3">
        <f t="shared" si="78"/>
        <v>8</v>
      </c>
      <c r="O226" s="75" t="s">
        <v>449</v>
      </c>
      <c r="P226" s="200">
        <f>SUM(P219:P225)</f>
        <v>854.10720643687728</v>
      </c>
      <c r="Q226" s="793">
        <f t="shared" si="75"/>
        <v>1.0219421014936811</v>
      </c>
      <c r="Z226" s="3"/>
      <c r="AA226" s="5"/>
      <c r="AB226" s="862"/>
      <c r="AC226" s="863"/>
      <c r="AN226" s="3"/>
      <c r="AO226" s="5"/>
      <c r="AP226" s="862"/>
      <c r="AQ226" s="863"/>
      <c r="BD226" s="3">
        <f t="shared" si="80"/>
        <v>8</v>
      </c>
      <c r="BE226" s="75" t="s">
        <v>896</v>
      </c>
      <c r="BF226" s="200">
        <f>'H_Tỷ lệ HH&amp;PS (-PS)'!FG68</f>
        <v>1044.1072064368773</v>
      </c>
      <c r="BG226" s="793">
        <f>BF226/$BF$226</f>
        <v>1</v>
      </c>
      <c r="BP226" s="3">
        <f t="shared" si="81"/>
        <v>8</v>
      </c>
      <c r="BQ226" s="75" t="s">
        <v>896</v>
      </c>
      <c r="BR226" s="200">
        <f>'H_Tỷ lệ HH&amp;PS (-PS)'!FS68</f>
        <v>1060</v>
      </c>
      <c r="BS226" s="793">
        <f>BR226/$BR$226</f>
        <v>1</v>
      </c>
    </row>
    <row r="227" spans="2:71" x14ac:dyDescent="0.35">
      <c r="Z227" s="3"/>
      <c r="AA227" s="75"/>
      <c r="AB227" s="200"/>
      <c r="AC227" s="793"/>
      <c r="AN227" s="3"/>
      <c r="AO227" s="75"/>
      <c r="AP227" s="200"/>
      <c r="AQ227" s="793"/>
    </row>
    <row r="259" spans="26:71" x14ac:dyDescent="0.35">
      <c r="AB259" s="181">
        <f>$AB$9/(SUM($AB$9:$AB$11))</f>
        <v>0.54119154686915505</v>
      </c>
      <c r="AP259" s="864">
        <f>$AB$9/(SUM($AB$9:$AB$11))</f>
        <v>0.54119154686915505</v>
      </c>
    </row>
    <row r="260" spans="26:71" x14ac:dyDescent="0.35">
      <c r="AB260" s="181">
        <f>$AB$10/(SUM($AB$9:$AB$11))</f>
        <v>0.2808772372497097</v>
      </c>
      <c r="AP260" s="864">
        <f>$AB$10/(SUM($AB$9:$AB$11))</f>
        <v>0.2808772372497097</v>
      </c>
    </row>
    <row r="261" spans="26:71" x14ac:dyDescent="0.35">
      <c r="AB261" s="181">
        <f>$AB$11/(SUM($AB$9:$AB$11))</f>
        <v>0.1779312158811352</v>
      </c>
      <c r="AO261" s="864" t="s">
        <v>922</v>
      </c>
      <c r="AP261" s="865">
        <v>26.5</v>
      </c>
      <c r="BD261" s="75" t="s">
        <v>0</v>
      </c>
      <c r="BE261" s="75" t="str">
        <f>'H_Tỷ lệ HH&amp;PS (-PS)'!DR47</f>
        <v>Hạt WSS03NC</v>
      </c>
      <c r="BF261" s="674" t="s">
        <v>888</v>
      </c>
      <c r="BG261" s="674" t="s">
        <v>455</v>
      </c>
      <c r="BP261" s="75" t="s">
        <v>0</v>
      </c>
      <c r="BQ261" s="75" t="str">
        <f>BE261</f>
        <v>Hạt WSS03NC</v>
      </c>
      <c r="BR261" s="674" t="s">
        <v>888</v>
      </c>
      <c r="BS261" s="674" t="s">
        <v>455</v>
      </c>
    </row>
    <row r="262" spans="26:71" x14ac:dyDescent="0.35">
      <c r="Z262" s="75" t="s">
        <v>0</v>
      </c>
      <c r="AA262" s="75">
        <f>BE255</f>
        <v>0</v>
      </c>
      <c r="AB262" s="674" t="s">
        <v>888</v>
      </c>
      <c r="AC262" s="674" t="s">
        <v>455</v>
      </c>
      <c r="AN262" s="75" t="s">
        <v>0</v>
      </c>
      <c r="AO262" s="75">
        <f>BE255</f>
        <v>0</v>
      </c>
      <c r="AP262" s="674" t="s">
        <v>888</v>
      </c>
      <c r="AQ262" s="674" t="s">
        <v>455</v>
      </c>
      <c r="BD262" s="3">
        <v>1</v>
      </c>
      <c r="BE262" s="5" t="s">
        <v>889</v>
      </c>
      <c r="BF262" s="790">
        <f>'H_Tỷ lệ HH&amp;PS (-PS)'!FB47</f>
        <v>587.29135678199202</v>
      </c>
      <c r="BG262" s="110">
        <f>BF262/$BF$269</f>
        <v>0.50402723292115892</v>
      </c>
      <c r="BP262" s="3">
        <v>1</v>
      </c>
      <c r="BQ262" s="5" t="s">
        <v>889</v>
      </c>
      <c r="BR262" s="790">
        <f>BF262</f>
        <v>587.29135678199202</v>
      </c>
      <c r="BS262" s="301">
        <f t="shared" ref="BS262:BS268" si="82">BR262/$BR$269</f>
        <v>0.4698330854255936</v>
      </c>
    </row>
    <row r="263" spans="26:71" x14ac:dyDescent="0.35">
      <c r="Z263" s="3">
        <v>1</v>
      </c>
      <c r="AA263" s="5" t="s">
        <v>889</v>
      </c>
      <c r="AB263" s="790">
        <f>'H_Tỷ lệ HH&amp;PS (-PS)'!$DV$47</f>
        <v>15563.220954722789</v>
      </c>
      <c r="AC263" s="110">
        <f t="shared" ref="AC263:AC270" si="83">AB263/$AB$271</f>
        <v>0.60222801551593308</v>
      </c>
      <c r="AN263" s="3">
        <v>1</v>
      </c>
      <c r="AO263" s="5" t="s">
        <v>889</v>
      </c>
      <c r="AP263" s="790">
        <f>AB263/$AP$5</f>
        <v>587.29135678199202</v>
      </c>
      <c r="AQ263" s="110">
        <f t="shared" ref="AQ263:AQ270" si="84">AP263/$AP$271</f>
        <v>0.60222801551593286</v>
      </c>
      <c r="BD263" s="3">
        <f>BD262+1</f>
        <v>2</v>
      </c>
      <c r="BE263" s="5" t="s">
        <v>890</v>
      </c>
      <c r="BF263" s="790">
        <f>'H_Tỷ lệ HH&amp;PS (-PS)'!FD47</f>
        <v>373.76047087498836</v>
      </c>
      <c r="BG263" s="110">
        <f t="shared" ref="BG263:BG268" si="85">BF263/$BF$269</f>
        <v>0.32077001259250648</v>
      </c>
      <c r="BP263" s="3">
        <f>BP262+1</f>
        <v>2</v>
      </c>
      <c r="BQ263" s="5" t="s">
        <v>890</v>
      </c>
      <c r="BR263" s="790">
        <f t="shared" ref="BR263:BR265" si="86">BF263</f>
        <v>373.76047087498836</v>
      </c>
      <c r="BS263" s="301">
        <f t="shared" si="82"/>
        <v>0.2990083766999907</v>
      </c>
    </row>
    <row r="264" spans="26:71" x14ac:dyDescent="0.35">
      <c r="Z264" s="3">
        <f>Z263+1</f>
        <v>2</v>
      </c>
      <c r="AA264" s="5" t="s">
        <v>891</v>
      </c>
      <c r="AB264" s="790">
        <f>'H_Tỷ lệ HH&amp;PS (-PS)'!$EA$47</f>
        <v>2103.2594021091791</v>
      </c>
      <c r="AC264" s="110">
        <f t="shared" si="83"/>
        <v>8.1386863267726456E-2</v>
      </c>
      <c r="AN264" s="3">
        <f>AN263+1</f>
        <v>2</v>
      </c>
      <c r="AO264" s="5" t="s">
        <v>891</v>
      </c>
      <c r="AP264" s="790">
        <f t="shared" ref="AP264:AP270" si="87">AB264/$AP$5</f>
        <v>79.368279324874678</v>
      </c>
      <c r="AQ264" s="110">
        <f t="shared" si="84"/>
        <v>8.1386863267726428E-2</v>
      </c>
      <c r="BD264" s="3">
        <f t="shared" ref="BD264:BD269" si="88">BD263+1</f>
        <v>3</v>
      </c>
      <c r="BE264" s="5" t="s">
        <v>891</v>
      </c>
      <c r="BF264" s="790">
        <f>'H_Tỷ lệ HH&amp;PS (-PS)'!FC47</f>
        <v>14.14584108457648</v>
      </c>
      <c r="BG264" s="110">
        <f t="shared" si="85"/>
        <v>1.2140292985527811E-2</v>
      </c>
      <c r="BP264" s="3">
        <f t="shared" ref="BP264:BP269" si="89">BP263+1</f>
        <v>3</v>
      </c>
      <c r="BQ264" s="5" t="s">
        <v>891</v>
      </c>
      <c r="BR264" s="790">
        <f t="shared" si="86"/>
        <v>14.14584108457648</v>
      </c>
      <c r="BS264" s="301">
        <f t="shared" si="82"/>
        <v>1.1316672867661184E-2</v>
      </c>
    </row>
    <row r="265" spans="26:71" x14ac:dyDescent="0.35">
      <c r="Z265" s="3">
        <f t="shared" ref="Z265:Z271" si="90">Z264+1</f>
        <v>3</v>
      </c>
      <c r="AA265" s="5" t="s">
        <v>904</v>
      </c>
      <c r="AB265" s="790">
        <f>'H_Tỷ lệ HH&amp;PS (-PS)'!$DW$47*AB259</f>
        <v>4277.4227042342764</v>
      </c>
      <c r="AC265" s="110">
        <f t="shared" si="83"/>
        <v>0.16551739477245553</v>
      </c>
      <c r="AN265" s="3">
        <f t="shared" ref="AN265:AN271" si="91">AN264+1</f>
        <v>3</v>
      </c>
      <c r="AO265" s="5" t="s">
        <v>904</v>
      </c>
      <c r="AP265" s="790">
        <f t="shared" si="87"/>
        <v>161.41217751827458</v>
      </c>
      <c r="AQ265" s="110">
        <f t="shared" si="84"/>
        <v>0.16551739477245547</v>
      </c>
      <c r="BD265" s="3">
        <f t="shared" si="88"/>
        <v>4</v>
      </c>
      <c r="BE265" s="5" t="s">
        <v>892</v>
      </c>
      <c r="BF265" s="790">
        <f>'H_Tỷ lệ HH&amp;PS (-PS)'!FE47</f>
        <v>140</v>
      </c>
      <c r="BG265" s="110">
        <f t="shared" si="85"/>
        <v>0.12015128742164716</v>
      </c>
      <c r="BP265" s="3">
        <f t="shared" si="89"/>
        <v>4</v>
      </c>
      <c r="BQ265" s="5" t="s">
        <v>892</v>
      </c>
      <c r="BR265" s="790">
        <f t="shared" si="86"/>
        <v>140</v>
      </c>
      <c r="BS265" s="301">
        <f t="shared" si="82"/>
        <v>0.112</v>
      </c>
    </row>
    <row r="266" spans="26:71" x14ac:dyDescent="0.35">
      <c r="Z266" s="3">
        <f t="shared" si="90"/>
        <v>4</v>
      </c>
      <c r="AA266" s="5" t="s">
        <v>905</v>
      </c>
      <c r="AB266" s="790">
        <f>'H_Tỷ lệ HH&amp;PS (-PS)'!$DW$47*AB260</f>
        <v>2219.9730920870757</v>
      </c>
      <c r="AC266" s="110">
        <f t="shared" si="83"/>
        <v>8.5903168350293629E-2</v>
      </c>
      <c r="AN266" s="3">
        <f t="shared" si="91"/>
        <v>4</v>
      </c>
      <c r="AO266" s="5" t="s">
        <v>905</v>
      </c>
      <c r="AP266" s="790">
        <f t="shared" si="87"/>
        <v>83.772569512719841</v>
      </c>
      <c r="AQ266" s="110">
        <f t="shared" si="84"/>
        <v>8.5903168350293616E-2</v>
      </c>
      <c r="BD266" s="3">
        <f t="shared" si="88"/>
        <v>5</v>
      </c>
      <c r="BE266" s="5" t="s">
        <v>895</v>
      </c>
      <c r="BF266" s="790">
        <f>'H_Tỷ lệ HH&amp;PS (-PS)'!FF47</f>
        <v>50</v>
      </c>
      <c r="BG266" s="110">
        <f t="shared" si="85"/>
        <v>4.2911174079159696E-2</v>
      </c>
      <c r="BP266" s="3">
        <f t="shared" si="89"/>
        <v>5</v>
      </c>
      <c r="BQ266" s="5" t="s">
        <v>895</v>
      </c>
      <c r="BR266" s="790">
        <f>BR269-SUM(BR262:BR265)</f>
        <v>134.80233125844325</v>
      </c>
      <c r="BS266" s="301">
        <f t="shared" si="82"/>
        <v>0.10784186500675459</v>
      </c>
    </row>
    <row r="267" spans="26:71" x14ac:dyDescent="0.35">
      <c r="Z267" s="3">
        <f t="shared" si="90"/>
        <v>5</v>
      </c>
      <c r="AA267" s="5" t="s">
        <v>906</v>
      </c>
      <c r="AB267" s="790">
        <f>'H_Tỷ lệ HH&amp;PS (-PS)'!$DW$47*AB261</f>
        <v>1406.3172771358672</v>
      </c>
      <c r="AC267" s="110">
        <f t="shared" si="83"/>
        <v>5.4418276618908877E-2</v>
      </c>
      <c r="AN267" s="3">
        <f t="shared" si="91"/>
        <v>5</v>
      </c>
      <c r="AO267" s="5" t="s">
        <v>906</v>
      </c>
      <c r="AP267" s="790">
        <f t="shared" si="87"/>
        <v>53.068576495693101</v>
      </c>
      <c r="AQ267" s="110">
        <f t="shared" si="84"/>
        <v>5.4418276618908856E-2</v>
      </c>
      <c r="BD267" s="3">
        <f t="shared" si="88"/>
        <v>6</v>
      </c>
      <c r="BE267" s="5" t="s">
        <v>893</v>
      </c>
      <c r="BF267" s="790">
        <f>BF266*20%</f>
        <v>10</v>
      </c>
      <c r="BG267" s="110">
        <f t="shared" si="85"/>
        <v>8.5822348158319395E-3</v>
      </c>
      <c r="BP267" s="3">
        <f t="shared" si="89"/>
        <v>6</v>
      </c>
      <c r="BQ267" s="5" t="s">
        <v>893</v>
      </c>
      <c r="BR267" s="790">
        <f>BR266*20%</f>
        <v>26.960466251688651</v>
      </c>
      <c r="BS267" s="301">
        <f t="shared" si="82"/>
        <v>2.1568373001350921E-2</v>
      </c>
    </row>
    <row r="268" spans="26:71" x14ac:dyDescent="0.35">
      <c r="Z268" s="3">
        <f t="shared" si="90"/>
        <v>6</v>
      </c>
      <c r="AA268" s="5" t="s">
        <v>919</v>
      </c>
      <c r="AB268" s="790">
        <f>'H_Tỷ lệ HH&amp;PS (-PS)'!$EB$47</f>
        <v>2000.939404729972</v>
      </c>
      <c r="AC268" s="110">
        <f t="shared" si="83"/>
        <v>7.7427530611039075E-2</v>
      </c>
      <c r="AN268" s="3">
        <f t="shared" si="91"/>
        <v>6</v>
      </c>
      <c r="AO268" s="5" t="s">
        <v>919</v>
      </c>
      <c r="AP268" s="790">
        <f t="shared" si="87"/>
        <v>75.507147348300833</v>
      </c>
      <c r="AQ268" s="110">
        <f t="shared" si="84"/>
        <v>7.7427530611039047E-2</v>
      </c>
      <c r="BD268" s="3">
        <f t="shared" si="88"/>
        <v>7</v>
      </c>
      <c r="BE268" s="5" t="s">
        <v>894</v>
      </c>
      <c r="BF268" s="790">
        <f>BF266-BF267</f>
        <v>40</v>
      </c>
      <c r="BG268" s="110">
        <f t="shared" si="85"/>
        <v>3.4328939263327758E-2</v>
      </c>
      <c r="BP268" s="3">
        <f t="shared" si="89"/>
        <v>7</v>
      </c>
      <c r="BQ268" s="5" t="s">
        <v>894</v>
      </c>
      <c r="BR268" s="790">
        <f>BR266-BR267</f>
        <v>107.8418650067546</v>
      </c>
      <c r="BS268" s="301">
        <f t="shared" si="82"/>
        <v>8.6273492005403685E-2</v>
      </c>
    </row>
    <row r="269" spans="26:71" x14ac:dyDescent="0.35">
      <c r="Z269" s="3">
        <f t="shared" si="90"/>
        <v>7</v>
      </c>
      <c r="AA269" s="5" t="s">
        <v>920</v>
      </c>
      <c r="AB269" s="790">
        <f>'H_Tỷ lệ HH&amp;PS (-PS)'!$EC$47</f>
        <v>0</v>
      </c>
      <c r="AC269" s="110">
        <f t="shared" si="83"/>
        <v>0</v>
      </c>
      <c r="AN269" s="3">
        <f t="shared" si="91"/>
        <v>7</v>
      </c>
      <c r="AO269" s="5" t="s">
        <v>920</v>
      </c>
      <c r="AP269" s="790">
        <f t="shared" si="87"/>
        <v>0</v>
      </c>
      <c r="AQ269" s="110">
        <f t="shared" si="84"/>
        <v>0</v>
      </c>
      <c r="BD269" s="3">
        <f t="shared" si="88"/>
        <v>8</v>
      </c>
      <c r="BE269" s="75" t="s">
        <v>896</v>
      </c>
      <c r="BF269" s="200">
        <f>'H_Tỷ lệ HH&amp;PS (-PS)'!FG47</f>
        <v>1165.1976687415568</v>
      </c>
      <c r="BG269" s="793">
        <f>BF269/$BF$269</f>
        <v>1</v>
      </c>
      <c r="BP269" s="3">
        <f t="shared" si="89"/>
        <v>8</v>
      </c>
      <c r="BQ269" s="75" t="s">
        <v>896</v>
      </c>
      <c r="BR269" s="200">
        <f>'H_Tỷ lệ HH&amp;PS (-PS)'!FS47</f>
        <v>1250</v>
      </c>
      <c r="BS269" s="793">
        <f>BR269/$BR$269</f>
        <v>1</v>
      </c>
    </row>
    <row r="270" spans="26:71" x14ac:dyDescent="0.35">
      <c r="Z270" s="3">
        <f t="shared" si="90"/>
        <v>8</v>
      </c>
      <c r="AA270" s="5" t="s">
        <v>907</v>
      </c>
      <c r="AB270" s="862">
        <f>SUM('H_Tỷ lệ HH&amp;PS (-PS)'!$DX$47:$DZ$47)</f>
        <v>-1728.3946133679024</v>
      </c>
      <c r="AC270" s="863">
        <f t="shared" si="83"/>
        <v>-6.6881249136356583E-2</v>
      </c>
      <c r="AN270" s="3">
        <f t="shared" si="91"/>
        <v>8</v>
      </c>
      <c r="AO270" s="5" t="s">
        <v>907</v>
      </c>
      <c r="AP270" s="862">
        <f t="shared" si="87"/>
        <v>-65.222438240298203</v>
      </c>
      <c r="AQ270" s="863">
        <f t="shared" si="84"/>
        <v>-6.6881249136356569E-2</v>
      </c>
    </row>
    <row r="271" spans="26:71" x14ac:dyDescent="0.35">
      <c r="Z271" s="3">
        <f t="shared" si="90"/>
        <v>9</v>
      </c>
      <c r="AA271" s="75" t="s">
        <v>918</v>
      </c>
      <c r="AB271" s="200">
        <f>SUM(AB263:AB270)</f>
        <v>25842.738221651256</v>
      </c>
      <c r="AC271" s="793">
        <f>AB271/$AB$271</f>
        <v>1</v>
      </c>
      <c r="AN271" s="3">
        <f t="shared" si="91"/>
        <v>9</v>
      </c>
      <c r="AO271" s="75" t="s">
        <v>918</v>
      </c>
      <c r="AP271" s="200">
        <f>SUM(AP263:AP270)</f>
        <v>975.1976687415571</v>
      </c>
      <c r="AQ271" s="793">
        <f>AP271/$AP$271</f>
        <v>1</v>
      </c>
    </row>
  </sheetData>
  <mergeCells count="2">
    <mergeCell ref="BJ214:BL214"/>
    <mergeCell ref="BJ213:BL21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1C00-6558-4848-9DA4-79114B1A9E98}">
  <dimension ref="B1:AZ38"/>
  <sheetViews>
    <sheetView topLeftCell="F20" zoomScaleNormal="100" workbookViewId="0">
      <selection activeCell="AJ5" sqref="AJ5"/>
    </sheetView>
  </sheetViews>
  <sheetFormatPr defaultRowHeight="14.5" x14ac:dyDescent="0.35"/>
  <cols>
    <col min="1" max="1" width="3.36328125" customWidth="1"/>
    <col min="20" max="20" width="13.7265625" customWidth="1"/>
    <col min="24" max="24" width="14.453125" customWidth="1"/>
    <col min="26" max="26" width="6.453125" customWidth="1"/>
    <col min="27" max="27" width="10.26953125" customWidth="1"/>
    <col min="28" max="28" width="11.26953125" bestFit="1" customWidth="1"/>
    <col min="29" max="29" width="10.08984375" bestFit="1" customWidth="1"/>
    <col min="30" max="30" width="11.26953125" bestFit="1" customWidth="1"/>
    <col min="31" max="31" width="10.08984375" bestFit="1" customWidth="1"/>
    <col min="32" max="32" width="11.81640625" customWidth="1"/>
    <col min="33" max="33" width="10.08984375" bestFit="1" customWidth="1"/>
    <col min="34" max="34" width="20.26953125" bestFit="1" customWidth="1"/>
    <col min="35" max="35" width="4.54296875" customWidth="1"/>
    <col min="36" max="36" width="21.1796875" bestFit="1" customWidth="1"/>
    <col min="37" max="37" width="9.7265625" bestFit="1" customWidth="1"/>
    <col min="38" max="38" width="10.1796875" bestFit="1" customWidth="1"/>
    <col min="40" max="40" width="8.08984375" bestFit="1" customWidth="1"/>
    <col min="41" max="41" width="9" bestFit="1" customWidth="1"/>
    <col min="42" max="42" width="9.1796875" bestFit="1" customWidth="1"/>
    <col min="44" max="44" width="9.1796875" bestFit="1" customWidth="1"/>
    <col min="46" max="46" width="9.1796875" bestFit="1" customWidth="1"/>
    <col min="49" max="49" width="21.90625" style="121" bestFit="1" customWidth="1"/>
    <col min="50" max="50" width="10.1796875" style="275" bestFit="1" customWidth="1"/>
    <col min="51" max="51" width="11.81640625" bestFit="1" customWidth="1"/>
    <col min="52" max="52" width="7" bestFit="1" customWidth="1"/>
  </cols>
  <sheetData>
    <row r="1" spans="2:52" ht="15.5" x14ac:dyDescent="0.35">
      <c r="B1" s="113" t="s">
        <v>364</v>
      </c>
      <c r="AJ1" t="s">
        <v>395</v>
      </c>
      <c r="AK1" s="109">
        <f>'Giá mua Chai-Vảy'!E18</f>
        <v>14800</v>
      </c>
      <c r="AM1" s="109">
        <f>'Giá mua Chai-Vảy'!E14</f>
        <v>16300</v>
      </c>
      <c r="AN1" s="132">
        <f>AM3-AM1-AN3</f>
        <v>-847.55675534306283</v>
      </c>
      <c r="AO1" s="109">
        <f>'Giá mua Chai-Vảy'!E15</f>
        <v>14800</v>
      </c>
      <c r="AQ1" s="109">
        <f>'Giá mua Chai-Vảy'!E17</f>
        <v>13300</v>
      </c>
      <c r="AR1" s="132">
        <f>'[8]18. Vảy B5'!$I$10</f>
        <v>411.68039840493083</v>
      </c>
      <c r="AS1" s="168">
        <f>'[8]16.1 Rửa vảy B7'!$I$9</f>
        <v>7971.0144927536239</v>
      </c>
      <c r="AT1" s="171">
        <f>'[8]16.1 Rửa vảy B7'!$I$10</f>
        <v>84.555434657824762</v>
      </c>
      <c r="AU1" s="109">
        <f>'Giá mua Chai-Vảy'!E17</f>
        <v>13300</v>
      </c>
    </row>
    <row r="2" spans="2:52" ht="15.5" x14ac:dyDescent="0.35">
      <c r="B2" s="114" t="s">
        <v>365</v>
      </c>
      <c r="AJ2" s="162" t="s">
        <v>634</v>
      </c>
      <c r="AK2" s="157">
        <f>'H_Tỷ lệ HH&amp;PS'!AK124</f>
        <v>0.77783045852077959</v>
      </c>
      <c r="AM2" s="283">
        <f>'H_Tỷ lệ HH&amp;PS'!AK6</f>
        <v>0.8081674874213195</v>
      </c>
      <c r="AN2" s="132">
        <f>'[8]12. 100% vảy-&gt;hạt WSS01-iSS01'!$I$10</f>
        <v>1636.9775154230633</v>
      </c>
      <c r="AO2" s="157">
        <f>'H_Tỷ lệ HH&amp;PS'!AK42</f>
        <v>0.85501479000000002</v>
      </c>
      <c r="AQ2" s="157">
        <f>'H_Tỷ lệ HH&amp;PS'!AK42</f>
        <v>0.85501479000000002</v>
      </c>
      <c r="AU2" s="157">
        <f>'H_Tỷ lệ HH&amp;PS'!AK70</f>
        <v>0.773478</v>
      </c>
    </row>
    <row r="3" spans="2:52" ht="20" customHeight="1" x14ac:dyDescent="0.35">
      <c r="AC3" t="s">
        <v>528</v>
      </c>
      <c r="AE3" t="s">
        <v>520</v>
      </c>
      <c r="AG3" t="s">
        <v>717</v>
      </c>
      <c r="AJ3" s="133" t="s">
        <v>394</v>
      </c>
      <c r="AK3" s="395">
        <f>AK1/AK2</f>
        <v>19027.282665358136</v>
      </c>
      <c r="AM3" s="131">
        <f>AM1/AM2</f>
        <v>20169.086549138014</v>
      </c>
      <c r="AN3" s="132">
        <f>'[8]10. 100% chai-&gt;hạt WSS01-iSS01'!$I$21+'[8]10. 100% chai-&gt;hạt WSS01-iSS01'!$I$37</f>
        <v>4716.6433044810765</v>
      </c>
      <c r="AO3" s="131">
        <f>AO1/AO2</f>
        <v>17309.642094027404</v>
      </c>
      <c r="AQ3" s="131">
        <f>AQ1/AQ2</f>
        <v>15555.28647638949</v>
      </c>
      <c r="AS3" s="169">
        <f>'[8]16.1 Rửa vảy B7'!$I$48</f>
        <v>14341.250211551116</v>
      </c>
      <c r="AU3" s="131">
        <f>AU1/AU2</f>
        <v>17195.059200132389</v>
      </c>
      <c r="AW3" s="121" t="s">
        <v>636</v>
      </c>
      <c r="AY3" t="s">
        <v>391</v>
      </c>
      <c r="AZ3" t="s">
        <v>393</v>
      </c>
    </row>
    <row r="4" spans="2:52" ht="29" customHeight="1" x14ac:dyDescent="0.35">
      <c r="Y4" s="312" t="s">
        <v>537</v>
      </c>
      <c r="AB4" s="327" t="s">
        <v>532</v>
      </c>
      <c r="AC4" s="312" t="s">
        <v>527</v>
      </c>
      <c r="AE4" s="312" t="s">
        <v>525</v>
      </c>
      <c r="AG4" s="312" t="s">
        <v>525</v>
      </c>
      <c r="AJ4" s="120" t="s">
        <v>366</v>
      </c>
      <c r="AK4" s="115" t="s">
        <v>367</v>
      </c>
      <c r="AM4" s="115" t="s">
        <v>374</v>
      </c>
      <c r="AO4" s="115" t="s">
        <v>375</v>
      </c>
      <c r="AQ4" s="115" t="s">
        <v>382</v>
      </c>
      <c r="AS4" s="115" t="s">
        <v>384</v>
      </c>
      <c r="AU4" s="115" t="s">
        <v>385</v>
      </c>
      <c r="AW4" s="127" t="s">
        <v>376</v>
      </c>
      <c r="AY4" s="129">
        <v>26500</v>
      </c>
    </row>
    <row r="5" spans="2:52" x14ac:dyDescent="0.35">
      <c r="Y5" s="313" t="s">
        <v>57</v>
      </c>
      <c r="Z5" s="69">
        <v>0.3</v>
      </c>
      <c r="AA5" s="313" t="s">
        <v>538</v>
      </c>
      <c r="AB5" s="313" t="s">
        <v>57</v>
      </c>
      <c r="AC5" s="116" t="s">
        <v>526</v>
      </c>
      <c r="AE5" s="116" t="s">
        <v>57</v>
      </c>
      <c r="AG5" s="116" t="s">
        <v>57</v>
      </c>
      <c r="AJ5" s="65"/>
      <c r="AK5" s="116" t="s">
        <v>57</v>
      </c>
      <c r="AL5" s="123" t="s">
        <v>372</v>
      </c>
      <c r="AM5" s="116" t="s">
        <v>267</v>
      </c>
      <c r="AN5" s="123" t="s">
        <v>372</v>
      </c>
      <c r="AO5" s="116" t="s">
        <v>52</v>
      </c>
      <c r="AP5" s="123" t="s">
        <v>372</v>
      </c>
      <c r="AQ5" s="116" t="s">
        <v>55</v>
      </c>
      <c r="AR5" s="123" t="s">
        <v>372</v>
      </c>
      <c r="AS5" s="116" t="s">
        <v>383</v>
      </c>
      <c r="AT5" s="123" t="s">
        <v>372</v>
      </c>
      <c r="AU5" s="116" t="s">
        <v>54</v>
      </c>
      <c r="AV5" s="123" t="s">
        <v>372</v>
      </c>
      <c r="AW5" s="123"/>
      <c r="AX5" s="307" t="s">
        <v>372</v>
      </c>
      <c r="AY5" s="123" t="s">
        <v>372</v>
      </c>
      <c r="AZ5" t="s">
        <v>392</v>
      </c>
    </row>
    <row r="6" spans="2:52" ht="15.5" customHeight="1" x14ac:dyDescent="0.35">
      <c r="AA6" s="314">
        <v>2500</v>
      </c>
      <c r="AB6" s="109">
        <v>2500</v>
      </c>
      <c r="AC6" s="311">
        <f>SUM(AC7:AC11)</f>
        <v>1</v>
      </c>
      <c r="AE6" s="311">
        <f>SUM(AE7:AE11)</f>
        <v>1</v>
      </c>
      <c r="AG6" s="311">
        <f>SUM(AG7:AG11)</f>
        <v>1.0061253045009764</v>
      </c>
      <c r="AJ6" s="119" t="s">
        <v>390</v>
      </c>
      <c r="AK6" s="339">
        <f>SUM(AC8:AC11)</f>
        <v>0.21399999999999997</v>
      </c>
      <c r="AW6" s="128">
        <v>0.3</v>
      </c>
    </row>
    <row r="7" spans="2:52" x14ac:dyDescent="0.35">
      <c r="Y7" s="315"/>
      <c r="Z7" s="316"/>
      <c r="AA7" s="316">
        <f>1/AC7</f>
        <v>1.272264631043257</v>
      </c>
      <c r="AB7" s="317">
        <f>$AB$6*$AA7</f>
        <v>3180.6615776081426</v>
      </c>
      <c r="AC7" s="310">
        <v>0.78600000000000003</v>
      </c>
      <c r="AD7" t="s">
        <v>528</v>
      </c>
      <c r="AE7" s="310">
        <v>0.88300000000000001</v>
      </c>
      <c r="AF7" t="s">
        <v>521</v>
      </c>
      <c r="AG7" s="310">
        <f>'H_Tỷ lệ HH&amp;PS'!BA7</f>
        <v>0.89417193958728181</v>
      </c>
      <c r="AH7" s="117" t="s">
        <v>368</v>
      </c>
      <c r="AJ7" s="117" t="s">
        <v>368</v>
      </c>
      <c r="AK7" s="118">
        <v>0.1</v>
      </c>
      <c r="AL7" s="134">
        <f>AK7*$AK$3</f>
        <v>1902.7282665358136</v>
      </c>
      <c r="AM7" s="118">
        <v>0.9</v>
      </c>
      <c r="AN7" s="134">
        <f>AM7*$AM$3</f>
        <v>18152.177894224213</v>
      </c>
      <c r="AO7" s="117"/>
      <c r="AP7" s="134">
        <f>AO7*$AO$3</f>
        <v>0</v>
      </c>
      <c r="AQ7" s="117"/>
      <c r="AR7" s="134">
        <f>AQ7*$AQ$3</f>
        <v>0</v>
      </c>
      <c r="AS7" s="117"/>
      <c r="AT7" s="117">
        <f>AS7*$AS$3</f>
        <v>0</v>
      </c>
      <c r="AU7" s="117"/>
      <c r="AV7" s="117">
        <f>AU7*$AU$3</f>
        <v>0</v>
      </c>
      <c r="AW7" s="122">
        <f t="shared" ref="AW7:AX11" si="0">AK7+AM7+AO7+AQ7+AS7+AU7</f>
        <v>1</v>
      </c>
      <c r="AX7" s="167">
        <f t="shared" si="0"/>
        <v>20054.906160760027</v>
      </c>
      <c r="AY7" s="130">
        <f>$AY$4*AZ7</f>
        <v>30740000</v>
      </c>
      <c r="AZ7" s="109">
        <v>1160</v>
      </c>
    </row>
    <row r="8" spans="2:52" x14ac:dyDescent="0.35">
      <c r="Z8" s="151"/>
      <c r="AA8" s="336">
        <f>-AC8</f>
        <v>-0.13200000000000001</v>
      </c>
      <c r="AB8" s="337">
        <f>$AB$7*$AA8</f>
        <v>-419.84732824427482</v>
      </c>
      <c r="AC8" s="554">
        <v>0.13200000000000001</v>
      </c>
      <c r="AD8" s="555" t="s">
        <v>529</v>
      </c>
      <c r="AE8" s="157">
        <v>2.1000000000000001E-2</v>
      </c>
      <c r="AF8" t="s">
        <v>522</v>
      </c>
      <c r="AG8" s="157">
        <f>'H_Tỷ lệ HH&amp;PS'!BA9</f>
        <v>1.5953364913694541E-2</v>
      </c>
      <c r="AH8" s="117" t="s">
        <v>386</v>
      </c>
      <c r="AJ8" s="117" t="s">
        <v>369</v>
      </c>
      <c r="AK8" s="125">
        <v>0.3</v>
      </c>
      <c r="AL8" s="134">
        <f>AK8*$AK$3</f>
        <v>5708.1847996074403</v>
      </c>
      <c r="AM8" s="125">
        <v>0.7</v>
      </c>
      <c r="AN8" s="134">
        <f>AM8*$AM$3</f>
        <v>14118.360584396609</v>
      </c>
      <c r="AO8" s="117"/>
      <c r="AP8" s="134">
        <f>AO8*$AO$3</f>
        <v>0</v>
      </c>
      <c r="AQ8" s="117"/>
      <c r="AR8" s="134">
        <f>AQ8*$AQ$3</f>
        <v>0</v>
      </c>
      <c r="AS8" s="117"/>
      <c r="AT8" s="117">
        <f>AS8*$AS$3</f>
        <v>0</v>
      </c>
      <c r="AU8" s="117"/>
      <c r="AV8" s="117">
        <f>AU8*$AU$3</f>
        <v>0</v>
      </c>
      <c r="AW8" s="124">
        <f t="shared" si="0"/>
        <v>1</v>
      </c>
      <c r="AX8" s="167">
        <f t="shared" si="0"/>
        <v>19826.54538400405</v>
      </c>
      <c r="AY8" s="130">
        <f>$AY$4*AZ8</f>
        <v>31535000</v>
      </c>
      <c r="AZ8" s="130">
        <f>AZ7+30</f>
        <v>1190</v>
      </c>
    </row>
    <row r="9" spans="2:52" x14ac:dyDescent="0.35">
      <c r="AA9" s="336">
        <f>-AC9</f>
        <v>-1.7999999999999999E-2</v>
      </c>
      <c r="AB9" s="337">
        <f>$AB$7*$AA9</f>
        <v>-57.251908396946561</v>
      </c>
      <c r="AC9" s="157">
        <v>1.7999999999999999E-2</v>
      </c>
      <c r="AD9" t="s">
        <v>530</v>
      </c>
      <c r="AE9" s="157">
        <v>2.5999999999999999E-2</v>
      </c>
      <c r="AF9" t="s">
        <v>523</v>
      </c>
      <c r="AG9" s="157">
        <v>2.5999999999999999E-2</v>
      </c>
      <c r="AH9" s="117" t="s">
        <v>370</v>
      </c>
      <c r="AJ9" s="117" t="s">
        <v>370</v>
      </c>
      <c r="AK9" s="118">
        <v>0.55000000000000004</v>
      </c>
      <c r="AL9" s="134">
        <f>AK9*$AK$3</f>
        <v>10465.005465946975</v>
      </c>
      <c r="AM9" s="118">
        <v>0.3</v>
      </c>
      <c r="AN9" s="134">
        <f>AM9*$AM$3</f>
        <v>6050.7259647414039</v>
      </c>
      <c r="AO9" s="118">
        <v>0.15</v>
      </c>
      <c r="AP9" s="134">
        <f>AO9*$AO$3</f>
        <v>2596.4463141041106</v>
      </c>
      <c r="AQ9" s="117"/>
      <c r="AR9" s="134">
        <f>AQ9*$AQ$3</f>
        <v>0</v>
      </c>
      <c r="AS9" s="117"/>
      <c r="AT9" s="117">
        <f>AS9*$AS$3</f>
        <v>0</v>
      </c>
      <c r="AU9" s="117"/>
      <c r="AV9" s="117">
        <f>AU9*$AU$3</f>
        <v>0</v>
      </c>
      <c r="AW9" s="122">
        <f t="shared" si="0"/>
        <v>1</v>
      </c>
      <c r="AX9" s="167">
        <f t="shared" si="0"/>
        <v>19112.177744792491</v>
      </c>
      <c r="AY9" s="130">
        <f>$AY$4*AZ9</f>
        <v>28885000</v>
      </c>
      <c r="AZ9" s="130">
        <f>AZ7-70</f>
        <v>1090</v>
      </c>
    </row>
    <row r="10" spans="2:52" x14ac:dyDescent="0.35">
      <c r="AA10" s="336">
        <f>-AC10</f>
        <v>-1.4999999999999999E-2</v>
      </c>
      <c r="AB10" s="337">
        <f>$AB$7*$AA10</f>
        <v>-47.709923664122137</v>
      </c>
      <c r="AC10" s="157">
        <v>1.4999999999999999E-2</v>
      </c>
      <c r="AD10" t="s">
        <v>531</v>
      </c>
      <c r="AE10" s="157">
        <v>4.5999999999999999E-2</v>
      </c>
      <c r="AF10" t="s">
        <v>524</v>
      </c>
      <c r="AG10" s="157">
        <v>4.5999999999999999E-2</v>
      </c>
      <c r="AH10" s="117" t="s">
        <v>371</v>
      </c>
      <c r="AJ10" s="117" t="s">
        <v>371</v>
      </c>
      <c r="AK10" s="118">
        <v>0.95</v>
      </c>
      <c r="AL10" s="134">
        <f>AK10*$AK$3</f>
        <v>18075.918532090229</v>
      </c>
      <c r="AM10" s="261"/>
      <c r="AN10" s="134">
        <f>AM10*$AM$3</f>
        <v>0</v>
      </c>
      <c r="AO10" s="117"/>
      <c r="AP10" s="134">
        <f>AO10*$AO$3</f>
        <v>0</v>
      </c>
      <c r="AQ10" s="261">
        <v>0.05</v>
      </c>
      <c r="AR10" s="134">
        <f>AQ10*$AQ$3</f>
        <v>777.76432381947461</v>
      </c>
      <c r="AS10" s="118"/>
      <c r="AT10" s="117">
        <f>AS10*$AS$3</f>
        <v>0</v>
      </c>
      <c r="AU10" s="117"/>
      <c r="AV10" s="117">
        <f>AU10*$AU$3</f>
        <v>0</v>
      </c>
      <c r="AW10" s="122">
        <f t="shared" si="0"/>
        <v>1</v>
      </c>
      <c r="AX10" s="167">
        <f t="shared" si="0"/>
        <v>18853.682855909705</v>
      </c>
      <c r="AY10" s="130">
        <f>$AY$4*AZ10</f>
        <v>19080000</v>
      </c>
      <c r="AZ10">
        <v>720</v>
      </c>
    </row>
    <row r="11" spans="2:52" x14ac:dyDescent="0.35">
      <c r="AA11" s="336">
        <f>-AC11</f>
        <v>-4.9000000000000002E-2</v>
      </c>
      <c r="AB11" s="337">
        <f>$AB$7*$AA11</f>
        <v>-155.85241730279898</v>
      </c>
      <c r="AC11" s="157">
        <v>4.9000000000000002E-2</v>
      </c>
      <c r="AD11" t="s">
        <v>482</v>
      </c>
      <c r="AE11" s="157">
        <v>2.4E-2</v>
      </c>
      <c r="AF11" t="s">
        <v>482</v>
      </c>
      <c r="AG11" s="157">
        <v>2.4E-2</v>
      </c>
      <c r="AH11" s="117" t="s">
        <v>373</v>
      </c>
      <c r="AJ11" s="117" t="s">
        <v>373</v>
      </c>
      <c r="AK11" s="118">
        <v>0.65</v>
      </c>
      <c r="AL11" s="134">
        <f>AK11*$AK$3</f>
        <v>12367.733732482789</v>
      </c>
      <c r="AM11" s="118">
        <v>0.15</v>
      </c>
      <c r="AN11" s="134">
        <f>AM11*$AM$3</f>
        <v>3025.362982370702</v>
      </c>
      <c r="AO11" s="261"/>
      <c r="AP11" s="134">
        <f>AO11*$AO$3</f>
        <v>0</v>
      </c>
      <c r="AQ11" s="261">
        <v>0.2</v>
      </c>
      <c r="AR11" s="134">
        <f>AQ11*$AQ$3</f>
        <v>3111.0572952778984</v>
      </c>
      <c r="AS11" s="117"/>
      <c r="AT11" s="117">
        <f>AS11*$AS$3</f>
        <v>0</v>
      </c>
      <c r="AU11" s="117"/>
      <c r="AV11" s="117">
        <f>AU11*$AU$3</f>
        <v>0</v>
      </c>
      <c r="AW11" s="122">
        <f t="shared" si="0"/>
        <v>1</v>
      </c>
      <c r="AX11" s="167">
        <f t="shared" si="0"/>
        <v>18504.154010131388</v>
      </c>
      <c r="AY11" s="130">
        <f>$AY$4*AZ11</f>
        <v>0</v>
      </c>
    </row>
    <row r="12" spans="2:52" x14ac:dyDescent="0.35">
      <c r="AG12" s="157">
        <v>2.4E-2</v>
      </c>
      <c r="AH12" t="s">
        <v>482</v>
      </c>
    </row>
    <row r="14" spans="2:52" x14ac:dyDescent="0.35">
      <c r="Y14" s="313" t="s">
        <v>48</v>
      </c>
      <c r="Z14" s="69">
        <v>0.53</v>
      </c>
      <c r="AA14" s="313" t="s">
        <v>538</v>
      </c>
      <c r="AB14" s="313" t="s">
        <v>48</v>
      </c>
      <c r="AC14" s="116" t="s">
        <v>533</v>
      </c>
      <c r="AE14" s="116" t="s">
        <v>48</v>
      </c>
      <c r="AG14" s="116" t="s">
        <v>48</v>
      </c>
      <c r="AJ14" s="119" t="s">
        <v>387</v>
      </c>
      <c r="AK14" s="339">
        <f>SUM(AC17:AC21)</f>
        <v>8.6099999999999996E-2</v>
      </c>
      <c r="AM14" s="116" t="s">
        <v>48</v>
      </c>
      <c r="AW14" s="126">
        <v>0.53</v>
      </c>
    </row>
    <row r="15" spans="2:52" x14ac:dyDescent="0.35">
      <c r="AA15" s="314">
        <v>2500</v>
      </c>
      <c r="AB15" s="109">
        <v>2500</v>
      </c>
      <c r="AC15" s="311">
        <f>SUM(AC16:AC20)</f>
        <v>1</v>
      </c>
      <c r="AE15" s="311">
        <f>SUM(AE16:AE20)</f>
        <v>0.99950000000000006</v>
      </c>
      <c r="AG15" s="311">
        <f>SUM(AG16:AG20)</f>
        <v>0.99950000000000006</v>
      </c>
      <c r="AJ15" s="117" t="s">
        <v>377</v>
      </c>
      <c r="AK15" s="117"/>
      <c r="AL15" s="117">
        <f>AK15*$AK$3</f>
        <v>0</v>
      </c>
      <c r="AM15" s="118">
        <v>1</v>
      </c>
      <c r="AN15" s="134">
        <f>AM15*$AM$3</f>
        <v>20169.086549138014</v>
      </c>
      <c r="AO15" s="117"/>
      <c r="AP15" s="117">
        <f>AO15*$AO$3</f>
        <v>0</v>
      </c>
      <c r="AQ15" s="117"/>
      <c r="AR15" s="117">
        <f>AQ15*$AQ$3</f>
        <v>0</v>
      </c>
      <c r="AS15" s="117"/>
      <c r="AT15" s="117">
        <f>AS15*$AS$3</f>
        <v>0</v>
      </c>
      <c r="AU15" s="117"/>
      <c r="AV15" s="117">
        <f>AU15*$AU$3</f>
        <v>0</v>
      </c>
      <c r="AW15" s="122">
        <f t="shared" ref="AW15:AX18" si="1">AK15+AM15+AO15+AQ15+AS15+AU15</f>
        <v>1</v>
      </c>
      <c r="AX15" s="167">
        <f t="shared" si="1"/>
        <v>20169.086549138014</v>
      </c>
      <c r="AY15" s="130">
        <f>$AY$4*AZ15</f>
        <v>30740000</v>
      </c>
      <c r="AZ15" s="130">
        <f>AZ7</f>
        <v>1160</v>
      </c>
    </row>
    <row r="16" spans="2:52" x14ac:dyDescent="0.35">
      <c r="AA16" s="316">
        <f>1/AC16</f>
        <v>1.0942116205274099</v>
      </c>
      <c r="AB16" s="317">
        <f>$AB$6*$AA16</f>
        <v>2735.529051318525</v>
      </c>
      <c r="AC16" s="309">
        <v>0.91390000000000005</v>
      </c>
      <c r="AD16" t="s">
        <v>528</v>
      </c>
      <c r="AE16" s="309">
        <v>0.9637</v>
      </c>
      <c r="AF16" t="s">
        <v>521</v>
      </c>
      <c r="AG16" s="309">
        <v>0.9637</v>
      </c>
      <c r="AH16" s="117" t="s">
        <v>379</v>
      </c>
      <c r="AJ16" s="117" t="s">
        <v>378</v>
      </c>
      <c r="AK16" s="117"/>
      <c r="AL16" s="117">
        <f>AK16*$AK$3</f>
        <v>0</v>
      </c>
      <c r="AM16" s="118">
        <v>1</v>
      </c>
      <c r="AN16" s="134">
        <f>AM16*$AM$3</f>
        <v>20169.086549138014</v>
      </c>
      <c r="AO16" s="117"/>
      <c r="AP16" s="117">
        <f>AO16*$AO$3</f>
        <v>0</v>
      </c>
      <c r="AQ16" s="117"/>
      <c r="AR16" s="117">
        <f>AQ16*$AQ$3</f>
        <v>0</v>
      </c>
      <c r="AS16" s="117"/>
      <c r="AT16" s="117">
        <f>AS16*$AS$3</f>
        <v>0</v>
      </c>
      <c r="AU16" s="117"/>
      <c r="AV16" s="117">
        <f>AU16*$AU$3</f>
        <v>0</v>
      </c>
      <c r="AW16" s="122">
        <f t="shared" si="1"/>
        <v>1</v>
      </c>
      <c r="AX16" s="167">
        <f t="shared" si="1"/>
        <v>20169.086549138014</v>
      </c>
      <c r="AY16" s="130">
        <f>$AY$4*AZ16</f>
        <v>31535000</v>
      </c>
      <c r="AZ16" s="130">
        <f>AZ7+30</f>
        <v>1190</v>
      </c>
    </row>
    <row r="17" spans="25:52" x14ac:dyDescent="0.35">
      <c r="AA17" s="336">
        <f>-AC17</f>
        <v>-8.0699999999999994E-2</v>
      </c>
      <c r="AB17" s="337">
        <f>$AB$16*$AA17</f>
        <v>-220.75719444140495</v>
      </c>
      <c r="AC17" s="556">
        <v>8.0699999999999994E-2</v>
      </c>
      <c r="AD17" s="555" t="s">
        <v>529</v>
      </c>
      <c r="AE17" s="157"/>
      <c r="AF17" t="s">
        <v>522</v>
      </c>
      <c r="AG17" s="157"/>
      <c r="AH17" s="117" t="s">
        <v>378</v>
      </c>
      <c r="AJ17" s="117" t="s">
        <v>379</v>
      </c>
      <c r="AK17" s="117"/>
      <c r="AL17" s="117">
        <f>AK17*$AK$3</f>
        <v>0</v>
      </c>
      <c r="AM17" s="118">
        <v>1</v>
      </c>
      <c r="AN17" s="134">
        <f>AM17*$AM$3</f>
        <v>20169.086549138014</v>
      </c>
      <c r="AO17" s="117"/>
      <c r="AP17" s="117">
        <f>AO17*$AO$3</f>
        <v>0</v>
      </c>
      <c r="AQ17" s="117"/>
      <c r="AR17" s="117">
        <f>AQ17*$AQ$3</f>
        <v>0</v>
      </c>
      <c r="AS17" s="117"/>
      <c r="AT17" s="117">
        <f>AS17*$AS$3</f>
        <v>0</v>
      </c>
      <c r="AU17" s="117"/>
      <c r="AV17" s="117">
        <f>AU17*$AU$3</f>
        <v>0</v>
      </c>
      <c r="AW17" s="122">
        <f t="shared" si="1"/>
        <v>1</v>
      </c>
      <c r="AX17" s="167">
        <f t="shared" si="1"/>
        <v>20169.086549138014</v>
      </c>
      <c r="AY17" s="130">
        <f>$AY$4*AZ17</f>
        <v>33125000</v>
      </c>
      <c r="AZ17" s="130">
        <f>AZ7+90</f>
        <v>1250</v>
      </c>
    </row>
    <row r="18" spans="25:52" x14ac:dyDescent="0.35">
      <c r="AA18" s="336">
        <f>-AC18</f>
        <v>0</v>
      </c>
      <c r="AB18" s="337">
        <f t="shared" ref="AB18:AB20" si="2">$AB$16*$AA18</f>
        <v>0</v>
      </c>
      <c r="AC18" s="157"/>
      <c r="AD18" t="s">
        <v>530</v>
      </c>
      <c r="AE18" s="157"/>
      <c r="AF18" t="s">
        <v>523</v>
      </c>
      <c r="AG18" s="157"/>
      <c r="AH18" s="117" t="s">
        <v>377</v>
      </c>
      <c r="AJ18" s="117" t="s">
        <v>380</v>
      </c>
      <c r="AK18" s="117"/>
      <c r="AL18" s="117">
        <f>AK18*$AK$3</f>
        <v>0</v>
      </c>
      <c r="AM18" s="118">
        <v>1</v>
      </c>
      <c r="AN18" s="134">
        <f>AM18*$AM$3</f>
        <v>20169.086549138014</v>
      </c>
      <c r="AO18" s="117"/>
      <c r="AP18" s="117">
        <f>AO18*$AO$3</f>
        <v>0</v>
      </c>
      <c r="AQ18" s="117"/>
      <c r="AR18" s="117">
        <f>AQ18*$AQ$3</f>
        <v>0</v>
      </c>
      <c r="AS18" s="117"/>
      <c r="AT18" s="117">
        <f>AS18*$AS$3</f>
        <v>0</v>
      </c>
      <c r="AU18" s="117"/>
      <c r="AV18" s="117">
        <f>AU18*$AU$3</f>
        <v>0</v>
      </c>
      <c r="AW18" s="122">
        <f t="shared" si="1"/>
        <v>1</v>
      </c>
      <c r="AX18" s="167">
        <f t="shared" si="1"/>
        <v>20169.086549138014</v>
      </c>
      <c r="AY18" s="130">
        <f>$AY$4*AZ18</f>
        <v>29945000</v>
      </c>
      <c r="AZ18" s="130">
        <f>AZ7-30</f>
        <v>1130</v>
      </c>
    </row>
    <row r="19" spans="25:52" x14ac:dyDescent="0.35">
      <c r="AA19" s="336">
        <f>-AC19</f>
        <v>0</v>
      </c>
      <c r="AB19" s="337">
        <f t="shared" si="2"/>
        <v>0</v>
      </c>
      <c r="AC19" s="157"/>
      <c r="AD19" t="s">
        <v>531</v>
      </c>
      <c r="AE19" s="157"/>
      <c r="AF19" t="s">
        <v>524</v>
      </c>
      <c r="AG19" s="157"/>
      <c r="AH19" s="117" t="s">
        <v>380</v>
      </c>
      <c r="AN19" s="109"/>
    </row>
    <row r="20" spans="25:52" x14ac:dyDescent="0.35">
      <c r="AA20" s="336">
        <f>-AC20</f>
        <v>-5.4000000000000003E-3</v>
      </c>
      <c r="AB20" s="337">
        <f t="shared" si="2"/>
        <v>-14.771856877120037</v>
      </c>
      <c r="AC20" s="186">
        <v>5.4000000000000003E-3</v>
      </c>
      <c r="AD20" t="s">
        <v>482</v>
      </c>
      <c r="AE20" s="186">
        <v>3.5799999999999998E-2</v>
      </c>
      <c r="AF20" t="s">
        <v>482</v>
      </c>
      <c r="AG20" s="186">
        <v>3.5799999999999998E-2</v>
      </c>
      <c r="AH20" t="s">
        <v>482</v>
      </c>
      <c r="AN20" s="109"/>
    </row>
    <row r="21" spans="25:52" x14ac:dyDescent="0.35">
      <c r="AN21" s="109"/>
    </row>
    <row r="22" spans="25:52" x14ac:dyDescent="0.35">
      <c r="AN22" s="109"/>
    </row>
    <row r="23" spans="25:52" x14ac:dyDescent="0.35">
      <c r="AN23" s="109"/>
    </row>
    <row r="24" spans="25:52" x14ac:dyDescent="0.35">
      <c r="Y24" s="313" t="s">
        <v>542</v>
      </c>
      <c r="Z24" s="69">
        <v>0.05</v>
      </c>
      <c r="AA24" s="313" t="s">
        <v>538</v>
      </c>
      <c r="AB24" s="313" t="s">
        <v>542</v>
      </c>
      <c r="AC24" s="116" t="s">
        <v>535</v>
      </c>
      <c r="AE24" s="116" t="s">
        <v>536</v>
      </c>
      <c r="AG24" s="116" t="s">
        <v>536</v>
      </c>
      <c r="AJ24" s="119" t="s">
        <v>388</v>
      </c>
      <c r="AK24" s="339">
        <f>SUM(AC27:AC31)</f>
        <v>4.0400000000000005E-2</v>
      </c>
      <c r="AN24" s="109"/>
      <c r="AW24" s="126">
        <v>0.05</v>
      </c>
    </row>
    <row r="25" spans="25:52" x14ac:dyDescent="0.35">
      <c r="AA25" s="314">
        <v>2500</v>
      </c>
      <c r="AB25" s="109">
        <v>2500</v>
      </c>
      <c r="AC25" s="311">
        <f>SUM(AC26:AC30)</f>
        <v>1</v>
      </c>
      <c r="AE25" s="311">
        <f>SUM(AE26:AE30)</f>
        <v>1</v>
      </c>
      <c r="AG25" s="311">
        <f>SUM(AG26:AG30)</f>
        <v>1</v>
      </c>
      <c r="AJ25" s="117" t="s">
        <v>368</v>
      </c>
      <c r="AK25" s="117"/>
      <c r="AL25" s="134">
        <f>AK25*$AK$3</f>
        <v>0</v>
      </c>
      <c r="AM25" s="118">
        <v>0.9</v>
      </c>
      <c r="AN25" s="134">
        <f>AM25*$AM$3</f>
        <v>18152.177894224213</v>
      </c>
      <c r="AO25" s="118">
        <v>0.1</v>
      </c>
      <c r="AP25" s="134">
        <f>AO25*$AO$3</f>
        <v>1730.9642094027404</v>
      </c>
      <c r="AQ25" s="117"/>
      <c r="AR25" s="134">
        <f>AQ25*$AQ$3</f>
        <v>0</v>
      </c>
      <c r="AS25" s="117"/>
      <c r="AT25" s="134">
        <f>AS25*$AS$3</f>
        <v>0</v>
      </c>
      <c r="AU25" s="117"/>
      <c r="AV25" s="117">
        <f>AU25*$AU$3</f>
        <v>0</v>
      </c>
      <c r="AW25" s="122">
        <f t="shared" ref="AW25:AX29" si="3">AK25+AM25+AO25+AQ25+AS25+AU25</f>
        <v>1</v>
      </c>
      <c r="AX25" s="167">
        <f t="shared" si="3"/>
        <v>19883.142103626953</v>
      </c>
      <c r="AY25" s="130">
        <f>$AY$4*AZ25</f>
        <v>30740000</v>
      </c>
      <c r="AZ25" s="130">
        <f>AZ7</f>
        <v>1160</v>
      </c>
    </row>
    <row r="26" spans="25:52" x14ac:dyDescent="0.35">
      <c r="AA26" s="316">
        <f>1/AC26</f>
        <v>1.0421008753647354</v>
      </c>
      <c r="AB26" s="317">
        <f>$AB$6*$AA26</f>
        <v>2605.2521884118387</v>
      </c>
      <c r="AC26" s="309">
        <v>0.95960000000000001</v>
      </c>
      <c r="AD26" t="s">
        <v>528</v>
      </c>
      <c r="AE26" s="309">
        <v>0.97629999999999995</v>
      </c>
      <c r="AF26" t="s">
        <v>521</v>
      </c>
      <c r="AG26" s="309">
        <v>0.97629999999999995</v>
      </c>
      <c r="AH26" s="117" t="s">
        <v>368</v>
      </c>
      <c r="AJ26" s="117" t="s">
        <v>370</v>
      </c>
      <c r="AK26" s="118">
        <v>0.55000000000000004</v>
      </c>
      <c r="AL26" s="134">
        <f>AK26*$AK$3</f>
        <v>10465.005465946975</v>
      </c>
      <c r="AM26" s="118">
        <v>0.3</v>
      </c>
      <c r="AN26" s="134">
        <f>AM26*$AM$3</f>
        <v>6050.7259647414039</v>
      </c>
      <c r="AO26" s="118">
        <v>0.15</v>
      </c>
      <c r="AP26" s="134">
        <f>AO26*$AO$3</f>
        <v>2596.4463141041106</v>
      </c>
      <c r="AQ26" s="117"/>
      <c r="AR26" s="134">
        <f>AQ26*$AQ$3</f>
        <v>0</v>
      </c>
      <c r="AS26" s="117"/>
      <c r="AT26" s="134">
        <f>AS26*$AS$3</f>
        <v>0</v>
      </c>
      <c r="AU26" s="117"/>
      <c r="AV26" s="117">
        <f>AU26*$AU$3</f>
        <v>0</v>
      </c>
      <c r="AW26" s="122">
        <f t="shared" si="3"/>
        <v>1</v>
      </c>
      <c r="AX26" s="167">
        <f t="shared" si="3"/>
        <v>19112.177744792491</v>
      </c>
      <c r="AY26" s="130">
        <f>$AY$4*AZ26</f>
        <v>28885000</v>
      </c>
      <c r="AZ26" s="130">
        <f>AZ7-70</f>
        <v>1090</v>
      </c>
    </row>
    <row r="27" spans="25:52" x14ac:dyDescent="0.35">
      <c r="AA27" s="336">
        <f>-AC27</f>
        <v>0</v>
      </c>
      <c r="AB27" s="337">
        <f>$AB$26*$AA27</f>
        <v>0</v>
      </c>
      <c r="AC27" s="554"/>
      <c r="AD27" s="555" t="s">
        <v>529</v>
      </c>
      <c r="AE27" s="157"/>
      <c r="AF27" t="s">
        <v>522</v>
      </c>
      <c r="AG27" s="157"/>
      <c r="AH27" s="117" t="s">
        <v>386</v>
      </c>
      <c r="AJ27" s="117" t="s">
        <v>386</v>
      </c>
      <c r="AK27" s="117"/>
      <c r="AL27" s="134">
        <f>AK27*$AK$3</f>
        <v>0</v>
      </c>
      <c r="AM27" s="118">
        <v>0.4</v>
      </c>
      <c r="AN27" s="134">
        <f>AM27*$AM$3</f>
        <v>8067.6346196552058</v>
      </c>
      <c r="AO27" s="117"/>
      <c r="AP27" s="134">
        <f>AO27*$AO$3</f>
        <v>0</v>
      </c>
      <c r="AQ27" s="118">
        <v>0.5</v>
      </c>
      <c r="AR27" s="134">
        <f>AQ27*$AQ$3</f>
        <v>7777.6432381947452</v>
      </c>
      <c r="AS27" s="118">
        <v>0.1</v>
      </c>
      <c r="AT27" s="134">
        <f>AS27*$AS$3</f>
        <v>1434.1250211551117</v>
      </c>
      <c r="AU27" s="117"/>
      <c r="AV27" s="117">
        <f>AU27*$AU$3</f>
        <v>0</v>
      </c>
      <c r="AW27" s="122">
        <f t="shared" si="3"/>
        <v>1</v>
      </c>
      <c r="AX27" s="167">
        <f t="shared" si="3"/>
        <v>17279.402879005062</v>
      </c>
      <c r="AY27" s="130">
        <f>$AY$4*AZ27</f>
        <v>30740000</v>
      </c>
      <c r="AZ27" s="130">
        <f>AZ7</f>
        <v>1160</v>
      </c>
    </row>
    <row r="28" spans="25:52" x14ac:dyDescent="0.35">
      <c r="AA28" s="336">
        <f>-AC28</f>
        <v>0</v>
      </c>
      <c r="AB28" s="337">
        <f t="shared" ref="AB28:AB30" si="4">$AB$26*$AA28</f>
        <v>0</v>
      </c>
      <c r="AC28" s="157"/>
      <c r="AD28" t="s">
        <v>530</v>
      </c>
      <c r="AE28" s="157"/>
      <c r="AF28" t="s">
        <v>523</v>
      </c>
      <c r="AG28" s="157"/>
      <c r="AH28" s="117" t="s">
        <v>370</v>
      </c>
      <c r="AJ28" s="117" t="s">
        <v>371</v>
      </c>
      <c r="AK28" s="118">
        <v>0.95</v>
      </c>
      <c r="AL28" s="134">
        <f>AK28*$AK$3</f>
        <v>18075.918532090229</v>
      </c>
      <c r="AM28" s="117"/>
      <c r="AN28" s="134">
        <f>AM28*$AM$3</f>
        <v>0</v>
      </c>
      <c r="AO28" s="117"/>
      <c r="AP28" s="134">
        <f>AO28*$AO$3</f>
        <v>0</v>
      </c>
      <c r="AQ28" s="118">
        <v>0.05</v>
      </c>
      <c r="AR28" s="134">
        <f>AQ28*$AQ$3</f>
        <v>777.76432381947461</v>
      </c>
      <c r="AS28" s="117"/>
      <c r="AT28" s="134">
        <f>AS28*$AS$3</f>
        <v>0</v>
      </c>
      <c r="AU28" s="117"/>
      <c r="AV28" s="117">
        <f>AU28*$AU$3</f>
        <v>0</v>
      </c>
      <c r="AW28" s="122">
        <f t="shared" si="3"/>
        <v>1</v>
      </c>
      <c r="AX28" s="167">
        <f t="shared" si="3"/>
        <v>18853.682855909705</v>
      </c>
      <c r="AY28" s="130">
        <f>$AY$4*AZ28</f>
        <v>19080000</v>
      </c>
      <c r="AZ28">
        <f>AZ10</f>
        <v>720</v>
      </c>
    </row>
    <row r="29" spans="25:52" x14ac:dyDescent="0.35">
      <c r="AA29" s="336">
        <f>-AC29</f>
        <v>-3.2300000000000002E-2</v>
      </c>
      <c r="AB29" s="337">
        <f t="shared" si="4"/>
        <v>-84.149645685702396</v>
      </c>
      <c r="AC29" s="186">
        <v>3.2300000000000002E-2</v>
      </c>
      <c r="AD29" t="s">
        <v>531</v>
      </c>
      <c r="AE29" s="157"/>
      <c r="AF29" t="s">
        <v>524</v>
      </c>
      <c r="AG29" s="157"/>
      <c r="AH29" s="117" t="s">
        <v>371</v>
      </c>
      <c r="AJ29" s="117" t="s">
        <v>373</v>
      </c>
      <c r="AK29" s="118">
        <v>0.65</v>
      </c>
      <c r="AL29" s="134">
        <f>AK29*$AK$3</f>
        <v>12367.733732482789</v>
      </c>
      <c r="AM29" s="118">
        <v>0.15</v>
      </c>
      <c r="AN29" s="134">
        <f>AM29*$AM$3</f>
        <v>3025.362982370702</v>
      </c>
      <c r="AO29" s="117"/>
      <c r="AP29" s="134">
        <f>AO29*$AO$3</f>
        <v>0</v>
      </c>
      <c r="AQ29" s="118">
        <v>0.2</v>
      </c>
      <c r="AR29" s="134">
        <f>AQ29*$AQ$3</f>
        <v>3111.0572952778984</v>
      </c>
      <c r="AS29" s="117"/>
      <c r="AT29" s="134">
        <f>AS29*$AS$3</f>
        <v>0</v>
      </c>
      <c r="AU29" s="117"/>
      <c r="AV29" s="117">
        <f>AU29*$AU$3</f>
        <v>0</v>
      </c>
      <c r="AW29" s="122">
        <f t="shared" si="3"/>
        <v>1</v>
      </c>
      <c r="AX29" s="167">
        <f t="shared" si="3"/>
        <v>18504.154010131388</v>
      </c>
      <c r="AY29" s="130">
        <f>$AY$4*AZ29</f>
        <v>0</v>
      </c>
    </row>
    <row r="30" spans="25:52" x14ac:dyDescent="0.35">
      <c r="AA30" s="336">
        <f>-AC30</f>
        <v>-8.0999999999999996E-3</v>
      </c>
      <c r="AB30" s="337">
        <f t="shared" si="4"/>
        <v>-21.102542726135891</v>
      </c>
      <c r="AC30" s="186">
        <v>8.0999999999999996E-3</v>
      </c>
      <c r="AD30" t="s">
        <v>482</v>
      </c>
      <c r="AE30" s="186">
        <v>2.3699999999999999E-2</v>
      </c>
      <c r="AF30" t="s">
        <v>482</v>
      </c>
      <c r="AG30" s="186">
        <v>2.3699999999999999E-2</v>
      </c>
      <c r="AH30" s="117" t="s">
        <v>373</v>
      </c>
    </row>
    <row r="31" spans="25:52" x14ac:dyDescent="0.35">
      <c r="AG31" s="186">
        <v>2.3699999999999999E-2</v>
      </c>
      <c r="AH31" t="s">
        <v>482</v>
      </c>
    </row>
    <row r="32" spans="25:52" x14ac:dyDescent="0.35">
      <c r="Y32" s="313" t="s">
        <v>54</v>
      </c>
      <c r="Z32" s="69">
        <v>0.02</v>
      </c>
      <c r="AA32" s="313" t="s">
        <v>538</v>
      </c>
      <c r="AB32" s="313" t="s">
        <v>54</v>
      </c>
      <c r="AC32" s="116" t="s">
        <v>534</v>
      </c>
      <c r="AE32" s="116" t="s">
        <v>54</v>
      </c>
      <c r="AG32" s="116" t="s">
        <v>54</v>
      </c>
      <c r="AJ32" s="119" t="s">
        <v>389</v>
      </c>
      <c r="AK32" s="339">
        <f>SUM(AC35:AC39)</f>
        <v>3.9200000000000006E-2</v>
      </c>
      <c r="AW32" s="126">
        <v>0.02</v>
      </c>
    </row>
    <row r="33" spans="27:52" x14ac:dyDescent="0.35">
      <c r="AA33" s="314">
        <v>2500</v>
      </c>
      <c r="AB33" s="109">
        <v>2500</v>
      </c>
      <c r="AC33" s="311">
        <f>SUM(AC34:AC38)</f>
        <v>1</v>
      </c>
      <c r="AE33" s="311">
        <f>SUM(AE34:AE38)</f>
        <v>1</v>
      </c>
      <c r="AG33" s="311">
        <f>SUM(AG34:AG38)</f>
        <v>1</v>
      </c>
      <c r="AJ33" s="117" t="s">
        <v>381</v>
      </c>
      <c r="AK33" s="117"/>
      <c r="AL33" s="117">
        <f>AK33*$AK$3</f>
        <v>0</v>
      </c>
      <c r="AM33" s="117"/>
      <c r="AN33" s="117">
        <f>AM33*$AM$3</f>
        <v>0</v>
      </c>
      <c r="AO33" s="117"/>
      <c r="AP33" s="117">
        <f>AO33*$AO$3</f>
        <v>0</v>
      </c>
      <c r="AQ33" s="117"/>
      <c r="AR33" s="117"/>
      <c r="AS33" s="117"/>
      <c r="AT33" s="117">
        <f>AS33*$AS$3</f>
        <v>0</v>
      </c>
      <c r="AU33" s="118">
        <v>1</v>
      </c>
      <c r="AV33" s="117"/>
      <c r="AW33" s="122">
        <f>AK33+AM33+AO33+AQ33+AS33+AU33</f>
        <v>1</v>
      </c>
      <c r="AX33" s="167">
        <f>AL33+AN33+AP33+AR33+AT33+AV33</f>
        <v>0</v>
      </c>
      <c r="AY33" s="130">
        <f>$AY$4*AZ33</f>
        <v>19000500</v>
      </c>
      <c r="AZ33">
        <v>717</v>
      </c>
    </row>
    <row r="34" spans="27:52" x14ac:dyDescent="0.35">
      <c r="AA34" s="316">
        <f>1/AC34</f>
        <v>1.0407993338884263</v>
      </c>
      <c r="AB34" s="317">
        <f>$AB$6*$AA34</f>
        <v>2601.9983347210655</v>
      </c>
      <c r="AC34" s="309">
        <v>0.96079999999999999</v>
      </c>
      <c r="AD34" t="s">
        <v>528</v>
      </c>
      <c r="AE34" s="309">
        <v>0.98950000000000005</v>
      </c>
      <c r="AF34" t="s">
        <v>521</v>
      </c>
      <c r="AG34" s="309">
        <v>0.98950000000000005</v>
      </c>
      <c r="AH34" s="117" t="s">
        <v>381</v>
      </c>
    </row>
    <row r="35" spans="27:52" x14ac:dyDescent="0.35">
      <c r="AA35" s="336">
        <f>-AC35</f>
        <v>0</v>
      </c>
      <c r="AB35" s="337">
        <f>$AB$34*$AA35</f>
        <v>0</v>
      </c>
      <c r="AC35" s="554"/>
      <c r="AD35" s="555" t="s">
        <v>529</v>
      </c>
      <c r="AE35" s="157"/>
      <c r="AF35" t="s">
        <v>522</v>
      </c>
      <c r="AG35" s="157"/>
      <c r="AH35" t="s">
        <v>522</v>
      </c>
      <c r="AU35" s="109">
        <f>'Giá mua Chai-Vảy'!O40</f>
        <v>12550</v>
      </c>
      <c r="AX35" s="195"/>
      <c r="AY35" s="133"/>
      <c r="AZ35" s="133"/>
    </row>
    <row r="36" spans="27:52" x14ac:dyDescent="0.35">
      <c r="AA36" s="336">
        <f>-AC36</f>
        <v>0</v>
      </c>
      <c r="AB36" s="337">
        <f t="shared" ref="AB36:AB38" si="5">$AB$34*$AA36</f>
        <v>0</v>
      </c>
      <c r="AC36" s="157"/>
      <c r="AD36" t="s">
        <v>530</v>
      </c>
      <c r="AE36" s="157"/>
      <c r="AF36" t="s">
        <v>523</v>
      </c>
      <c r="AG36" s="157"/>
      <c r="AH36" t="s">
        <v>523</v>
      </c>
      <c r="AJ36" s="119" t="s">
        <v>446</v>
      </c>
      <c r="AW36" s="126">
        <v>0.01</v>
      </c>
    </row>
    <row r="37" spans="27:52" x14ac:dyDescent="0.35">
      <c r="AA37" s="336">
        <f>-AC37</f>
        <v>-3.8600000000000002E-2</v>
      </c>
      <c r="AB37" s="337">
        <f t="shared" si="5"/>
        <v>-100.43713572023313</v>
      </c>
      <c r="AC37" s="186">
        <v>3.8600000000000002E-2</v>
      </c>
      <c r="AD37" t="s">
        <v>531</v>
      </c>
      <c r="AE37" s="157"/>
      <c r="AF37" t="s">
        <v>524</v>
      </c>
      <c r="AG37" s="157"/>
      <c r="AH37" t="s">
        <v>524</v>
      </c>
      <c r="AJ37" s="117" t="s">
        <v>475</v>
      </c>
      <c r="AK37" s="117"/>
      <c r="AL37" s="117">
        <f>AK37*$AK$3</f>
        <v>0</v>
      </c>
      <c r="AM37" s="117"/>
      <c r="AN37" s="117">
        <f>AM37*$AM$3</f>
        <v>0</v>
      </c>
      <c r="AO37" s="117"/>
      <c r="AP37" s="117">
        <f>AO37*$AO$3</f>
        <v>0</v>
      </c>
      <c r="AQ37" s="117"/>
      <c r="AR37" s="117"/>
      <c r="AS37" s="117"/>
      <c r="AT37" s="117">
        <f>AS37*$AS$3</f>
        <v>0</v>
      </c>
      <c r="AU37" s="118">
        <v>1</v>
      </c>
      <c r="AV37" s="134">
        <f>AU37*$AU$35</f>
        <v>12550</v>
      </c>
      <c r="AW37" s="122">
        <f>AK37+AM37+AO37+AQ37+AS37+AU37</f>
        <v>1</v>
      </c>
      <c r="AX37" s="177">
        <f>AL37+AN37+AP37+AR37+AT37+AV37</f>
        <v>12550</v>
      </c>
      <c r="AY37" s="175">
        <f>AY$1+AX37</f>
        <v>12550</v>
      </c>
      <c r="AZ37" s="194">
        <f>AZ$1+AY37</f>
        <v>12550</v>
      </c>
    </row>
    <row r="38" spans="27:52" x14ac:dyDescent="0.35">
      <c r="AA38" s="336">
        <f>-AC38</f>
        <v>-5.9999999999999995E-4</v>
      </c>
      <c r="AB38" s="337">
        <f t="shared" si="5"/>
        <v>-1.5611990008326391</v>
      </c>
      <c r="AC38" s="186">
        <v>5.9999999999999995E-4</v>
      </c>
      <c r="AD38" t="s">
        <v>482</v>
      </c>
      <c r="AE38" s="186">
        <v>1.0500000000000001E-2</v>
      </c>
      <c r="AF38" t="s">
        <v>482</v>
      </c>
      <c r="AG38" s="186">
        <v>1.0500000000000001E-2</v>
      </c>
      <c r="AH38" t="s">
        <v>482</v>
      </c>
    </row>
  </sheetData>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BA5B-FA8A-485C-A962-0C2E5FDD02AF}">
  <sheetPr>
    <tabColor theme="9" tint="0.79998168889431442"/>
  </sheetPr>
  <dimension ref="B1:CP39"/>
  <sheetViews>
    <sheetView topLeftCell="D1" zoomScale="85" zoomScaleNormal="85" workbookViewId="0">
      <pane xSplit="17" topLeftCell="AP1" activePane="topRight" state="frozen"/>
      <selection activeCell="S1" sqref="S1"/>
      <selection pane="topRight" activeCell="T3" sqref="T3"/>
    </sheetView>
  </sheetViews>
  <sheetFormatPr defaultRowHeight="14.5" outlineLevelCol="1" x14ac:dyDescent="0.35"/>
  <cols>
    <col min="1" max="1" width="3.36328125" customWidth="1"/>
    <col min="4" max="18" width="8.7265625" hidden="1" customWidth="1" outlineLevel="1"/>
    <col min="19" max="19" width="8.7265625" collapsed="1"/>
    <col min="20" max="20" width="26.08984375"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10.6328125" style="121" customWidth="1"/>
    <col min="34" max="34" width="21.90625" style="121" customWidth="1"/>
    <col min="35" max="35" width="10.1796875" style="121" bestFit="1" customWidth="1"/>
    <col min="36" max="36" width="11.81640625" bestFit="1" customWidth="1"/>
    <col min="37" max="37" width="7" bestFit="1" customWidth="1"/>
    <col min="38" max="38" width="6.7265625" customWidth="1"/>
    <col min="39" max="42" width="8.453125" customWidth="1"/>
    <col min="43" max="43" width="7.6328125" customWidth="1"/>
    <col min="44" max="44" width="8" customWidth="1"/>
    <col min="45" max="45" width="8.90625" customWidth="1"/>
    <col min="46" max="46" width="4.6328125" customWidth="1"/>
    <col min="47" max="48" width="8.08984375" hidden="1" customWidth="1" outlineLevel="1"/>
    <col min="49" max="50" width="7.81640625" hidden="1" customWidth="1" outlineLevel="1"/>
    <col min="51" max="51" width="6.54296875" hidden="1" customWidth="1" outlineLevel="1"/>
    <col min="52" max="52" width="8" hidden="1" customWidth="1" outlineLevel="1"/>
    <col min="53" max="53" width="9.1796875" bestFit="1" customWidth="1" collapsed="1"/>
    <col min="55" max="55" width="8.08984375" bestFit="1" customWidth="1"/>
    <col min="56" max="56" width="9.1796875" bestFit="1" customWidth="1"/>
    <col min="57" max="57" width="7.7265625" bestFit="1" customWidth="1"/>
    <col min="58" max="58" width="8.7265625" bestFit="1" customWidth="1"/>
    <col min="59" max="59" width="10.26953125" bestFit="1" customWidth="1"/>
    <col min="60" max="60" width="9.453125" customWidth="1"/>
    <col min="61" max="61" width="8.90625" bestFit="1" customWidth="1"/>
    <col min="62" max="62" width="10.1796875" bestFit="1" customWidth="1"/>
    <col min="63" max="63" width="7" bestFit="1" customWidth="1"/>
    <col min="64" max="64" width="7" customWidth="1"/>
    <col min="65" max="65" width="9.7265625" customWidth="1"/>
    <col min="66" max="66" width="23.1796875" bestFit="1" customWidth="1"/>
    <col min="67" max="67" width="6.81640625" style="65" customWidth="1"/>
    <col min="68" max="68" width="8.7265625" customWidth="1"/>
    <col min="69" max="69" width="10.54296875" customWidth="1"/>
    <col min="72" max="72" width="7.7265625" bestFit="1" customWidth="1"/>
    <col min="73" max="73" width="8.7265625" bestFit="1" customWidth="1"/>
    <col min="74" max="74" width="9.26953125" bestFit="1" customWidth="1"/>
    <col min="75" max="75" width="9.54296875" bestFit="1" customWidth="1"/>
    <col min="76" max="76" width="9.26953125" bestFit="1" customWidth="1"/>
    <col min="77" max="77" width="8.1796875" bestFit="1" customWidth="1"/>
    <col min="78" max="78" width="6.1796875" bestFit="1" customWidth="1"/>
    <col min="79" max="79" width="7.36328125" customWidth="1"/>
    <col min="80" max="80" width="10.54296875" customWidth="1"/>
    <col min="81" max="81" width="9.1796875" bestFit="1" customWidth="1"/>
    <col min="82" max="82" width="15.90625" customWidth="1"/>
    <col min="83" max="83" width="6.36328125" customWidth="1"/>
    <col min="84" max="85" width="8.08984375" bestFit="1" customWidth="1"/>
    <col min="86" max="86" width="7" bestFit="1" customWidth="1"/>
    <col min="87" max="87" width="4.90625" customWidth="1"/>
    <col min="88" max="88" width="9.7265625" bestFit="1" customWidth="1"/>
    <col min="89" max="89" width="11.54296875" bestFit="1" customWidth="1"/>
    <col min="90" max="90" width="7.08984375" customWidth="1"/>
    <col min="91" max="92" width="8.08984375" bestFit="1" customWidth="1"/>
    <col min="93" max="93" width="7" bestFit="1" customWidth="1"/>
    <col min="94" max="94" width="4.36328125" bestFit="1" customWidth="1"/>
  </cols>
  <sheetData>
    <row r="1" spans="2:94" ht="39" customHeight="1" x14ac:dyDescent="0.35">
      <c r="B1" s="113" t="s">
        <v>364</v>
      </c>
      <c r="T1" s="121" t="s">
        <v>447</v>
      </c>
      <c r="U1" s="109">
        <f>'Hảo_R&amp;D'!AK1</f>
        <v>14800</v>
      </c>
      <c r="W1" s="109">
        <f>'Hảo_R&amp;D'!AM1</f>
        <v>16300</v>
      </c>
      <c r="X1" s="132">
        <f>W3-W1-X3</f>
        <v>-847.55675534306283</v>
      </c>
      <c r="Y1" s="109">
        <f>'Hảo_R&amp;D'!AO1</f>
        <v>14800</v>
      </c>
      <c r="AA1" s="109">
        <f>'Hảo_R&amp;D'!AQ1</f>
        <v>13300</v>
      </c>
      <c r="AB1" s="132"/>
      <c r="AC1" s="168">
        <f>'Hảo_R&amp;D'!AS1</f>
        <v>7971.0144927536239</v>
      </c>
      <c r="AD1" s="171">
        <f>'[8]16.1 Rửa vảy B7'!$I$10</f>
        <v>84.555434657824762</v>
      </c>
      <c r="AE1" s="109">
        <f>'Hảo_R&amp;D'!AU1</f>
        <v>13300</v>
      </c>
      <c r="AL1" s="1145" t="s">
        <v>466</v>
      </c>
      <c r="AM1" s="187">
        <f t="shared" ref="AM1:AS1" si="0">AM2/$AS$2</f>
        <v>0.3133333333333333</v>
      </c>
      <c r="AN1" s="187">
        <f t="shared" si="0"/>
        <v>0.52</v>
      </c>
      <c r="AO1" s="187">
        <f t="shared" si="0"/>
        <v>2.6666666666666668E-2</v>
      </c>
      <c r="AP1" s="187">
        <f t="shared" si="0"/>
        <v>6.6666666666666666E-2</v>
      </c>
      <c r="AQ1" s="187">
        <f t="shared" si="0"/>
        <v>6.6666666666666671E-3</v>
      </c>
      <c r="AR1" s="187">
        <f t="shared" si="0"/>
        <v>6.6666666666666666E-2</v>
      </c>
      <c r="AS1" s="187">
        <f t="shared" si="0"/>
        <v>1</v>
      </c>
      <c r="BA1" s="187">
        <f>BA6+BA14+BA24+BA33+BA37</f>
        <v>1</v>
      </c>
      <c r="BB1" t="s">
        <v>516</v>
      </c>
      <c r="BC1" s="276">
        <v>53000</v>
      </c>
      <c r="BD1" s="276">
        <v>100000</v>
      </c>
      <c r="BE1" s="321" t="s">
        <v>539</v>
      </c>
      <c r="BF1" s="321" t="s">
        <v>540</v>
      </c>
      <c r="BG1" s="206" t="s">
        <v>543</v>
      </c>
      <c r="BH1" s="328" t="s">
        <v>541</v>
      </c>
      <c r="BI1" s="333" t="s">
        <v>474</v>
      </c>
      <c r="BJ1" s="333" t="s">
        <v>674</v>
      </c>
      <c r="BK1" s="333" t="s">
        <v>690</v>
      </c>
      <c r="BL1" s="333" t="s">
        <v>691</v>
      </c>
      <c r="BM1" s="333" t="s">
        <v>474</v>
      </c>
      <c r="BN1" s="333" t="s">
        <v>696</v>
      </c>
      <c r="BO1" s="333" t="s">
        <v>695</v>
      </c>
      <c r="BP1" s="282">
        <f>SUM(BP2:BP9)</f>
        <v>53000</v>
      </c>
      <c r="BQ1" s="282">
        <f>SUM(BQ2:BQ9)</f>
        <v>100000</v>
      </c>
      <c r="BR1" s="278">
        <f t="shared" ref="BR1:BR9" si="1">BP1/$BP$1</f>
        <v>1</v>
      </c>
      <c r="BS1" s="278">
        <f>BQ1/$BQ$1</f>
        <v>1</v>
      </c>
      <c r="BT1" s="321" t="s">
        <v>539</v>
      </c>
      <c r="BU1" s="321" t="s">
        <v>540</v>
      </c>
      <c r="BV1" s="308" t="s">
        <v>517</v>
      </c>
      <c r="BW1" s="308" t="s">
        <v>518</v>
      </c>
      <c r="BX1" s="447" t="s">
        <v>648</v>
      </c>
      <c r="BY1" s="506" t="s">
        <v>693</v>
      </c>
      <c r="BZ1" s="308" t="s">
        <v>676</v>
      </c>
      <c r="CA1" s="308" t="s">
        <v>677</v>
      </c>
      <c r="CB1" s="506" t="s">
        <v>675</v>
      </c>
      <c r="CC1" s="308" t="s">
        <v>692</v>
      </c>
      <c r="CD1" s="507">
        <v>26500</v>
      </c>
      <c r="CF1" s="200">
        <v>10000</v>
      </c>
      <c r="CG1" s="165">
        <v>11300</v>
      </c>
      <c r="CH1" s="470">
        <f>CG1-CF1</f>
        <v>1300</v>
      </c>
      <c r="CI1" s="508">
        <f>CH1/26.5</f>
        <v>49.056603773584904</v>
      </c>
      <c r="CJ1" s="528" t="s">
        <v>694</v>
      </c>
      <c r="CK1" s="509" t="s">
        <v>681</v>
      </c>
      <c r="CM1" s="200">
        <v>10000</v>
      </c>
      <c r="CN1" s="165">
        <v>10800</v>
      </c>
      <c r="CO1" s="470">
        <f>CN1-CM1</f>
        <v>800</v>
      </c>
      <c r="CP1" s="508">
        <f>CO1/26.5</f>
        <v>30.188679245283019</v>
      </c>
    </row>
    <row r="2" spans="2:94" ht="15.5" x14ac:dyDescent="0.35">
      <c r="B2" s="114" t="s">
        <v>365</v>
      </c>
      <c r="T2" s="162" t="s">
        <v>634</v>
      </c>
      <c r="U2" s="157">
        <f>'Hảo_R&amp;D'!AK2</f>
        <v>0.77783045852077959</v>
      </c>
      <c r="W2" s="283">
        <f>'Hảo_R&amp;D'!AM2</f>
        <v>0.8081674874213195</v>
      </c>
      <c r="X2" s="132">
        <f>'[8]12. 100% vảy-&gt;hạt WSS01-iSS01'!$I$10</f>
        <v>1636.9775154230633</v>
      </c>
      <c r="Y2" s="157">
        <f>'Hảo_R&amp;D'!AO2</f>
        <v>0.85501479000000002</v>
      </c>
      <c r="AA2" s="157">
        <f>'Hảo_R&amp;D'!AQ2</f>
        <v>0.85501479000000002</v>
      </c>
      <c r="AE2" s="157">
        <f>'Hảo_R&amp;D'!AU2</f>
        <v>0.773478</v>
      </c>
      <c r="AL2" s="1145"/>
      <c r="AM2" s="69">
        <f t="shared" ref="AM2:AS2" si="2">AM6+AM14+AM24+AM33</f>
        <v>4.6999999999999993</v>
      </c>
      <c r="AN2" s="69">
        <f t="shared" si="2"/>
        <v>7.8000000000000007</v>
      </c>
      <c r="AO2" s="69">
        <f t="shared" si="2"/>
        <v>0.4</v>
      </c>
      <c r="AP2" s="69">
        <f t="shared" si="2"/>
        <v>1</v>
      </c>
      <c r="AQ2" s="69">
        <f t="shared" si="2"/>
        <v>0.1</v>
      </c>
      <c r="AR2" s="69">
        <f t="shared" si="2"/>
        <v>1</v>
      </c>
      <c r="AS2" s="69">
        <f t="shared" si="2"/>
        <v>15</v>
      </c>
      <c r="BF2" s="332">
        <v>26500</v>
      </c>
      <c r="BG2" s="325">
        <f>AK17</f>
        <v>1250</v>
      </c>
      <c r="BH2" s="329">
        <f>BG2/$BG$6</f>
        <v>1.1467889908256881</v>
      </c>
      <c r="BI2" s="332">
        <f>'H_Tỷ lệ HH&amp;PS'!CC6</f>
        <v>1135.8555900863398</v>
      </c>
      <c r="BJ2" s="497">
        <f>BI2/$BI$6</f>
        <v>1.0813368684816316</v>
      </c>
      <c r="BK2" s="524">
        <f>BG2-BI2</f>
        <v>114.14440991366018</v>
      </c>
      <c r="BL2" s="166">
        <f>BK2/BG2</f>
        <v>9.1315527930928148E-2</v>
      </c>
      <c r="BM2" s="335">
        <f>'Hảo_R&amp;D (Hạt-Full stage-Mix)'!AO17/BF2*1000</f>
        <v>977.5238396395398</v>
      </c>
      <c r="BN2" s="280" t="str">
        <f>T17</f>
        <v>Hạt iSS01084G</v>
      </c>
      <c r="BO2" s="540">
        <v>1</v>
      </c>
      <c r="BP2" s="279">
        <f>BC17</f>
        <v>3533.3333333333335</v>
      </c>
      <c r="BQ2" s="279">
        <f>BD17</f>
        <v>6666.666666666667</v>
      </c>
      <c r="BR2" s="281">
        <f t="shared" si="1"/>
        <v>6.6666666666666666E-2</v>
      </c>
      <c r="BS2" s="281">
        <f t="shared" ref="BS2:BS9" si="3">BQ2/$BQ$1</f>
        <v>6.6666666666666666E-2</v>
      </c>
      <c r="BT2" s="279">
        <f>BP2/12</f>
        <v>294.44444444444446</v>
      </c>
      <c r="BU2" s="279">
        <f>BQ2/12</f>
        <v>555.55555555555554</v>
      </c>
      <c r="BV2" s="504">
        <f>'[10]ZCOR0019-03.26'!$BA$26</f>
        <v>7.882989970244117E-2</v>
      </c>
      <c r="BW2" s="199">
        <f>'[10]ZCOR0019-03.26'!$AZ$26*4/1000</f>
        <v>1764.3173999999999</v>
      </c>
      <c r="BX2" s="199">
        <f>BW2/3</f>
        <v>588.10579999999993</v>
      </c>
      <c r="BY2" s="525">
        <f>(CA2+BZ2)/CB2</f>
        <v>0.17443691164196901</v>
      </c>
      <c r="BZ2" s="280">
        <v>140</v>
      </c>
      <c r="CA2" s="280">
        <v>100</v>
      </c>
      <c r="CB2" s="279">
        <f>BI2+BZ2+CA2</f>
        <v>1375.8555900863398</v>
      </c>
      <c r="CC2" s="199">
        <f>CA2*BT2</f>
        <v>29444.444444444445</v>
      </c>
      <c r="CD2" s="279">
        <f t="shared" ref="CD2:CD10" si="4">CC2*$CD$1</f>
        <v>780277777.77777779</v>
      </c>
      <c r="CF2" s="513">
        <v>1299.3674300717448</v>
      </c>
      <c r="CG2" s="513">
        <f>CB2</f>
        <v>1375.8555900863398</v>
      </c>
      <c r="CH2" s="513">
        <f>CG2-CF2</f>
        <v>76.488160014594996</v>
      </c>
      <c r="CI2" s="514"/>
      <c r="CJ2" s="512">
        <f>CJ4+90</f>
        <v>1470</v>
      </c>
      <c r="CK2" s="513">
        <f>CJ2-CG2</f>
        <v>94.144409913660184</v>
      </c>
      <c r="CL2" s="514"/>
      <c r="CM2" s="513">
        <v>1299.3674300717448</v>
      </c>
      <c r="CN2" s="513">
        <v>1349.4282238420415</v>
      </c>
      <c r="CO2" s="513">
        <f>CN2-CM2</f>
        <v>50.060793770296641</v>
      </c>
      <c r="CP2" s="514"/>
    </row>
    <row r="3" spans="2:94" x14ac:dyDescent="0.35">
      <c r="T3" s="162" t="s">
        <v>448</v>
      </c>
      <c r="U3" s="395">
        <f>U1/U2</f>
        <v>19027.282665358136</v>
      </c>
      <c r="W3" s="131">
        <f>W1/W2</f>
        <v>20169.086549138014</v>
      </c>
      <c r="X3" s="132">
        <f>'[8]10. 100% chai-&gt;hạt WSS01-iSS01'!$I$21+'[8]10. 100% chai-&gt;hạt WSS01-iSS01'!$I$37</f>
        <v>4716.6433044810765</v>
      </c>
      <c r="Y3" s="131">
        <f>Y1/Y2</f>
        <v>17309.642094027404</v>
      </c>
      <c r="AA3" s="131">
        <f>AA1/AA2</f>
        <v>15555.28647638949</v>
      </c>
      <c r="AC3" s="169">
        <f>'[8]16.1 Rửa vảy B7'!$I$48</f>
        <v>14341.250211551116</v>
      </c>
      <c r="AE3" s="131">
        <f>AE1/AE2</f>
        <v>17195.059200132389</v>
      </c>
      <c r="AG3" s="121" t="s">
        <v>636</v>
      </c>
      <c r="AH3" s="121" t="s">
        <v>718</v>
      </c>
      <c r="AI3" s="173"/>
      <c r="AJ3" t="s">
        <v>391</v>
      </c>
      <c r="AK3" t="s">
        <v>393</v>
      </c>
      <c r="AL3" s="1145"/>
      <c r="AM3" s="109">
        <f>(AM4/U2)*1.05</f>
        <v>22417.481610530391</v>
      </c>
      <c r="AN3" s="109">
        <f>(AN4/W2)*1.05</f>
        <v>35806.934144721214</v>
      </c>
      <c r="AO3" s="109">
        <f>(AO4/Y2)*1.05</f>
        <v>1735.6424910497749</v>
      </c>
      <c r="AP3" s="109">
        <f>(AP4/AA2)*1.05</f>
        <v>4339.1062276244375</v>
      </c>
      <c r="AQ3" s="109">
        <f>AQ4/AA2</f>
        <v>413.24821215470831</v>
      </c>
      <c r="AR3" s="109">
        <f>(AR4/AE2)*1.05</f>
        <v>4796.5165137211407</v>
      </c>
      <c r="AS3" s="130">
        <f>SUM(AM3:AR3)</f>
        <v>69508.929199801671</v>
      </c>
      <c r="AU3" s="109">
        <f>(AU4/U2)*1.05</f>
        <v>42297.135114208279</v>
      </c>
      <c r="AV3" s="109">
        <f>(AV4/W2)*1.05</f>
        <v>67560.253103247582</v>
      </c>
      <c r="AW3" s="109">
        <f>(AW4/Y2)*1.05</f>
        <v>3274.7971529241036</v>
      </c>
      <c r="AX3" s="109">
        <f>(AX4/AA2)*1.05</f>
        <v>8186.9928823102582</v>
      </c>
      <c r="AY3" s="109">
        <f>AY4/AA2</f>
        <v>779.71360783907221</v>
      </c>
      <c r="AZ3" s="109">
        <f>(AZ4/AE2)*1.05</f>
        <v>9050.0311579644167</v>
      </c>
      <c r="BA3" s="130">
        <f>SUM(AU3:AZ3)</f>
        <v>131148.92301849369</v>
      </c>
      <c r="BG3" s="325">
        <f>AK8</f>
        <v>1190</v>
      </c>
      <c r="BH3" s="330">
        <f>BG3/$BG$6</f>
        <v>1.0917431192660549</v>
      </c>
      <c r="BI3" s="332">
        <f>'H_Tỷ lệ HH&amp;PS'!CC8</f>
        <v>1093.1367392648076</v>
      </c>
      <c r="BJ3" s="497">
        <f t="shared" ref="BJ3:BJ9" si="5">BI3/$BI$6</f>
        <v>1.0406684342408157</v>
      </c>
      <c r="BK3" s="524">
        <f t="shared" ref="BK3:BK5" si="6">BG3-BI3</f>
        <v>96.863260735192398</v>
      </c>
      <c r="BL3" s="166">
        <f t="shared" ref="BL3:BL9" si="7">BK3/BG3</f>
        <v>8.1397698096800336E-2</v>
      </c>
      <c r="BM3" s="335">
        <f>'Hảo_R&amp;D (Hạt-Full stage-Mix)'!AO16/BF2*1000</f>
        <v>977.5238396395398</v>
      </c>
      <c r="BN3" s="1" t="str">
        <f>T16</f>
        <v>Hạt iSS01G</v>
      </c>
      <c r="BO3" s="3">
        <v>2</v>
      </c>
      <c r="BP3" s="300">
        <f>BC8+BC16</f>
        <v>7066.666666666667</v>
      </c>
      <c r="BQ3" s="300">
        <f>BD8+BD16</f>
        <v>13333.333333333334</v>
      </c>
      <c r="BR3" s="301">
        <f t="shared" si="1"/>
        <v>0.13333333333333333</v>
      </c>
      <c r="BS3" s="301">
        <f t="shared" si="3"/>
        <v>0.13333333333333333</v>
      </c>
      <c r="BT3" s="300">
        <f t="shared" ref="BT3:BU9" si="8">BP3/12</f>
        <v>588.88888888888891</v>
      </c>
      <c r="BU3" s="300">
        <f t="shared" si="8"/>
        <v>1111.1111111111111</v>
      </c>
      <c r="BV3" s="153">
        <f>'[10]ZCOR0019-03.26'!$BA$27</f>
        <v>0.23350233317759631</v>
      </c>
      <c r="BW3" s="109">
        <f>'[10]ZCOR0019-03.26'!$AZ$27/3*12/1000</f>
        <v>5226.0910000000003</v>
      </c>
      <c r="BX3" s="109">
        <f>BW3/3</f>
        <v>1742.0303333333334</v>
      </c>
      <c r="BY3" s="525">
        <f t="shared" ref="BY3:BY9" si="9">(CA3+BZ3)/CB3</f>
        <v>0.16114962741245095</v>
      </c>
      <c r="BZ3">
        <f>BZ2</f>
        <v>140</v>
      </c>
      <c r="CA3">
        <f>CA2-30</f>
        <v>70</v>
      </c>
      <c r="CB3" s="130">
        <f t="shared" ref="CB3:CB9" si="10">BI3+BZ3+CA3</f>
        <v>1303.1367392648076</v>
      </c>
      <c r="CC3" s="109">
        <f t="shared" ref="CC3:CC9" si="11">CA3*BT3</f>
        <v>41222.222222222226</v>
      </c>
      <c r="CD3" s="130">
        <f t="shared" si="4"/>
        <v>1092388888.8888891</v>
      </c>
      <c r="CF3" s="130">
        <v>1230.3200109309132</v>
      </c>
      <c r="CG3" s="130">
        <f>CB3</f>
        <v>1303.1367392648076</v>
      </c>
      <c r="CH3" s="130">
        <f t="shared" ref="CH3:CH9" si="12">CG3-CF3</f>
        <v>72.816728333894389</v>
      </c>
      <c r="CJ3" s="512">
        <f>CJ4+30</f>
        <v>1410</v>
      </c>
      <c r="CK3" s="130">
        <f t="shared" ref="CK3:CK9" si="13">CJ3-CG3</f>
        <v>106.8632607351924</v>
      </c>
      <c r="CM3" s="130">
        <v>1230.3200109309132</v>
      </c>
      <c r="CN3" s="130">
        <v>1277.9778866002357</v>
      </c>
      <c r="CO3" s="130">
        <f t="shared" ref="CO3:CO9" si="14">CN3-CM3</f>
        <v>47.657875669322493</v>
      </c>
    </row>
    <row r="4" spans="2:94" x14ac:dyDescent="0.35">
      <c r="T4" s="120" t="s">
        <v>366</v>
      </c>
      <c r="U4" s="115" t="s">
        <v>367</v>
      </c>
      <c r="W4" s="115" t="s">
        <v>374</v>
      </c>
      <c r="Y4" s="115" t="s">
        <v>375</v>
      </c>
      <c r="AA4" s="115" t="s">
        <v>382</v>
      </c>
      <c r="AC4" s="115" t="s">
        <v>384</v>
      </c>
      <c r="AE4" s="115" t="s">
        <v>385</v>
      </c>
      <c r="AG4" s="127" t="s">
        <v>376</v>
      </c>
      <c r="AH4" s="127"/>
      <c r="AJ4" s="129">
        <v>26500</v>
      </c>
      <c r="AL4" s="1145"/>
      <c r="AM4" s="195">
        <f>AM1*$BC$1</f>
        <v>16606.666666666664</v>
      </c>
      <c r="AN4" s="195">
        <f t="shared" ref="AN4:AS4" si="15">AN1*$BC$1</f>
        <v>27560</v>
      </c>
      <c r="AO4" s="195">
        <f t="shared" si="15"/>
        <v>1413.3333333333335</v>
      </c>
      <c r="AP4" s="195">
        <f t="shared" si="15"/>
        <v>3533.3333333333335</v>
      </c>
      <c r="AQ4" s="195">
        <f t="shared" si="15"/>
        <v>353.33333333333337</v>
      </c>
      <c r="AR4" s="195">
        <f t="shared" si="15"/>
        <v>3533.3333333333335</v>
      </c>
      <c r="AS4" s="195">
        <f t="shared" si="15"/>
        <v>53000</v>
      </c>
      <c r="AU4" s="195">
        <f>AM1*$BD$1</f>
        <v>31333.333333333328</v>
      </c>
      <c r="AV4" s="195">
        <f t="shared" ref="AV4:BA4" si="16">AN1*$BD$1</f>
        <v>52000</v>
      </c>
      <c r="AW4" s="195">
        <f t="shared" si="16"/>
        <v>2666.666666666667</v>
      </c>
      <c r="AX4" s="195">
        <f t="shared" si="16"/>
        <v>6666.666666666667</v>
      </c>
      <c r="AY4" s="195">
        <f t="shared" si="16"/>
        <v>666.66666666666674</v>
      </c>
      <c r="AZ4" s="195">
        <f t="shared" si="16"/>
        <v>6666.666666666667</v>
      </c>
      <c r="BA4" s="195">
        <f t="shared" si="16"/>
        <v>100000</v>
      </c>
      <c r="BG4" s="325">
        <f>AK7</f>
        <v>1160</v>
      </c>
      <c r="BH4" s="330">
        <f>BG4/$BG$6</f>
        <v>1.0642201834862386</v>
      </c>
      <c r="BI4" s="332">
        <f>'H_Tỷ lệ HH&amp;PS'!CC10</f>
        <v>1071.7773138540419</v>
      </c>
      <c r="BJ4" s="497">
        <f t="shared" si="5"/>
        <v>1.0203342171204079</v>
      </c>
      <c r="BK4" s="524">
        <f t="shared" si="6"/>
        <v>88.22268614595805</v>
      </c>
      <c r="BL4" s="166">
        <f t="shared" si="7"/>
        <v>7.6054039780998325E-2</v>
      </c>
      <c r="BM4" s="335">
        <f>'Hảo_R&amp;D (Hạt-Full stage-Mix)'!AO15/26500*1000</f>
        <v>977.5238396395398</v>
      </c>
      <c r="BN4" s="181" t="str">
        <f>T15</f>
        <v>Hạt WSS01G</v>
      </c>
      <c r="BO4" s="541">
        <v>3</v>
      </c>
      <c r="BP4" s="183">
        <f>BC7+BC15+BC25+BC27</f>
        <v>14133.333333333334</v>
      </c>
      <c r="BQ4" s="183">
        <f>BD7+BD15+BD25+BD27</f>
        <v>26666.666666666668</v>
      </c>
      <c r="BR4" s="283">
        <f t="shared" si="1"/>
        <v>0.26666666666666666</v>
      </c>
      <c r="BS4" s="283">
        <f t="shared" si="3"/>
        <v>0.26666666666666666</v>
      </c>
      <c r="BT4" s="183">
        <f t="shared" si="8"/>
        <v>1177.7777777777778</v>
      </c>
      <c r="BU4" s="183">
        <f t="shared" si="8"/>
        <v>2222.2222222222222</v>
      </c>
      <c r="BV4" s="157">
        <f>'[10]ZCOR0019-03.26'!$BA$25</f>
        <v>0.12892607275073253</v>
      </c>
      <c r="BW4" s="147">
        <f>'[10]ZCOR0019-03.26'!$AZ$25/3*12/1000</f>
        <v>2885.5360000000001</v>
      </c>
      <c r="BX4" s="147">
        <f>BW4/3</f>
        <v>961.84533333333331</v>
      </c>
      <c r="BY4" s="525">
        <f>(CA4+BZ4)/CB4</f>
        <v>0.15058124592496719</v>
      </c>
      <c r="BZ4" s="181">
        <f>BZ2</f>
        <v>140</v>
      </c>
      <c r="CA4" s="181">
        <f>CA3-20</f>
        <v>50</v>
      </c>
      <c r="CB4" s="183">
        <f>BI4+BZ4+CA4</f>
        <v>1261.7773138540419</v>
      </c>
      <c r="CC4" s="147">
        <f t="shared" si="11"/>
        <v>58888.888888888891</v>
      </c>
      <c r="CD4" s="183">
        <f t="shared" si="4"/>
        <v>1560555555.5555556</v>
      </c>
      <c r="CF4" s="183">
        <v>1190.7963013604976</v>
      </c>
      <c r="CG4" s="183">
        <f>CB4</f>
        <v>1261.7773138540419</v>
      </c>
      <c r="CH4" s="183">
        <f t="shared" si="12"/>
        <v>70.981012493544313</v>
      </c>
      <c r="CI4" s="181"/>
      <c r="CJ4" s="147">
        <v>1380</v>
      </c>
      <c r="CK4" s="183">
        <f t="shared" si="13"/>
        <v>118.22268614595805</v>
      </c>
      <c r="CL4" s="181"/>
      <c r="CM4" s="183">
        <v>1190.7963013604976</v>
      </c>
      <c r="CN4" s="183">
        <v>1237.2527179793328</v>
      </c>
      <c r="CO4" s="183">
        <f t="shared" si="14"/>
        <v>46.456416618835192</v>
      </c>
      <c r="CP4" s="181"/>
    </row>
    <row r="5" spans="2:94"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c r="AI5" s="123" t="s">
        <v>372</v>
      </c>
      <c r="AJ5" s="123" t="s">
        <v>372</v>
      </c>
      <c r="AK5" t="s">
        <v>392</v>
      </c>
      <c r="AL5" s="1145"/>
      <c r="AM5" s="189" t="str">
        <f>U5</f>
        <v>B6.2</v>
      </c>
      <c r="AN5" s="189" t="str">
        <f>W5</f>
        <v>B1</v>
      </c>
      <c r="AO5" s="189" t="str">
        <f>Y5</f>
        <v>B2.2</v>
      </c>
      <c r="AP5" s="189" t="str">
        <f>AA5</f>
        <v>B5</v>
      </c>
      <c r="AQ5" s="189" t="str">
        <f>AC5</f>
        <v>B7</v>
      </c>
      <c r="AR5" s="189" t="str">
        <f>AE5</f>
        <v>B4</v>
      </c>
      <c r="AS5" s="189"/>
      <c r="AU5" s="189" t="str">
        <f t="shared" ref="AU5:BA5" si="17">AM5</f>
        <v>B6.2</v>
      </c>
      <c r="AV5" s="189" t="str">
        <f t="shared" si="17"/>
        <v>B1</v>
      </c>
      <c r="AW5" s="189" t="str">
        <f t="shared" si="17"/>
        <v>B2.2</v>
      </c>
      <c r="AX5" s="189" t="str">
        <f t="shared" si="17"/>
        <v>B5</v>
      </c>
      <c r="AY5" s="189" t="str">
        <f t="shared" si="17"/>
        <v>B7</v>
      </c>
      <c r="AZ5" s="189" t="str">
        <f t="shared" si="17"/>
        <v>B4</v>
      </c>
      <c r="BA5" s="189">
        <f t="shared" si="17"/>
        <v>0</v>
      </c>
      <c r="BG5" s="325">
        <f>AK18</f>
        <v>1130</v>
      </c>
      <c r="BH5" s="330">
        <f>BG5/$BG$6</f>
        <v>1.036697247706422</v>
      </c>
      <c r="BI5" s="332">
        <f>'H_Tỷ lệ HH&amp;PS'!CC12</f>
        <v>1050.4178884432758</v>
      </c>
      <c r="BJ5" s="497">
        <f t="shared" si="5"/>
        <v>1</v>
      </c>
      <c r="BK5" s="524">
        <f t="shared" si="6"/>
        <v>79.582111556724158</v>
      </c>
      <c r="BL5" s="166">
        <f t="shared" si="7"/>
        <v>7.042664739533111E-2</v>
      </c>
      <c r="BM5" s="335">
        <f>'Hảo_R&amp;D (Hạt-Full stage-Mix)'!AO18/26500*1000</f>
        <v>977.5238396395398</v>
      </c>
      <c r="BN5" s="294" t="str">
        <f>T18</f>
        <v>Hạt WSS03G</v>
      </c>
      <c r="BO5" s="542">
        <v>4</v>
      </c>
      <c r="BP5" s="295">
        <f>BC18</f>
        <v>3533.3333333333335</v>
      </c>
      <c r="BQ5" s="295">
        <f>BD18</f>
        <v>6666.666666666667</v>
      </c>
      <c r="BR5" s="296">
        <f t="shared" si="1"/>
        <v>6.6666666666666666E-2</v>
      </c>
      <c r="BS5" s="296">
        <f t="shared" si="3"/>
        <v>6.6666666666666666E-2</v>
      </c>
      <c r="BT5" s="295">
        <f t="shared" si="8"/>
        <v>294.44444444444446</v>
      </c>
      <c r="BU5" s="295">
        <f t="shared" si="8"/>
        <v>555.55555555555554</v>
      </c>
      <c r="BV5" s="303">
        <f>'[10]ZCOR0019-03.26'!$BA$28</f>
        <v>0.30327623536668236</v>
      </c>
      <c r="BW5" s="304">
        <f>'[10]ZCOR0019-03.26'!$AZ$28/3*12/1000</f>
        <v>6787.7231999999995</v>
      </c>
      <c r="BX5" s="304">
        <f>BW5/3</f>
        <v>2262.5744</v>
      </c>
      <c r="BY5" s="525">
        <f t="shared" si="9"/>
        <v>0.15317418570805194</v>
      </c>
      <c r="BZ5" s="294">
        <f>BZ2</f>
        <v>140</v>
      </c>
      <c r="CA5" s="294">
        <f>CA4</f>
        <v>50</v>
      </c>
      <c r="CB5" s="295">
        <f t="shared" si="10"/>
        <v>1240.4178884432758</v>
      </c>
      <c r="CC5" s="304">
        <f t="shared" si="11"/>
        <v>14722.222222222223</v>
      </c>
      <c r="CD5" s="295">
        <f t="shared" si="4"/>
        <v>390138888.8888889</v>
      </c>
      <c r="CF5" s="295">
        <v>1171.2725917900818</v>
      </c>
      <c r="CG5" s="295">
        <f>CB5</f>
        <v>1240.4178884432758</v>
      </c>
      <c r="CH5" s="295">
        <f t="shared" si="12"/>
        <v>69.145296653194009</v>
      </c>
      <c r="CI5" s="294"/>
      <c r="CJ5" s="304">
        <f>CJ4-70</f>
        <v>1310</v>
      </c>
      <c r="CK5" s="295">
        <f t="shared" si="13"/>
        <v>69.582111556724158</v>
      </c>
      <c r="CL5" s="294"/>
      <c r="CM5" s="295">
        <v>1171.2725917900818</v>
      </c>
      <c r="CN5" s="295">
        <v>1216.52754935843</v>
      </c>
      <c r="CO5" s="295">
        <f t="shared" si="14"/>
        <v>45.254957568348118</v>
      </c>
      <c r="CP5" s="294"/>
    </row>
    <row r="6" spans="2:94" x14ac:dyDescent="0.35">
      <c r="T6" s="119" t="s">
        <v>390</v>
      </c>
      <c r="AG6" s="277">
        <v>0.3</v>
      </c>
      <c r="AH6" s="277"/>
      <c r="AM6" s="188">
        <f>SUM(AM7:AM11)</f>
        <v>2.5499999999999998</v>
      </c>
      <c r="AN6" s="188">
        <f t="shared" ref="AN6:AS6" si="18">SUM(AN7:AN11)</f>
        <v>2.0500000000000003</v>
      </c>
      <c r="AO6" s="188">
        <f t="shared" si="18"/>
        <v>0.15</v>
      </c>
      <c r="AP6" s="188">
        <f t="shared" si="18"/>
        <v>0.25</v>
      </c>
      <c r="AQ6" s="188">
        <f t="shared" si="18"/>
        <v>0</v>
      </c>
      <c r="AR6" s="188">
        <f t="shared" si="18"/>
        <v>0</v>
      </c>
      <c r="AS6" s="188">
        <f t="shared" si="18"/>
        <v>5</v>
      </c>
      <c r="AU6" s="188">
        <f>AM6/AM$2</f>
        <v>0.54255319148936176</v>
      </c>
      <c r="AV6" s="188">
        <f>AN6/AN$2</f>
        <v>0.26282051282051283</v>
      </c>
      <c r="AW6" s="188">
        <f t="shared" ref="AV6:BA11" si="19">AO6/AO$2</f>
        <v>0.37499999999999994</v>
      </c>
      <c r="AX6" s="188">
        <f t="shared" si="19"/>
        <v>0.25</v>
      </c>
      <c r="AY6" s="188">
        <f t="shared" si="19"/>
        <v>0</v>
      </c>
      <c r="AZ6" s="188">
        <f t="shared" si="19"/>
        <v>0</v>
      </c>
      <c r="BA6" s="188">
        <f t="shared" si="19"/>
        <v>0.33333333333333331</v>
      </c>
      <c r="BC6" s="275">
        <f>$BC$1*BA6</f>
        <v>17666.666666666664</v>
      </c>
      <c r="BD6" s="275">
        <f t="shared" ref="BD6:BD11" si="20">$BD$1*BA6</f>
        <v>33333.333333333328</v>
      </c>
      <c r="BE6" s="196">
        <f t="shared" ref="BE6:BF11" si="21">BC6/12</f>
        <v>1472.2222222222219</v>
      </c>
      <c r="BF6" s="196">
        <f t="shared" si="21"/>
        <v>2777.7777777777774</v>
      </c>
      <c r="BG6" s="326">
        <f>AK9</f>
        <v>1090</v>
      </c>
      <c r="BH6" s="331">
        <f>BG6/$BG$6</f>
        <v>1</v>
      </c>
      <c r="BI6" s="496">
        <f>BI5</f>
        <v>1050.4178884432758</v>
      </c>
      <c r="BJ6" s="497">
        <f t="shared" si="5"/>
        <v>1</v>
      </c>
      <c r="BK6" s="524">
        <f>BG6-BI6</f>
        <v>39.582111556724158</v>
      </c>
      <c r="BL6" s="166">
        <f t="shared" si="7"/>
        <v>3.6313863813508401E-2</v>
      </c>
      <c r="BM6" s="334"/>
      <c r="BN6" s="294" t="str">
        <f>T9</f>
        <v>Hạt WSS03G-PW</v>
      </c>
      <c r="BO6" s="542">
        <v>5</v>
      </c>
      <c r="BP6" s="295">
        <f>BC9+BC26</f>
        <v>7066.666666666667</v>
      </c>
      <c r="BQ6" s="295">
        <f>BD9+BD26</f>
        <v>13333.333333333334</v>
      </c>
      <c r="BR6" s="296">
        <f t="shared" si="1"/>
        <v>0.13333333333333333</v>
      </c>
      <c r="BS6" s="296">
        <f t="shared" si="3"/>
        <v>0.13333333333333333</v>
      </c>
      <c r="BT6" s="295">
        <f t="shared" si="8"/>
        <v>588.88888888888891</v>
      </c>
      <c r="BU6" s="295">
        <f t="shared" si="8"/>
        <v>1111.1111111111111</v>
      </c>
      <c r="BV6" s="294"/>
      <c r="BW6" s="304"/>
      <c r="BX6" s="294"/>
      <c r="BY6" s="525">
        <f t="shared" si="9"/>
        <v>0.15317418570805194</v>
      </c>
      <c r="BZ6" s="294">
        <f>BZ2</f>
        <v>140</v>
      </c>
      <c r="CA6" s="294">
        <f>CA5</f>
        <v>50</v>
      </c>
      <c r="CB6" s="295">
        <f t="shared" si="10"/>
        <v>1240.4178884432758</v>
      </c>
      <c r="CC6" s="304">
        <f t="shared" si="11"/>
        <v>29444.444444444445</v>
      </c>
      <c r="CD6" s="295">
        <f t="shared" si="4"/>
        <v>780277777.77777779</v>
      </c>
      <c r="CF6" s="295">
        <v>1171.2725917900818</v>
      </c>
      <c r="CG6" s="295">
        <f>CB6</f>
        <v>1240.4178884432758</v>
      </c>
      <c r="CH6" s="295">
        <f t="shared" si="12"/>
        <v>69.145296653194009</v>
      </c>
      <c r="CI6" s="294"/>
      <c r="CJ6" s="304">
        <f>CJ4-130</f>
        <v>1250</v>
      </c>
      <c r="CK6" s="295">
        <f t="shared" si="13"/>
        <v>9.5821115567241577</v>
      </c>
      <c r="CL6" s="294"/>
      <c r="CM6" s="295">
        <v>1171.2725917900818</v>
      </c>
      <c r="CN6" s="295">
        <v>1216.52754935843</v>
      </c>
      <c r="CO6" s="295">
        <f t="shared" si="14"/>
        <v>45.254957568348118</v>
      </c>
      <c r="CP6" s="294"/>
    </row>
    <row r="7" spans="2:94" s="284" customFormat="1" x14ac:dyDescent="0.35">
      <c r="S7" s="284">
        <v>3</v>
      </c>
      <c r="T7" s="285" t="s">
        <v>368</v>
      </c>
      <c r="U7" s="286">
        <v>0.1</v>
      </c>
      <c r="V7" s="287">
        <f>U7*$U$3</f>
        <v>1902.7282665358136</v>
      </c>
      <c r="W7" s="286">
        <v>0.9</v>
      </c>
      <c r="X7" s="287">
        <f>W7*$W$3</f>
        <v>18152.177894224213</v>
      </c>
      <c r="Y7" s="285"/>
      <c r="Z7" s="287">
        <f>Y7*$Y$3</f>
        <v>0</v>
      </c>
      <c r="AA7" s="285"/>
      <c r="AB7" s="285">
        <f>AA7*$AA$3</f>
        <v>0</v>
      </c>
      <c r="AC7" s="285"/>
      <c r="AD7" s="285">
        <f>AC7*$AC$3</f>
        <v>0</v>
      </c>
      <c r="AE7" s="285"/>
      <c r="AF7" s="285">
        <f>AE7*$AE$3</f>
        <v>0</v>
      </c>
      <c r="AG7" s="288">
        <f>U7+W7+Y7+AA7+AC7+AE7</f>
        <v>1</v>
      </c>
      <c r="AH7" s="288">
        <f>$U7*$U2*$W7*$W2+$Y7*$Y2+$AA7*$AA2+$AC7*$AC2+$AE7*$AE2</f>
        <v>5.6575555857226019E-2</v>
      </c>
      <c r="AI7" s="289">
        <f>V7+X7+Z7+AB7+AD7+AF7</f>
        <v>20054.906160760027</v>
      </c>
      <c r="AJ7" s="290">
        <f>$AJ$4*AK7</f>
        <v>30740000</v>
      </c>
      <c r="AK7" s="291">
        <v>1160</v>
      </c>
      <c r="AL7" s="284">
        <v>3</v>
      </c>
      <c r="AM7" s="292">
        <f>U7</f>
        <v>0.1</v>
      </c>
      <c r="AN7" s="292">
        <f>W7</f>
        <v>0.9</v>
      </c>
      <c r="AO7" s="293">
        <f>Y7</f>
        <v>0</v>
      </c>
      <c r="AP7" s="293">
        <f>AA7</f>
        <v>0</v>
      </c>
      <c r="AQ7" s="293">
        <f>AC7</f>
        <v>0</v>
      </c>
      <c r="AR7" s="293">
        <f>AE7</f>
        <v>0</v>
      </c>
      <c r="AS7" s="292">
        <f>SUM(AM7:AR7)</f>
        <v>1</v>
      </c>
      <c r="AU7" s="293">
        <f>AM7/AM$2</f>
        <v>2.1276595744680854E-2</v>
      </c>
      <c r="AV7" s="293">
        <f t="shared" si="19"/>
        <v>0.11538461538461538</v>
      </c>
      <c r="AW7" s="293">
        <f t="shared" si="19"/>
        <v>0</v>
      </c>
      <c r="AX7" s="293">
        <f t="shared" si="19"/>
        <v>0</v>
      </c>
      <c r="AY7" s="293">
        <f t="shared" si="19"/>
        <v>0</v>
      </c>
      <c r="AZ7" s="293">
        <f t="shared" si="19"/>
        <v>0</v>
      </c>
      <c r="BA7" s="293">
        <f>AS7/AS$2</f>
        <v>6.6666666666666666E-2</v>
      </c>
      <c r="BC7" s="291">
        <f t="shared" ref="BC7:BC11" si="22">$BC$1*BA7</f>
        <v>3533.3333333333335</v>
      </c>
      <c r="BD7" s="291">
        <f t="shared" si="20"/>
        <v>6666.666666666667</v>
      </c>
      <c r="BE7" s="291">
        <f t="shared" si="21"/>
        <v>294.44444444444446</v>
      </c>
      <c r="BF7" s="291">
        <f t="shared" si="21"/>
        <v>555.55555555555554</v>
      </c>
      <c r="BG7" s="291">
        <f>'H_Tỷ lệ HH&amp;PS'!CJ42</f>
        <v>1113.1088906437303</v>
      </c>
      <c r="BH7" s="448">
        <f t="shared" ref="BH7:BH9" si="23">BG7/$BG$6</f>
        <v>1.0212008171043399</v>
      </c>
      <c r="BI7" s="147">
        <f>'H_Tỷ lệ HH&amp;PS'!CC42</f>
        <v>973.10889064373032</v>
      </c>
      <c r="BJ7" s="505">
        <f t="shared" si="5"/>
        <v>0.92640167437159904</v>
      </c>
      <c r="BK7" s="524">
        <f>BG7-BI7</f>
        <v>140</v>
      </c>
      <c r="BL7" s="166">
        <f t="shared" si="7"/>
        <v>0.12577385840394784</v>
      </c>
      <c r="BM7" s="291"/>
      <c r="BN7" s="284" t="str">
        <f>T10</f>
        <v>Hạt WSS05SB (sợi ngắn)</v>
      </c>
      <c r="BO7" s="543">
        <v>6</v>
      </c>
      <c r="BP7" s="290">
        <f>BC10+BC28</f>
        <v>7066.666666666667</v>
      </c>
      <c r="BQ7" s="290">
        <f>BD10+BD28</f>
        <v>13333.333333333334</v>
      </c>
      <c r="BR7" s="293">
        <f t="shared" si="1"/>
        <v>0.13333333333333333</v>
      </c>
      <c r="BS7" s="293">
        <f t="shared" si="3"/>
        <v>0.13333333333333333</v>
      </c>
      <c r="BT7" s="290">
        <f t="shared" si="8"/>
        <v>588.88888888888891</v>
      </c>
      <c r="BU7" s="290">
        <f t="shared" si="8"/>
        <v>1111.1111111111111</v>
      </c>
      <c r="BV7" s="302">
        <f>'[10]ZCOR0019-03.26'!$BA$66</f>
        <v>8.0272039689665509E-2</v>
      </c>
      <c r="BW7" s="109">
        <f>'[10]ZCOR0019-03.26'!$AZ$66/3*12/1000</f>
        <v>1796.5944</v>
      </c>
      <c r="BX7" s="109">
        <f>BW7/3</f>
        <v>598.86479999999995</v>
      </c>
      <c r="BY7" s="525">
        <f t="shared" si="9"/>
        <v>0.16335529848356953</v>
      </c>
      <c r="BZ7" s="284">
        <f>BZ2</f>
        <v>140</v>
      </c>
      <c r="CA7" s="284">
        <f>CA6</f>
        <v>50</v>
      </c>
      <c r="CB7" s="130">
        <f t="shared" si="10"/>
        <v>1163.1088906437303</v>
      </c>
      <c r="CC7" s="109">
        <f t="shared" si="11"/>
        <v>29444.444444444445</v>
      </c>
      <c r="CD7" s="290">
        <f t="shared" si="4"/>
        <v>780277777.77777779</v>
      </c>
      <c r="CF7" s="290">
        <v>1090.8603314552352</v>
      </c>
      <c r="CG7" s="290">
        <f t="shared" ref="CG7:CG9" si="24">CB7</f>
        <v>1163.1088906437303</v>
      </c>
      <c r="CH7" s="290">
        <f t="shared" si="12"/>
        <v>72.248559188495165</v>
      </c>
      <c r="CJ7" s="291">
        <f>CJ4-130</f>
        <v>1250</v>
      </c>
      <c r="CK7" s="290">
        <f t="shared" si="13"/>
        <v>86.891109356269681</v>
      </c>
      <c r="CM7" s="290">
        <v>1090.8603314552352</v>
      </c>
      <c r="CN7" s="290">
        <v>1131.1668422337466</v>
      </c>
      <c r="CO7" s="290">
        <f t="shared" si="14"/>
        <v>40.306510778511438</v>
      </c>
    </row>
    <row r="8" spans="2:94" x14ac:dyDescent="0.35">
      <c r="S8">
        <v>2</v>
      </c>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2">
        <f>U8+W8+Y8+AA8+AC8+AE8</f>
        <v>1</v>
      </c>
      <c r="AH8" s="122"/>
      <c r="AI8" s="167">
        <f>V8+X8+Z8+AB8+AD8+AF8</f>
        <v>19826.54538400405</v>
      </c>
      <c r="AJ8" s="130">
        <f>$AJ$4*AK8</f>
        <v>31535000</v>
      </c>
      <c r="AK8" s="130">
        <f>AK7+30</f>
        <v>1190</v>
      </c>
      <c r="AL8">
        <v>2</v>
      </c>
      <c r="AM8" s="69">
        <f>U8</f>
        <v>0.3</v>
      </c>
      <c r="AN8" s="69">
        <f>W8</f>
        <v>0.7</v>
      </c>
      <c r="AO8" s="110">
        <f>Y8</f>
        <v>0</v>
      </c>
      <c r="AP8" s="110">
        <f>AA8</f>
        <v>0</v>
      </c>
      <c r="AQ8" s="110">
        <f>AC8</f>
        <v>0</v>
      </c>
      <c r="AR8" s="110">
        <f>AE8</f>
        <v>0</v>
      </c>
      <c r="AS8" s="69">
        <f>SUM(AM8:AR8)</f>
        <v>1</v>
      </c>
      <c r="AU8" s="110">
        <f>AM8/AM$2</f>
        <v>6.3829787234042562E-2</v>
      </c>
      <c r="AV8" s="110">
        <f t="shared" si="19"/>
        <v>8.974358974358973E-2</v>
      </c>
      <c r="AW8" s="110">
        <f t="shared" si="19"/>
        <v>0</v>
      </c>
      <c r="AX8" s="110">
        <f t="shared" si="19"/>
        <v>0</v>
      </c>
      <c r="AY8" s="110">
        <f t="shared" si="19"/>
        <v>0</v>
      </c>
      <c r="AZ8" s="110">
        <f t="shared" si="19"/>
        <v>0</v>
      </c>
      <c r="BA8" s="110">
        <f>AS8/AS$2</f>
        <v>6.6666666666666666E-2</v>
      </c>
      <c r="BC8" s="109">
        <f t="shared" si="22"/>
        <v>3533.3333333333335</v>
      </c>
      <c r="BD8" s="109">
        <f t="shared" si="20"/>
        <v>6666.666666666667</v>
      </c>
      <c r="BE8" s="109">
        <f t="shared" si="21"/>
        <v>294.44444444444446</v>
      </c>
      <c r="BF8" s="109">
        <f t="shared" si="21"/>
        <v>555.55555555555554</v>
      </c>
      <c r="BG8" s="109">
        <f>'H_Tỷ lệ HH&amp;PS'!CJ44</f>
        <v>912.35859229517871</v>
      </c>
      <c r="BH8" s="448">
        <f t="shared" si="23"/>
        <v>0.83702623146346666</v>
      </c>
      <c r="BI8" s="147">
        <f>'H_Tỷ lệ HH&amp;PS'!CC44</f>
        <v>842.35859229517871</v>
      </c>
      <c r="BJ8" s="505">
        <f t="shared" si="5"/>
        <v>0.80192712020885137</v>
      </c>
      <c r="BK8" s="524">
        <f>BG8-BI8</f>
        <v>70</v>
      </c>
      <c r="BL8" s="166">
        <f t="shared" si="7"/>
        <v>7.6724218515774822E-2</v>
      </c>
      <c r="BM8" s="109"/>
      <c r="BN8" s="297" t="str">
        <f>T11</f>
        <v>Vảy FPET201-Out</v>
      </c>
      <c r="BO8" s="544">
        <v>7</v>
      </c>
      <c r="BP8" s="298">
        <f>BC11+BC29</f>
        <v>7066.666666666667</v>
      </c>
      <c r="BQ8" s="298">
        <f>BD11+BD29</f>
        <v>13333.333333333334</v>
      </c>
      <c r="BR8" s="299">
        <f t="shared" si="1"/>
        <v>0.13333333333333333</v>
      </c>
      <c r="BS8" s="299">
        <f t="shared" si="3"/>
        <v>0.13333333333333333</v>
      </c>
      <c r="BT8" s="298">
        <f t="shared" si="8"/>
        <v>588.88888888888891</v>
      </c>
      <c r="BU8" s="298">
        <f t="shared" si="8"/>
        <v>1111.1111111111111</v>
      </c>
      <c r="BV8" s="297"/>
      <c r="BW8" s="503"/>
      <c r="BX8" s="297"/>
      <c r="BY8" s="525">
        <f t="shared" si="9"/>
        <v>0.18404457658223658</v>
      </c>
      <c r="BZ8" s="297">
        <f>BZ2</f>
        <v>140</v>
      </c>
      <c r="CA8" s="297">
        <f>CA7</f>
        <v>50</v>
      </c>
      <c r="CB8" s="298">
        <f t="shared" si="10"/>
        <v>1032.3585922951788</v>
      </c>
      <c r="CC8" s="503">
        <f t="shared" si="11"/>
        <v>29444.444444444445</v>
      </c>
      <c r="CD8" s="298">
        <f t="shared" si="4"/>
        <v>780277777.77777779</v>
      </c>
      <c r="CF8" s="298">
        <v>957.61638694600788</v>
      </c>
      <c r="CG8" s="298">
        <f t="shared" si="24"/>
        <v>1032.3585922951788</v>
      </c>
      <c r="CH8" s="298">
        <f t="shared" si="12"/>
        <v>74.742205349170945</v>
      </c>
      <c r="CI8" s="297"/>
      <c r="CJ8" s="503">
        <f>CJ4-130-BZ2/2-127</f>
        <v>1053</v>
      </c>
      <c r="CK8" s="298">
        <f t="shared" si="13"/>
        <v>20.641407704821177</v>
      </c>
      <c r="CL8" s="297"/>
      <c r="CM8" s="298">
        <v>957.61638694600788</v>
      </c>
      <c r="CN8" s="298">
        <v>997.56536441220032</v>
      </c>
      <c r="CO8" s="298">
        <f t="shared" si="14"/>
        <v>39.948977466192446</v>
      </c>
      <c r="CP8" s="297"/>
    </row>
    <row r="9" spans="2:94" x14ac:dyDescent="0.35">
      <c r="S9">
        <v>5</v>
      </c>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ref="AG9:AG11" si="25">U9+W9+Y9+AA9+AC9+AE9</f>
        <v>1</v>
      </c>
      <c r="AH9" s="122"/>
      <c r="AI9" s="167">
        <f>V9+X9+Z9+AB9+AD9+AF9</f>
        <v>19112.177744792491</v>
      </c>
      <c r="AJ9" s="130">
        <f>$AJ$4*AK9</f>
        <v>28885000</v>
      </c>
      <c r="AK9" s="130">
        <f>AK7-70</f>
        <v>1090</v>
      </c>
      <c r="AL9">
        <v>5</v>
      </c>
      <c r="AM9" s="69">
        <f>U9</f>
        <v>0.55000000000000004</v>
      </c>
      <c r="AN9" s="69">
        <f>W9</f>
        <v>0.3</v>
      </c>
      <c r="AO9" s="110">
        <f>Y9</f>
        <v>0.15</v>
      </c>
      <c r="AP9" s="110">
        <f>AA9</f>
        <v>0</v>
      </c>
      <c r="AQ9" s="110">
        <f>AC9</f>
        <v>0</v>
      </c>
      <c r="AR9" s="110">
        <f>AE9</f>
        <v>0</v>
      </c>
      <c r="AS9" s="69">
        <f>SUM(AM9:AR9)</f>
        <v>1</v>
      </c>
      <c r="AU9" s="110">
        <f>AM9/AM$2</f>
        <v>0.11702127659574471</v>
      </c>
      <c r="AV9" s="110">
        <f t="shared" si="19"/>
        <v>3.8461538461538457E-2</v>
      </c>
      <c r="AW9" s="110">
        <f t="shared" si="19"/>
        <v>0.37499999999999994</v>
      </c>
      <c r="AX9" s="110">
        <f t="shared" si="19"/>
        <v>0</v>
      </c>
      <c r="AY9" s="110">
        <f t="shared" si="19"/>
        <v>0</v>
      </c>
      <c r="AZ9" s="110">
        <f t="shared" si="19"/>
        <v>0</v>
      </c>
      <c r="BA9" s="110">
        <f t="shared" si="19"/>
        <v>6.6666666666666666E-2</v>
      </c>
      <c r="BC9" s="109">
        <f t="shared" si="22"/>
        <v>3533.3333333333335</v>
      </c>
      <c r="BD9" s="109">
        <f t="shared" si="20"/>
        <v>6666.666666666667</v>
      </c>
      <c r="BE9" s="109">
        <f t="shared" si="21"/>
        <v>294.44444444444446</v>
      </c>
      <c r="BF9" s="109">
        <f t="shared" si="21"/>
        <v>555.55555555555554</v>
      </c>
      <c r="BG9" s="109">
        <v>800</v>
      </c>
      <c r="BH9" s="448">
        <f t="shared" si="23"/>
        <v>0.73394495412844041</v>
      </c>
      <c r="BI9" s="147">
        <f>'H_Tỷ lệ HH&amp;PS'!AQ69</f>
        <v>886.59604535253879</v>
      </c>
      <c r="BJ9" s="505">
        <f t="shared" si="5"/>
        <v>0.84404126691566361</v>
      </c>
      <c r="BK9" s="524">
        <f>BG9-BI9</f>
        <v>-86.596045352538795</v>
      </c>
      <c r="BL9" s="166">
        <f t="shared" si="7"/>
        <v>-0.1082450566906735</v>
      </c>
      <c r="BM9" s="109"/>
      <c r="BN9" t="str">
        <f>T33</f>
        <v>Dây Đai</v>
      </c>
      <c r="BO9" s="65">
        <v>8</v>
      </c>
      <c r="BP9" s="130">
        <f>BC33</f>
        <v>3533.3333333333335</v>
      </c>
      <c r="BQ9" s="130">
        <f>BD33</f>
        <v>6666.666666666667</v>
      </c>
      <c r="BR9" s="110">
        <f t="shared" si="1"/>
        <v>6.6666666666666666E-2</v>
      </c>
      <c r="BS9" s="110">
        <f t="shared" si="3"/>
        <v>6.6666666666666666E-2</v>
      </c>
      <c r="BT9" s="130">
        <f t="shared" si="8"/>
        <v>294.44444444444446</v>
      </c>
      <c r="BU9" s="130">
        <f t="shared" si="8"/>
        <v>555.55555555555554</v>
      </c>
      <c r="BW9" s="109"/>
      <c r="BY9" s="525">
        <f t="shared" si="9"/>
        <v>0.17648216415079176</v>
      </c>
      <c r="BZ9">
        <f>BZ2</f>
        <v>140</v>
      </c>
      <c r="CA9">
        <v>50</v>
      </c>
      <c r="CB9" s="130">
        <f t="shared" si="10"/>
        <v>1076.5960453525388</v>
      </c>
      <c r="CC9" s="109">
        <f t="shared" si="11"/>
        <v>14722.222222222223</v>
      </c>
      <c r="CD9" s="130">
        <f t="shared" si="4"/>
        <v>390138888.8888889</v>
      </c>
      <c r="CF9" s="290">
        <v>893.61542527672191</v>
      </c>
      <c r="CG9" s="290">
        <f t="shared" si="24"/>
        <v>1076.5960453525388</v>
      </c>
      <c r="CH9" s="290">
        <f t="shared" si="12"/>
        <v>182.98062007581689</v>
      </c>
      <c r="CI9" s="284"/>
      <c r="CJ9" s="291">
        <f>CJ4-130</f>
        <v>1250</v>
      </c>
      <c r="CK9" s="290">
        <f t="shared" si="13"/>
        <v>173.40395464746121</v>
      </c>
      <c r="CL9" s="284"/>
      <c r="CM9" s="290">
        <v>893.61542527672191</v>
      </c>
      <c r="CN9" s="290">
        <v>922.98159948823559</v>
      </c>
      <c r="CO9" s="290">
        <f t="shared" si="14"/>
        <v>29.36617421151368</v>
      </c>
      <c r="CP9" s="284"/>
    </row>
    <row r="10" spans="2:94" x14ac:dyDescent="0.35">
      <c r="S10">
        <v>6</v>
      </c>
      <c r="T10" s="117" t="s">
        <v>371</v>
      </c>
      <c r="U10" s="118">
        <v>0.95</v>
      </c>
      <c r="V10" s="134">
        <f>U10*$U$3</f>
        <v>18075.918532090229</v>
      </c>
      <c r="W10" s="261"/>
      <c r="X10" s="263">
        <f>W10*$W$3</f>
        <v>0</v>
      </c>
      <c r="Y10" s="117"/>
      <c r="Z10" s="134">
        <f>Y10*$Y$3</f>
        <v>0</v>
      </c>
      <c r="AA10" s="261">
        <v>0.05</v>
      </c>
      <c r="AB10" s="262">
        <f>AA10*$AA$3</f>
        <v>777.76432381947461</v>
      </c>
      <c r="AC10" s="117"/>
      <c r="AD10" s="117">
        <f>AC10*$AC$3</f>
        <v>0</v>
      </c>
      <c r="AE10" s="117"/>
      <c r="AF10" s="117">
        <f>AE10*$AE$3</f>
        <v>0</v>
      </c>
      <c r="AG10" s="122">
        <f t="shared" si="25"/>
        <v>1</v>
      </c>
      <c r="AH10" s="122"/>
      <c r="AI10" s="167">
        <f>V10+X10+Z10+AB10+AD10+AF10</f>
        <v>18853.682855909705</v>
      </c>
      <c r="AJ10" s="130">
        <f>$AJ$4*AK10</f>
        <v>19080000</v>
      </c>
      <c r="AK10" s="130">
        <v>720</v>
      </c>
      <c r="AL10">
        <v>6</v>
      </c>
      <c r="AM10" s="69">
        <f>U10</f>
        <v>0.95</v>
      </c>
      <c r="AN10" s="69">
        <f>W10</f>
        <v>0</v>
      </c>
      <c r="AO10" s="110">
        <f>Y10</f>
        <v>0</v>
      </c>
      <c r="AP10" s="110">
        <f>AA10</f>
        <v>0.05</v>
      </c>
      <c r="AQ10" s="110">
        <f>AC10</f>
        <v>0</v>
      </c>
      <c r="AR10" s="110">
        <f>AE10</f>
        <v>0</v>
      </c>
      <c r="AS10" s="69">
        <f>SUM(AM10:AR10)</f>
        <v>1</v>
      </c>
      <c r="AU10" s="110">
        <f>AM10/AM$2</f>
        <v>0.2021276595744681</v>
      </c>
      <c r="AV10" s="110">
        <f t="shared" si="19"/>
        <v>0</v>
      </c>
      <c r="AW10" s="110">
        <f t="shared" si="19"/>
        <v>0</v>
      </c>
      <c r="AX10" s="110">
        <f t="shared" si="19"/>
        <v>0.05</v>
      </c>
      <c r="AY10" s="110">
        <f t="shared" si="19"/>
        <v>0</v>
      </c>
      <c r="AZ10" s="110">
        <f t="shared" si="19"/>
        <v>0</v>
      </c>
      <c r="BA10" s="110">
        <f t="shared" si="19"/>
        <v>6.6666666666666666E-2</v>
      </c>
      <c r="BC10" s="109">
        <f t="shared" si="22"/>
        <v>3533.3333333333335</v>
      </c>
      <c r="BD10" s="109">
        <f t="shared" si="20"/>
        <v>6666.666666666667</v>
      </c>
      <c r="BE10" s="109">
        <f t="shared" si="21"/>
        <v>294.44444444444446</v>
      </c>
      <c r="BF10" s="109">
        <f t="shared" si="21"/>
        <v>555.55555555555554</v>
      </c>
      <c r="BG10" s="109"/>
      <c r="BH10" s="109"/>
      <c r="BI10" s="109"/>
      <c r="BJ10" s="109"/>
      <c r="BK10" s="526">
        <f>AVERAGE(BK2:BK9)</f>
        <v>67.724816819465019</v>
      </c>
      <c r="BL10" s="527">
        <f>AVERAGE(BL2:BL9)</f>
        <v>5.622009965582693E-2</v>
      </c>
      <c r="BM10" s="109"/>
      <c r="BT10" s="205">
        <f>SUM(BT2:BT9)</f>
        <v>4416.6666666666661</v>
      </c>
      <c r="BU10" s="205">
        <f>SUM(BU2:BU9)</f>
        <v>8333.3333333333339</v>
      </c>
      <c r="BW10" s="205">
        <f>SUM(BW2:BW9)</f>
        <v>18460.262000000002</v>
      </c>
      <c r="BX10" s="205">
        <f>SUM(BX2:BX9)</f>
        <v>6153.4206666666669</v>
      </c>
      <c r="BY10" s="547">
        <f>AVERAGE(BY2:BY9)</f>
        <v>0.16454977445151109</v>
      </c>
      <c r="BZ10" s="552">
        <f>CA10/CB10</f>
        <v>4.8485253880925186E-2</v>
      </c>
      <c r="CA10" s="523">
        <f>AVERAGE(CA2:CA9)</f>
        <v>58.75</v>
      </c>
      <c r="CB10" s="523">
        <f>AVERAGE(CB2:CB9)</f>
        <v>1211.7086185478986</v>
      </c>
      <c r="CC10" s="523">
        <f>SUM(CC2:CC9)</f>
        <v>247333.33333333331</v>
      </c>
      <c r="CD10" s="523">
        <f t="shared" si="4"/>
        <v>6554333333.333333</v>
      </c>
    </row>
    <row r="11" spans="2:94" x14ac:dyDescent="0.35">
      <c r="S11">
        <v>7</v>
      </c>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25"/>
        <v>1</v>
      </c>
      <c r="AH11" s="122"/>
      <c r="AI11" s="167">
        <f>V11+X11+Z11+AB11+AD11+AF11</f>
        <v>18504.154010131388</v>
      </c>
      <c r="AJ11" s="130">
        <f>$AJ$4*AK11</f>
        <v>20140000</v>
      </c>
      <c r="AK11" s="130">
        <v>760</v>
      </c>
      <c r="AL11">
        <v>7</v>
      </c>
      <c r="AM11" s="69">
        <f>U11</f>
        <v>0.65</v>
      </c>
      <c r="AN11" s="69">
        <f>W11</f>
        <v>0.15</v>
      </c>
      <c r="AO11" s="110">
        <f>Y11</f>
        <v>0</v>
      </c>
      <c r="AP11" s="110">
        <f>AA11</f>
        <v>0.2</v>
      </c>
      <c r="AQ11" s="110">
        <f>AC11</f>
        <v>0</v>
      </c>
      <c r="AR11" s="110">
        <f>AE11</f>
        <v>0</v>
      </c>
      <c r="AS11" s="69">
        <f>SUM(AM11:AR11)</f>
        <v>1</v>
      </c>
      <c r="AU11" s="110">
        <f>AM11/AM$2</f>
        <v>0.13829787234042556</v>
      </c>
      <c r="AV11" s="110">
        <f t="shared" si="19"/>
        <v>1.9230769230769228E-2</v>
      </c>
      <c r="AW11" s="110">
        <f t="shared" si="19"/>
        <v>0</v>
      </c>
      <c r="AX11" s="110">
        <f t="shared" si="19"/>
        <v>0.2</v>
      </c>
      <c r="AY11" s="110">
        <f t="shared" si="19"/>
        <v>0</v>
      </c>
      <c r="AZ11" s="110">
        <f t="shared" si="19"/>
        <v>0</v>
      </c>
      <c r="BA11" s="110">
        <f t="shared" si="19"/>
        <v>6.6666666666666666E-2</v>
      </c>
      <c r="BC11" s="109">
        <f t="shared" si="22"/>
        <v>3533.3333333333335</v>
      </c>
      <c r="BD11" s="109">
        <f t="shared" si="20"/>
        <v>6666.666666666667</v>
      </c>
      <c r="BE11" s="109">
        <f t="shared" si="21"/>
        <v>294.44444444444446</v>
      </c>
      <c r="BF11" s="109">
        <f t="shared" si="21"/>
        <v>555.55555555555554</v>
      </c>
      <c r="BG11" s="109"/>
      <c r="BH11" s="109"/>
      <c r="BI11" s="109"/>
      <c r="BJ11" s="109"/>
      <c r="BK11" s="109"/>
      <c r="BL11" s="109"/>
      <c r="BM11" s="109"/>
      <c r="BY11" s="525">
        <f>+SUMPRODUCT(BR2:BR9,BY2:BY9)</f>
        <v>0.16199104143821996</v>
      </c>
      <c r="BZ11" s="153">
        <f>CA11/CB11</f>
        <v>4.6108186380744487E-2</v>
      </c>
      <c r="CA11" s="109">
        <f>SUMPRODUCT(BR2:BR9,CA2:CA9)</f>
        <v>56</v>
      </c>
      <c r="CB11" s="109">
        <f>+SUMPRODUCT(BR2:BR9,CB2:CB9)</f>
        <v>1214.5348667061537</v>
      </c>
    </row>
    <row r="12" spans="2:94" x14ac:dyDescent="0.35">
      <c r="AI12" s="121">
        <v>20601</v>
      </c>
      <c r="BO12" s="548" t="s">
        <v>711</v>
      </c>
    </row>
    <row r="13" spans="2:94" x14ac:dyDescent="0.35">
      <c r="AI13" s="196">
        <f>AI12-AI11</f>
        <v>2096.8459898686124</v>
      </c>
      <c r="BN13" t="s">
        <v>706</v>
      </c>
      <c r="BO13" s="65">
        <v>100</v>
      </c>
    </row>
    <row r="14" spans="2:94" x14ac:dyDescent="0.35">
      <c r="T14" s="119" t="s">
        <v>387</v>
      </c>
      <c r="W14" s="116" t="s">
        <v>48</v>
      </c>
      <c r="AG14" s="126">
        <v>0.53</v>
      </c>
      <c r="AH14" s="126"/>
      <c r="AM14" s="188">
        <f t="shared" ref="AM14:AS14" si="26">SUM(AM15:AM18)</f>
        <v>0</v>
      </c>
      <c r="AN14" s="188">
        <f t="shared" si="26"/>
        <v>4</v>
      </c>
      <c r="AO14" s="188">
        <f t="shared" si="26"/>
        <v>0</v>
      </c>
      <c r="AP14" s="188">
        <f t="shared" si="26"/>
        <v>0</v>
      </c>
      <c r="AQ14" s="188">
        <f t="shared" si="26"/>
        <v>0</v>
      </c>
      <c r="AR14" s="188">
        <f t="shared" si="26"/>
        <v>0</v>
      </c>
      <c r="AS14" s="188">
        <f t="shared" si="26"/>
        <v>4</v>
      </c>
      <c r="AU14" s="188">
        <f t="shared" ref="AU14:BA18" si="27">AM14/AM$2</f>
        <v>0</v>
      </c>
      <c r="AV14" s="188">
        <f t="shared" si="27"/>
        <v>0.51282051282051277</v>
      </c>
      <c r="AW14" s="188">
        <f t="shared" si="27"/>
        <v>0</v>
      </c>
      <c r="AX14" s="188">
        <f t="shared" si="27"/>
        <v>0</v>
      </c>
      <c r="AY14" s="188">
        <f t="shared" si="27"/>
        <v>0</v>
      </c>
      <c r="AZ14" s="188">
        <f t="shared" si="27"/>
        <v>0</v>
      </c>
      <c r="BA14" s="188">
        <f t="shared" si="27"/>
        <v>0.26666666666666666</v>
      </c>
      <c r="BC14" s="275">
        <f>$BC$1*BA14</f>
        <v>14133.333333333334</v>
      </c>
      <c r="BD14" s="275">
        <f>$BD$1*BA14</f>
        <v>26666.666666666668</v>
      </c>
      <c r="BE14" s="196">
        <f t="shared" ref="BE14:BF18" si="28">BC14/12</f>
        <v>1177.7777777777778</v>
      </c>
      <c r="BF14" s="196">
        <f t="shared" si="28"/>
        <v>2222.2222222222222</v>
      </c>
      <c r="BG14" s="275"/>
      <c r="BH14" s="275"/>
      <c r="BI14" s="275"/>
      <c r="BJ14" s="275"/>
      <c r="BK14" s="275"/>
      <c r="BL14" s="275"/>
      <c r="BM14" s="275"/>
      <c r="BN14" t="s">
        <v>707</v>
      </c>
      <c r="BO14" s="65">
        <v>90</v>
      </c>
    </row>
    <row r="15" spans="2:94" x14ac:dyDescent="0.35">
      <c r="S15">
        <v>3</v>
      </c>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G18" si="29">U15+W15+Y15+AA15+AC15+AE15</f>
        <v>1</v>
      </c>
      <c r="AH15" s="122"/>
      <c r="AI15" s="167">
        <f>V15+X15+Z15+AB15+AD15+AF15</f>
        <v>20169.086549138014</v>
      </c>
      <c r="AJ15" s="130">
        <f>$AJ$4*AK15</f>
        <v>30740000</v>
      </c>
      <c r="AK15" s="130">
        <f>AK7</f>
        <v>1160</v>
      </c>
      <c r="AL15">
        <v>3</v>
      </c>
      <c r="AM15" s="69">
        <f>U15</f>
        <v>0</v>
      </c>
      <c r="AN15" s="69">
        <f>W15</f>
        <v>1</v>
      </c>
      <c r="AO15" s="110">
        <f>Y15</f>
        <v>0</v>
      </c>
      <c r="AP15" s="110">
        <f>AA15</f>
        <v>0</v>
      </c>
      <c r="AQ15" s="110">
        <f>AC15</f>
        <v>0</v>
      </c>
      <c r="AR15" s="110">
        <f>AE15</f>
        <v>0</v>
      </c>
      <c r="AS15" s="69">
        <f>SUM(AM15:AR15)</f>
        <v>1</v>
      </c>
      <c r="AU15" s="110">
        <f t="shared" si="27"/>
        <v>0</v>
      </c>
      <c r="AV15" s="110">
        <f t="shared" si="27"/>
        <v>0.12820512820512819</v>
      </c>
      <c r="AW15" s="110">
        <f t="shared" si="27"/>
        <v>0</v>
      </c>
      <c r="AX15" s="110">
        <f t="shared" si="27"/>
        <v>0</v>
      </c>
      <c r="AY15" s="110">
        <f t="shared" si="27"/>
        <v>0</v>
      </c>
      <c r="AZ15" s="110">
        <f t="shared" si="27"/>
        <v>0</v>
      </c>
      <c r="BA15" s="110">
        <f t="shared" si="27"/>
        <v>6.6666666666666666E-2</v>
      </c>
      <c r="BC15" s="109">
        <f>$BC$1*BA15</f>
        <v>3533.3333333333335</v>
      </c>
      <c r="BD15" s="109">
        <f>$BD$1*BA15</f>
        <v>6666.666666666667</v>
      </c>
      <c r="BE15" s="291">
        <f t="shared" si="28"/>
        <v>294.44444444444446</v>
      </c>
      <c r="BF15" s="291">
        <f t="shared" si="28"/>
        <v>555.55555555555554</v>
      </c>
      <c r="BG15" s="109"/>
      <c r="BH15" s="109"/>
      <c r="BI15" s="109"/>
      <c r="BJ15" s="109"/>
      <c r="BK15" s="109"/>
      <c r="BL15" s="109"/>
      <c r="BM15" s="109"/>
      <c r="BN15" t="s">
        <v>708</v>
      </c>
      <c r="BO15" s="65">
        <v>80</v>
      </c>
    </row>
    <row r="16" spans="2:94" x14ac:dyDescent="0.35">
      <c r="S16">
        <v>2</v>
      </c>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29"/>
        <v>1</v>
      </c>
      <c r="AH16" s="122"/>
      <c r="AI16" s="167">
        <f>V16+X16+Z16+AB16+AD16+AF16</f>
        <v>20169.086549138014</v>
      </c>
      <c r="AJ16" s="130">
        <f>$AJ$4*AK16</f>
        <v>31535000</v>
      </c>
      <c r="AK16" s="130">
        <f>AK7+30</f>
        <v>1190</v>
      </c>
      <c r="AL16">
        <v>2</v>
      </c>
      <c r="AM16" s="69">
        <f>U16</f>
        <v>0</v>
      </c>
      <c r="AN16" s="69">
        <f>W16</f>
        <v>1</v>
      </c>
      <c r="AO16" s="110">
        <f>Y16</f>
        <v>0</v>
      </c>
      <c r="AP16" s="110">
        <f>AA16</f>
        <v>0</v>
      </c>
      <c r="AQ16" s="110">
        <f>AC16</f>
        <v>0</v>
      </c>
      <c r="AR16" s="110">
        <f>AE16</f>
        <v>0</v>
      </c>
      <c r="AS16" s="69">
        <f>SUM(AM16:AR16)</f>
        <v>1</v>
      </c>
      <c r="AU16" s="110">
        <f t="shared" si="27"/>
        <v>0</v>
      </c>
      <c r="AV16" s="110">
        <f t="shared" si="27"/>
        <v>0.12820512820512819</v>
      </c>
      <c r="AW16" s="110">
        <f t="shared" si="27"/>
        <v>0</v>
      </c>
      <c r="AX16" s="110">
        <f t="shared" si="27"/>
        <v>0</v>
      </c>
      <c r="AY16" s="110">
        <f t="shared" si="27"/>
        <v>0</v>
      </c>
      <c r="AZ16" s="110">
        <f t="shared" si="27"/>
        <v>0</v>
      </c>
      <c r="BA16" s="110">
        <f t="shared" si="27"/>
        <v>6.6666666666666666E-2</v>
      </c>
      <c r="BC16" s="109">
        <f>$BC$1*BA16</f>
        <v>3533.3333333333335</v>
      </c>
      <c r="BD16" s="109">
        <f>$BD$1*BA16</f>
        <v>6666.666666666667</v>
      </c>
      <c r="BE16" s="109">
        <f t="shared" si="28"/>
        <v>294.44444444444446</v>
      </c>
      <c r="BF16" s="109">
        <f t="shared" si="28"/>
        <v>555.55555555555554</v>
      </c>
      <c r="BG16" s="109"/>
      <c r="BH16" s="109"/>
      <c r="BI16" s="109"/>
      <c r="BJ16" s="109"/>
      <c r="BK16" s="109"/>
      <c r="BL16" s="109"/>
      <c r="BM16" s="109"/>
      <c r="BN16" t="s">
        <v>709</v>
      </c>
      <c r="BO16" s="65">
        <v>70</v>
      </c>
    </row>
    <row r="17" spans="19:88" x14ac:dyDescent="0.35">
      <c r="S17">
        <v>1</v>
      </c>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29"/>
        <v>1</v>
      </c>
      <c r="AH17" s="122"/>
      <c r="AI17" s="167">
        <f>V17+X17+Z17+AB17+AD17+AF17</f>
        <v>20169.086549138014</v>
      </c>
      <c r="AJ17" s="130">
        <f>$AJ$4*AK17</f>
        <v>33125000</v>
      </c>
      <c r="AK17" s="130">
        <f>AK7+90</f>
        <v>1250</v>
      </c>
      <c r="AL17">
        <v>1</v>
      </c>
      <c r="AM17" s="69">
        <f>U17</f>
        <v>0</v>
      </c>
      <c r="AN17" s="69">
        <f>W17</f>
        <v>1</v>
      </c>
      <c r="AO17" s="110">
        <f>Y17</f>
        <v>0</v>
      </c>
      <c r="AP17" s="110">
        <f>AA17</f>
        <v>0</v>
      </c>
      <c r="AQ17" s="110">
        <f>AC17</f>
        <v>0</v>
      </c>
      <c r="AR17" s="110">
        <f>AE17</f>
        <v>0</v>
      </c>
      <c r="AS17" s="69">
        <f>SUM(AM17:AR17)</f>
        <v>1</v>
      </c>
      <c r="AU17" s="110">
        <f t="shared" si="27"/>
        <v>0</v>
      </c>
      <c r="AV17" s="110">
        <f t="shared" si="27"/>
        <v>0.12820512820512819</v>
      </c>
      <c r="AW17" s="110">
        <f t="shared" si="27"/>
        <v>0</v>
      </c>
      <c r="AX17" s="110">
        <f t="shared" si="27"/>
        <v>0</v>
      </c>
      <c r="AY17" s="110">
        <f t="shared" si="27"/>
        <v>0</v>
      </c>
      <c r="AZ17" s="110">
        <f t="shared" si="27"/>
        <v>0</v>
      </c>
      <c r="BA17" s="110">
        <f t="shared" si="27"/>
        <v>6.6666666666666666E-2</v>
      </c>
      <c r="BC17" s="199">
        <f>$BC$1*BA17</f>
        <v>3533.3333333333335</v>
      </c>
      <c r="BD17" s="199">
        <f>$BD$1*BA17</f>
        <v>6666.666666666667</v>
      </c>
      <c r="BE17" s="199">
        <f t="shared" si="28"/>
        <v>294.44444444444446</v>
      </c>
      <c r="BF17" s="199">
        <f t="shared" si="28"/>
        <v>555.55555555555554</v>
      </c>
      <c r="BG17" s="199"/>
      <c r="BH17" s="199"/>
      <c r="BI17" s="199"/>
      <c r="BJ17" s="199"/>
      <c r="BK17" s="199"/>
      <c r="BL17" s="199"/>
      <c r="BM17" s="199"/>
      <c r="BN17" t="s">
        <v>710</v>
      </c>
      <c r="BO17" s="65">
        <v>50</v>
      </c>
    </row>
    <row r="18" spans="19:88" x14ac:dyDescent="0.35">
      <c r="S18">
        <v>4</v>
      </c>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29"/>
        <v>1</v>
      </c>
      <c r="AH18" s="122"/>
      <c r="AI18" s="167">
        <f>V18+X18+Z18+AB18+AD18+AF18</f>
        <v>20169.086549138014</v>
      </c>
      <c r="AJ18" s="130">
        <f>$AJ$4*AK18</f>
        <v>29945000</v>
      </c>
      <c r="AK18" s="130">
        <f>AK7-30</f>
        <v>1130</v>
      </c>
      <c r="AL18">
        <v>4</v>
      </c>
      <c r="AM18" s="69">
        <f>U18</f>
        <v>0</v>
      </c>
      <c r="AN18" s="69">
        <f>W18</f>
        <v>1</v>
      </c>
      <c r="AO18" s="110">
        <f>Y18</f>
        <v>0</v>
      </c>
      <c r="AP18" s="110">
        <f>AA18</f>
        <v>0</v>
      </c>
      <c r="AQ18" s="110">
        <f>AC18</f>
        <v>0</v>
      </c>
      <c r="AR18" s="110">
        <f>AE18</f>
        <v>0</v>
      </c>
      <c r="AS18" s="69">
        <f>SUM(AM18:AR18)</f>
        <v>1</v>
      </c>
      <c r="AU18" s="110">
        <f t="shared" si="27"/>
        <v>0</v>
      </c>
      <c r="AV18" s="110">
        <f t="shared" si="27"/>
        <v>0.12820512820512819</v>
      </c>
      <c r="AW18" s="110">
        <f t="shared" si="27"/>
        <v>0</v>
      </c>
      <c r="AX18" s="110">
        <f t="shared" si="27"/>
        <v>0</v>
      </c>
      <c r="AY18" s="110">
        <f t="shared" si="27"/>
        <v>0</v>
      </c>
      <c r="AZ18" s="110">
        <f t="shared" si="27"/>
        <v>0</v>
      </c>
      <c r="BA18" s="110">
        <f t="shared" si="27"/>
        <v>6.6666666666666666E-2</v>
      </c>
      <c r="BC18" s="109">
        <f>$BC$1*BA18</f>
        <v>3533.3333333333335</v>
      </c>
      <c r="BD18" s="109">
        <f>$BD$1*BA18</f>
        <v>6666.666666666667</v>
      </c>
      <c r="BE18" s="109">
        <f t="shared" si="28"/>
        <v>294.44444444444446</v>
      </c>
      <c r="BF18" s="109">
        <f t="shared" si="28"/>
        <v>555.55555555555554</v>
      </c>
      <c r="BG18" s="109"/>
      <c r="BH18" s="109"/>
      <c r="BI18" s="109"/>
      <c r="BJ18" s="109"/>
      <c r="BK18" s="109"/>
      <c r="BL18" s="109"/>
      <c r="BM18" s="109"/>
    </row>
    <row r="19" spans="19:88" x14ac:dyDescent="0.35">
      <c r="BC19" s="109"/>
      <c r="BD19" s="109"/>
      <c r="BE19" s="109"/>
      <c r="BF19" s="109"/>
      <c r="BG19" s="109"/>
      <c r="BH19" s="109"/>
      <c r="BI19" s="147">
        <f>'H_Tỷ lệ HH&amp;PS'!CC39</f>
        <v>968.66818397975226</v>
      </c>
      <c r="BJ19" s="109"/>
      <c r="BK19" s="109"/>
      <c r="BL19" s="109"/>
      <c r="BM19" s="109"/>
      <c r="BN19" t="str">
        <f>'H_Tỷ lệ HH&amp;PS'!BU39</f>
        <v>Hạt WSS03NC</v>
      </c>
      <c r="BY19" s="525">
        <f t="shared" ref="BY19:BY22" si="30">(CA19+BZ19)/CB19</f>
        <v>0.16398137329308099</v>
      </c>
      <c r="BZ19">
        <f>BZ2</f>
        <v>140</v>
      </c>
      <c r="CA19">
        <f>CA9</f>
        <v>50</v>
      </c>
      <c r="CB19" s="130">
        <f t="shared" ref="CB19:CB22" si="31">BI19+BZ19+CA19</f>
        <v>1158.6681839797523</v>
      </c>
      <c r="CJ19" s="130">
        <f>CJ4-130</f>
        <v>1250</v>
      </c>
    </row>
    <row r="20" spans="19:88" x14ac:dyDescent="0.35">
      <c r="BI20" s="147">
        <f>'H_Tỷ lệ HH&amp;PS'!CC40</f>
        <v>972.88892791204978</v>
      </c>
      <c r="BN20" t="str">
        <f>'H_Tỷ lệ HH&amp;PS'!BU40</f>
        <v>Hạt WSS04NC</v>
      </c>
      <c r="BY20" s="525">
        <f t="shared" si="30"/>
        <v>0.16338619746009814</v>
      </c>
      <c r="BZ20">
        <f t="shared" ref="BZ20:BZ25" si="32">BZ3</f>
        <v>140</v>
      </c>
      <c r="CA20">
        <f>CA19</f>
        <v>50</v>
      </c>
      <c r="CB20" s="130">
        <f t="shared" si="31"/>
        <v>1162.8889279120499</v>
      </c>
      <c r="CJ20" s="130">
        <f>CJ4-170</f>
        <v>1210</v>
      </c>
    </row>
    <row r="21" spans="19:88" x14ac:dyDescent="0.35">
      <c r="BI21" s="147">
        <f>'H_Tỷ lệ HH&amp;PS'!CC41</f>
        <v>1020.2442243302686</v>
      </c>
      <c r="BM21" t="str">
        <f>'H_Tỷ lệ HH&amp;PS'!BS41</f>
        <v>Hyosung</v>
      </c>
      <c r="BN21" t="str">
        <f>'H_Tỷ lệ HH&amp;PS'!BU41</f>
        <v>Hạt WSS04SB</v>
      </c>
      <c r="BY21" s="525">
        <f t="shared" si="30"/>
        <v>0.15699310616842085</v>
      </c>
      <c r="BZ21">
        <f t="shared" si="32"/>
        <v>140</v>
      </c>
      <c r="CA21">
        <f t="shared" ref="CA21:CA22" si="33">CA20</f>
        <v>50</v>
      </c>
      <c r="CB21" s="130">
        <f t="shared" si="31"/>
        <v>1210.2442243302685</v>
      </c>
      <c r="CJ21" s="130">
        <f>CJ4-130</f>
        <v>1250</v>
      </c>
    </row>
    <row r="22" spans="19:88" x14ac:dyDescent="0.35">
      <c r="BI22" s="147">
        <f>'H_Tỷ lệ HH&amp;PS'!CC42</f>
        <v>973.10889064373032</v>
      </c>
      <c r="BN22" t="str">
        <f>'H_Tỷ lệ HH&amp;PS'!BU42</f>
        <v>Hạt WSS05SB (sợi ngắn)</v>
      </c>
      <c r="BY22" s="525">
        <f t="shared" si="30"/>
        <v>0.16335529848356953</v>
      </c>
      <c r="BZ22">
        <f t="shared" si="32"/>
        <v>140</v>
      </c>
      <c r="CA22">
        <f t="shared" si="33"/>
        <v>50</v>
      </c>
      <c r="CB22" s="130">
        <f t="shared" si="31"/>
        <v>1163.1088906437303</v>
      </c>
      <c r="CJ22" s="130">
        <f>CJ4-170</f>
        <v>1210</v>
      </c>
    </row>
    <row r="24" spans="19:88" x14ac:dyDescent="0.35">
      <c r="T24" s="119" t="s">
        <v>388</v>
      </c>
      <c r="AG24" s="126">
        <v>0.05</v>
      </c>
      <c r="AH24" s="126"/>
      <c r="AM24" s="188">
        <f>SUM(AM25:AM29)</f>
        <v>2.15</v>
      </c>
      <c r="AN24" s="188">
        <f t="shared" ref="AN24:AS24" si="34">SUM(AN25:AN29)</f>
        <v>1.75</v>
      </c>
      <c r="AO24" s="188">
        <f t="shared" si="34"/>
        <v>0.25</v>
      </c>
      <c r="AP24" s="188">
        <f t="shared" si="34"/>
        <v>0.75</v>
      </c>
      <c r="AQ24" s="188">
        <f t="shared" si="34"/>
        <v>0.1</v>
      </c>
      <c r="AR24" s="188">
        <f t="shared" si="34"/>
        <v>0</v>
      </c>
      <c r="AS24" s="188">
        <f t="shared" si="34"/>
        <v>5</v>
      </c>
      <c r="AU24" s="188">
        <f t="shared" ref="AU24:BA29" si="35">AM24/AM$2</f>
        <v>0.45744680851063835</v>
      </c>
      <c r="AV24" s="188">
        <f t="shared" si="35"/>
        <v>0.22435897435897434</v>
      </c>
      <c r="AW24" s="188">
        <f t="shared" si="35"/>
        <v>0.625</v>
      </c>
      <c r="AX24" s="188">
        <f t="shared" si="35"/>
        <v>0.75</v>
      </c>
      <c r="AY24" s="188">
        <f t="shared" si="35"/>
        <v>1</v>
      </c>
      <c r="AZ24" s="188">
        <f t="shared" si="35"/>
        <v>0</v>
      </c>
      <c r="BA24" s="188">
        <f t="shared" si="35"/>
        <v>0.33333333333333331</v>
      </c>
      <c r="BC24" s="275">
        <f t="shared" ref="BC24:BC29" si="36">$BC$1*BA24</f>
        <v>17666.666666666664</v>
      </c>
      <c r="BD24" s="275">
        <f t="shared" ref="BD24:BD29" si="37">$BD$1*BA24</f>
        <v>33333.333333333328</v>
      </c>
      <c r="BE24" s="196">
        <f t="shared" ref="BE24:BF29" si="38">BC24/12</f>
        <v>1472.2222222222219</v>
      </c>
      <c r="BF24" s="196">
        <f t="shared" si="38"/>
        <v>2777.7777777777774</v>
      </c>
      <c r="BG24" s="275"/>
      <c r="BH24" s="275"/>
      <c r="BI24" s="147">
        <f>'H_Tỷ lệ HH&amp;PS'!CC49</f>
        <v>0</v>
      </c>
      <c r="BJ24" s="275"/>
      <c r="BK24" s="275"/>
      <c r="BL24" s="275"/>
      <c r="BM24" s="275"/>
      <c r="BN24" s="280" t="str">
        <f>'H_Tỷ lệ HH&amp;PS'!BU49</f>
        <v>Hạt WSS03SB</v>
      </c>
      <c r="BY24" s="525">
        <f t="shared" ref="BY24:BY25" si="39">(CA24+BZ24)/CB24</f>
        <v>1</v>
      </c>
      <c r="BZ24">
        <f t="shared" si="32"/>
        <v>140</v>
      </c>
      <c r="CA24">
        <f>CA22</f>
        <v>50</v>
      </c>
      <c r="CB24" s="130">
        <f t="shared" ref="CB24:CB25" si="40">BI24+BZ24+CA24</f>
        <v>190</v>
      </c>
      <c r="CJ24" s="130">
        <f>CJ4-130</f>
        <v>1250</v>
      </c>
    </row>
    <row r="25" spans="19:88" x14ac:dyDescent="0.35">
      <c r="S25">
        <v>3</v>
      </c>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G29" si="41">U25+W25+Y25+AA25+AC25+AE25</f>
        <v>1</v>
      </c>
      <c r="AH25" s="122"/>
      <c r="AI25" s="167">
        <f>V25+X25+Z25+AB25+AD25+AF25</f>
        <v>19883.142103626953</v>
      </c>
      <c r="AJ25" s="130">
        <f>$AJ$4*AK25</f>
        <v>30740000</v>
      </c>
      <c r="AK25" s="130">
        <f>AK7</f>
        <v>1160</v>
      </c>
      <c r="AL25">
        <v>3</v>
      </c>
      <c r="AM25" s="69">
        <f>U25</f>
        <v>0</v>
      </c>
      <c r="AN25" s="69">
        <f>W25</f>
        <v>0.9</v>
      </c>
      <c r="AO25" s="110">
        <f>Y25</f>
        <v>0.1</v>
      </c>
      <c r="AP25" s="110">
        <f>AA25</f>
        <v>0</v>
      </c>
      <c r="AQ25" s="110">
        <f>AC25</f>
        <v>0</v>
      </c>
      <c r="AR25" s="110">
        <f>AE25</f>
        <v>0</v>
      </c>
      <c r="AS25" s="69">
        <f>SUM(AM25:AR25)</f>
        <v>1</v>
      </c>
      <c r="AU25" s="110">
        <f t="shared" si="35"/>
        <v>0</v>
      </c>
      <c r="AV25" s="110">
        <f t="shared" si="35"/>
        <v>0.11538461538461538</v>
      </c>
      <c r="AW25" s="110">
        <f t="shared" si="35"/>
        <v>0.25</v>
      </c>
      <c r="AX25" s="110">
        <f t="shared" si="35"/>
        <v>0</v>
      </c>
      <c r="AY25" s="110">
        <f t="shared" si="35"/>
        <v>0</v>
      </c>
      <c r="AZ25" s="110">
        <f t="shared" si="35"/>
        <v>0</v>
      </c>
      <c r="BA25" s="110">
        <f t="shared" si="35"/>
        <v>6.6666666666666666E-2</v>
      </c>
      <c r="BC25" s="109">
        <f t="shared" si="36"/>
        <v>3533.3333333333335</v>
      </c>
      <c r="BD25" s="109">
        <f t="shared" si="37"/>
        <v>6666.666666666667</v>
      </c>
      <c r="BE25" s="291">
        <f t="shared" si="38"/>
        <v>294.44444444444446</v>
      </c>
      <c r="BF25" s="291">
        <f t="shared" si="38"/>
        <v>555.55555555555554</v>
      </c>
      <c r="BG25" s="109"/>
      <c r="BH25" s="109"/>
      <c r="BI25" s="147">
        <f>'H_Tỷ lệ HH&amp;PS'!CC50</f>
        <v>0</v>
      </c>
      <c r="BJ25" s="109"/>
      <c r="BK25" s="109"/>
      <c r="BL25" s="109"/>
      <c r="BM25" s="109"/>
      <c r="BN25" s="280" t="str">
        <f>'H_Tỷ lệ HH&amp;PS'!BU50</f>
        <v>Hạt WSS04SB</v>
      </c>
      <c r="BY25" s="525">
        <f t="shared" si="39"/>
        <v>1</v>
      </c>
      <c r="BZ25">
        <f t="shared" si="32"/>
        <v>140</v>
      </c>
      <c r="CA25">
        <f t="shared" ref="CA25" si="42">CA24</f>
        <v>50</v>
      </c>
      <c r="CB25" s="130">
        <f t="shared" si="40"/>
        <v>190</v>
      </c>
      <c r="CJ25" s="130">
        <f>CJ4-170</f>
        <v>1210</v>
      </c>
    </row>
    <row r="26" spans="19:88" x14ac:dyDescent="0.35">
      <c r="S26">
        <v>5</v>
      </c>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41"/>
        <v>1</v>
      </c>
      <c r="AH26" s="122"/>
      <c r="AI26" s="167">
        <f>V26+X26+Z26+AB26+AD26+AF26</f>
        <v>19112.177744792491</v>
      </c>
      <c r="AJ26" s="130">
        <f>$AJ$4*AK26</f>
        <v>28885000</v>
      </c>
      <c r="AK26" s="130">
        <f>AK7-70</f>
        <v>1090</v>
      </c>
      <c r="AL26">
        <v>5</v>
      </c>
      <c r="AM26" s="69">
        <f>U26</f>
        <v>0.55000000000000004</v>
      </c>
      <c r="AN26" s="69">
        <f>W26</f>
        <v>0.3</v>
      </c>
      <c r="AO26" s="110">
        <f>Y26</f>
        <v>0.15</v>
      </c>
      <c r="AP26" s="110">
        <f>AA26</f>
        <v>0</v>
      </c>
      <c r="AQ26" s="110">
        <f>AC26</f>
        <v>0</v>
      </c>
      <c r="AR26" s="110">
        <f>AE26</f>
        <v>0</v>
      </c>
      <c r="AS26" s="69">
        <f>SUM(AM26:AR26)</f>
        <v>1</v>
      </c>
      <c r="AU26" s="110">
        <f t="shared" si="35"/>
        <v>0.11702127659574471</v>
      </c>
      <c r="AV26" s="110">
        <f t="shared" si="35"/>
        <v>3.8461538461538457E-2</v>
      </c>
      <c r="AW26" s="110">
        <f t="shared" si="35"/>
        <v>0.37499999999999994</v>
      </c>
      <c r="AX26" s="110">
        <f t="shared" si="35"/>
        <v>0</v>
      </c>
      <c r="AY26" s="110">
        <f t="shared" si="35"/>
        <v>0</v>
      </c>
      <c r="AZ26" s="110">
        <f t="shared" si="35"/>
        <v>0</v>
      </c>
      <c r="BA26" s="110">
        <f t="shared" si="35"/>
        <v>6.6666666666666666E-2</v>
      </c>
      <c r="BC26" s="109">
        <f t="shared" si="36"/>
        <v>3533.3333333333335</v>
      </c>
      <c r="BD26" s="109">
        <f t="shared" si="37"/>
        <v>6666.666666666667</v>
      </c>
      <c r="BE26" s="109">
        <f t="shared" si="38"/>
        <v>294.44444444444446</v>
      </c>
      <c r="BF26" s="109">
        <f t="shared" si="38"/>
        <v>555.55555555555554</v>
      </c>
      <c r="BG26" s="109"/>
      <c r="BH26" s="109"/>
      <c r="BI26" s="109"/>
      <c r="BJ26" s="109"/>
      <c r="BK26" s="109"/>
      <c r="BL26" s="109"/>
      <c r="BM26" s="109"/>
    </row>
    <row r="27" spans="19:88" x14ac:dyDescent="0.35">
      <c r="S27">
        <v>3</v>
      </c>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41"/>
        <v>1</v>
      </c>
      <c r="AH27" s="122"/>
      <c r="AI27" s="167">
        <f>V27+X27+Z27+AB27+AD27+AF27</f>
        <v>17279.402879005062</v>
      </c>
      <c r="AJ27" s="130">
        <f>$AJ$4*AK27</f>
        <v>30740000</v>
      </c>
      <c r="AK27" s="130">
        <f>AK7</f>
        <v>1160</v>
      </c>
      <c r="AL27">
        <v>3</v>
      </c>
      <c r="AM27" s="69">
        <f>U27</f>
        <v>0</v>
      </c>
      <c r="AN27" s="69">
        <f>W27</f>
        <v>0.4</v>
      </c>
      <c r="AO27" s="110">
        <f>Y27</f>
        <v>0</v>
      </c>
      <c r="AP27" s="110">
        <f>AA27</f>
        <v>0.5</v>
      </c>
      <c r="AQ27" s="110">
        <f>AC27</f>
        <v>0.1</v>
      </c>
      <c r="AR27" s="110">
        <f>AE27</f>
        <v>0</v>
      </c>
      <c r="AS27" s="69">
        <f>SUM(AM27:AR27)</f>
        <v>1</v>
      </c>
      <c r="AU27" s="110">
        <f t="shared" si="35"/>
        <v>0</v>
      </c>
      <c r="AV27" s="110">
        <f t="shared" si="35"/>
        <v>5.128205128205128E-2</v>
      </c>
      <c r="AW27" s="110">
        <f t="shared" si="35"/>
        <v>0</v>
      </c>
      <c r="AX27" s="110">
        <f t="shared" si="35"/>
        <v>0.5</v>
      </c>
      <c r="AY27" s="110">
        <f t="shared" si="35"/>
        <v>1</v>
      </c>
      <c r="AZ27" s="110">
        <f t="shared" si="35"/>
        <v>0</v>
      </c>
      <c r="BA27" s="110">
        <f t="shared" si="35"/>
        <v>6.6666666666666666E-2</v>
      </c>
      <c r="BC27" s="109">
        <f t="shared" si="36"/>
        <v>3533.3333333333335</v>
      </c>
      <c r="BD27" s="109">
        <f t="shared" si="37"/>
        <v>6666.666666666667</v>
      </c>
      <c r="BE27" s="109">
        <f t="shared" si="38"/>
        <v>294.44444444444446</v>
      </c>
      <c r="BF27" s="109">
        <f t="shared" si="38"/>
        <v>555.55555555555554</v>
      </c>
      <c r="BG27" s="109"/>
      <c r="BH27" s="109"/>
      <c r="BI27" s="109"/>
      <c r="BJ27" s="109"/>
      <c r="BK27" s="109"/>
      <c r="BL27" s="109"/>
      <c r="BM27" s="109"/>
    </row>
    <row r="28" spans="19:88" x14ac:dyDescent="0.35">
      <c r="S28">
        <v>6</v>
      </c>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41"/>
        <v>1</v>
      </c>
      <c r="AH28" s="122"/>
      <c r="AI28" s="167">
        <f>V28+X28+Z28+AB28+AD28+AF28</f>
        <v>18853.682855909705</v>
      </c>
      <c r="AJ28" s="130">
        <f>$AJ$4*AK28</f>
        <v>19080000</v>
      </c>
      <c r="AK28" s="130">
        <f>AK10</f>
        <v>720</v>
      </c>
      <c r="AL28">
        <v>6</v>
      </c>
      <c r="AM28" s="69">
        <f>U28</f>
        <v>0.95</v>
      </c>
      <c r="AN28" s="69">
        <f>W28</f>
        <v>0</v>
      </c>
      <c r="AO28" s="110">
        <f>Y28</f>
        <v>0</v>
      </c>
      <c r="AP28" s="110">
        <f>AA28</f>
        <v>0.05</v>
      </c>
      <c r="AQ28" s="110">
        <f>AC28</f>
        <v>0</v>
      </c>
      <c r="AR28" s="110">
        <f>AE28</f>
        <v>0</v>
      </c>
      <c r="AS28" s="69">
        <f>SUM(AM28:AR28)</f>
        <v>1</v>
      </c>
      <c r="AU28" s="110">
        <f t="shared" si="35"/>
        <v>0.2021276595744681</v>
      </c>
      <c r="AV28" s="110">
        <f t="shared" si="35"/>
        <v>0</v>
      </c>
      <c r="AW28" s="110">
        <f t="shared" si="35"/>
        <v>0</v>
      </c>
      <c r="AX28" s="110">
        <f t="shared" si="35"/>
        <v>0.05</v>
      </c>
      <c r="AY28" s="110">
        <f t="shared" si="35"/>
        <v>0</v>
      </c>
      <c r="AZ28" s="110">
        <f t="shared" si="35"/>
        <v>0</v>
      </c>
      <c r="BA28" s="110">
        <f t="shared" si="35"/>
        <v>6.6666666666666666E-2</v>
      </c>
      <c r="BC28" s="109">
        <f t="shared" si="36"/>
        <v>3533.3333333333335</v>
      </c>
      <c r="BD28" s="109">
        <f t="shared" si="37"/>
        <v>6666.666666666667</v>
      </c>
      <c r="BE28" s="109">
        <f t="shared" si="38"/>
        <v>294.44444444444446</v>
      </c>
      <c r="BF28" s="109">
        <f t="shared" si="38"/>
        <v>555.55555555555554</v>
      </c>
      <c r="BG28" s="109"/>
      <c r="BH28" s="109"/>
      <c r="BI28" s="109"/>
      <c r="BJ28" s="109"/>
      <c r="BK28" s="109"/>
      <c r="BL28" s="109"/>
      <c r="BM28" s="109"/>
    </row>
    <row r="29" spans="19:88" x14ac:dyDescent="0.35">
      <c r="S29">
        <v>7</v>
      </c>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41"/>
        <v>1</v>
      </c>
      <c r="AH29" s="122"/>
      <c r="AI29" s="167">
        <f>V29+X29+Z29+AB29+AD29+AF29</f>
        <v>18504.154010131388</v>
      </c>
      <c r="AJ29" s="130">
        <f>$AJ$4*AK29</f>
        <v>20140000</v>
      </c>
      <c r="AK29" s="130">
        <v>760</v>
      </c>
      <c r="AL29">
        <v>7</v>
      </c>
      <c r="AM29" s="69">
        <f>U29</f>
        <v>0.65</v>
      </c>
      <c r="AN29" s="69">
        <f>W29</f>
        <v>0.15</v>
      </c>
      <c r="AO29" s="110">
        <f>Y29</f>
        <v>0</v>
      </c>
      <c r="AP29" s="110">
        <f>AA29</f>
        <v>0.2</v>
      </c>
      <c r="AQ29" s="110">
        <f>AC29</f>
        <v>0</v>
      </c>
      <c r="AR29" s="110">
        <f>AE29</f>
        <v>0</v>
      </c>
      <c r="AS29" s="69">
        <f>SUM(AM29:AR29)</f>
        <v>1</v>
      </c>
      <c r="AU29" s="110">
        <f t="shared" si="35"/>
        <v>0.13829787234042556</v>
      </c>
      <c r="AV29" s="110">
        <f t="shared" si="35"/>
        <v>1.9230769230769228E-2</v>
      </c>
      <c r="AW29" s="110">
        <f t="shared" si="35"/>
        <v>0</v>
      </c>
      <c r="AX29" s="110">
        <f t="shared" si="35"/>
        <v>0.2</v>
      </c>
      <c r="AY29" s="110">
        <f t="shared" si="35"/>
        <v>0</v>
      </c>
      <c r="AZ29" s="110">
        <f t="shared" si="35"/>
        <v>0</v>
      </c>
      <c r="BA29" s="110">
        <f t="shared" si="35"/>
        <v>6.6666666666666666E-2</v>
      </c>
      <c r="BC29" s="109">
        <f t="shared" si="36"/>
        <v>3533.3333333333335</v>
      </c>
      <c r="BD29" s="109">
        <f t="shared" si="37"/>
        <v>6666.666666666667</v>
      </c>
      <c r="BE29" s="109">
        <f t="shared" si="38"/>
        <v>294.44444444444446</v>
      </c>
      <c r="BF29" s="109">
        <f t="shared" si="38"/>
        <v>555.55555555555554</v>
      </c>
      <c r="BG29" s="109"/>
      <c r="BH29" s="109"/>
      <c r="BI29" s="109"/>
      <c r="BJ29" s="109"/>
      <c r="BK29" s="109"/>
      <c r="BL29" s="109"/>
      <c r="BM29" s="109"/>
    </row>
    <row r="32" spans="19:88" x14ac:dyDescent="0.35">
      <c r="T32" s="119" t="s">
        <v>389</v>
      </c>
      <c r="AG32" s="126">
        <v>0.02</v>
      </c>
      <c r="AH32" s="126"/>
    </row>
    <row r="33" spans="19:65" x14ac:dyDescent="0.35">
      <c r="S33">
        <v>8</v>
      </c>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22"/>
      <c r="AI33" s="167">
        <f>V33+X33+Z33+AB33+AD33+AF33</f>
        <v>17195.059200132389</v>
      </c>
      <c r="AJ33" s="130">
        <f>$AJ$4*AK33</f>
        <v>21200000</v>
      </c>
      <c r="AK33">
        <v>800</v>
      </c>
      <c r="AL33">
        <v>8</v>
      </c>
      <c r="AM33" s="188">
        <f>U33</f>
        <v>0</v>
      </c>
      <c r="AN33" s="188">
        <f>W33</f>
        <v>0</v>
      </c>
      <c r="AO33" s="188">
        <f>Y33</f>
        <v>0</v>
      </c>
      <c r="AP33" s="188">
        <f>AA33</f>
        <v>0</v>
      </c>
      <c r="AQ33" s="188">
        <f>AC33</f>
        <v>0</v>
      </c>
      <c r="AR33" s="188">
        <f>AE33</f>
        <v>1</v>
      </c>
      <c r="AS33" s="188">
        <f>SUM(AM33:AR33)</f>
        <v>1</v>
      </c>
      <c r="AU33" s="188">
        <f t="shared" ref="AU33:BA33" si="43">AM33/AM$2</f>
        <v>0</v>
      </c>
      <c r="AV33" s="188">
        <f t="shared" si="43"/>
        <v>0</v>
      </c>
      <c r="AW33" s="188">
        <f t="shared" si="43"/>
        <v>0</v>
      </c>
      <c r="AX33" s="188">
        <f t="shared" si="43"/>
        <v>0</v>
      </c>
      <c r="AY33" s="188">
        <f t="shared" si="43"/>
        <v>0</v>
      </c>
      <c r="AZ33" s="188">
        <f t="shared" si="43"/>
        <v>1</v>
      </c>
      <c r="BA33" s="188">
        <f t="shared" si="43"/>
        <v>6.6666666666666666E-2</v>
      </c>
      <c r="BC33" s="275">
        <f>$BC$1*BA33</f>
        <v>3533.3333333333335</v>
      </c>
      <c r="BD33" s="275">
        <f>$BD$1*BA33</f>
        <v>6666.666666666667</v>
      </c>
      <c r="BE33" s="196">
        <f>BC33/12</f>
        <v>294.44444444444446</v>
      </c>
      <c r="BF33" s="196">
        <f>BD33/12</f>
        <v>555.55555555555554</v>
      </c>
      <c r="BG33" s="275"/>
      <c r="BH33" s="275"/>
      <c r="BI33" s="275"/>
      <c r="BJ33" s="275"/>
      <c r="BK33" s="275"/>
      <c r="BL33" s="275"/>
      <c r="BM33" s="275"/>
    </row>
    <row r="34" spans="19:65" x14ac:dyDescent="0.35">
      <c r="AU34" s="110"/>
      <c r="AV34" s="110"/>
      <c r="AW34" s="110"/>
      <c r="AX34" s="110"/>
      <c r="AY34" s="110"/>
      <c r="AZ34" s="110"/>
      <c r="BA34" s="110"/>
    </row>
    <row r="35" spans="19:65" x14ac:dyDescent="0.35">
      <c r="AE35" s="109">
        <f>'Giá mua Chai-Vảy'!O40</f>
        <v>12550</v>
      </c>
      <c r="AI35" s="133"/>
      <c r="AJ35" s="133"/>
      <c r="AK35" s="133"/>
      <c r="AL35" s="133"/>
      <c r="AM35" s="121"/>
      <c r="AN35" s="121"/>
      <c r="AO35" s="121"/>
      <c r="AP35" s="133"/>
      <c r="AU35" s="110"/>
      <c r="AV35" s="110"/>
      <c r="AW35" s="110"/>
      <c r="AX35" s="110"/>
      <c r="AY35" s="110"/>
      <c r="AZ35" s="110"/>
      <c r="BA35" s="110"/>
    </row>
    <row r="36" spans="19:65" x14ac:dyDescent="0.35">
      <c r="T36" s="119" t="s">
        <v>446</v>
      </c>
      <c r="AG36" s="126">
        <v>0.01</v>
      </c>
      <c r="AH36" s="126"/>
      <c r="AL36" s="133"/>
      <c r="AM36" s="121"/>
      <c r="AN36" s="121"/>
      <c r="AO36" s="121"/>
      <c r="AP36" s="133"/>
    </row>
    <row r="37" spans="19:65"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22"/>
      <c r="AI37" s="177">
        <f>V37+X37+Z37+AB37+AD37+AF37</f>
        <v>12550</v>
      </c>
      <c r="AJ37" s="130">
        <f>$AJ$4*AK37</f>
        <v>19500000</v>
      </c>
      <c r="AK37" s="194">
        <f>19500000/26500</f>
        <v>735.84905660377353</v>
      </c>
      <c r="AL37" s="175" t="e">
        <f>#REF!+$W$2</f>
        <v>#REF!</v>
      </c>
      <c r="AM37" s="208" t="e">
        <f>AM$1+AL37*$AL$2+AK37*$AK$2</f>
        <v>#REF!</v>
      </c>
      <c r="AN37" s="208" t="e">
        <f>AM37+$AN$1</f>
        <v>#REF!</v>
      </c>
      <c r="AO37" s="208" t="e">
        <f>AM37+$AO$1</f>
        <v>#REF!</v>
      </c>
      <c r="AP37" s="209" t="e">
        <f>AN37</f>
        <v>#REF!</v>
      </c>
      <c r="AQ37" s="110">
        <f>$AQ$4*AR37/1000</f>
        <v>0.35333333333333339</v>
      </c>
      <c r="AR37" s="188">
        <f>AE37</f>
        <v>1</v>
      </c>
      <c r="AS37" s="188" t="e">
        <f>SUM(AM37:AR37)</f>
        <v>#REF!</v>
      </c>
      <c r="AU37" s="188"/>
      <c r="AV37" s="188"/>
      <c r="AW37" s="188"/>
      <c r="AX37" s="188"/>
      <c r="AY37" s="188"/>
      <c r="AZ37" s="188"/>
      <c r="BA37" s="188"/>
      <c r="BC37" s="276">
        <f>$BC$1*AG36</f>
        <v>530</v>
      </c>
      <c r="BD37" s="276">
        <f>$BD$1*AG36</f>
        <v>1000</v>
      </c>
      <c r="BE37" s="276"/>
      <c r="BF37" s="276"/>
      <c r="BG37" s="276"/>
      <c r="BH37" s="276"/>
      <c r="BI37" s="276"/>
      <c r="BJ37" s="276"/>
      <c r="BK37" s="276"/>
      <c r="BL37" s="276"/>
      <c r="BM37" s="276"/>
    </row>
    <row r="38" spans="19:65" x14ac:dyDescent="0.35">
      <c r="AU38" s="110"/>
      <c r="AV38" s="110"/>
      <c r="AW38" s="110"/>
      <c r="AX38" s="110"/>
      <c r="AY38" s="110"/>
      <c r="AZ38" s="110"/>
      <c r="BA38" s="110"/>
    </row>
    <row r="39" spans="19:65" x14ac:dyDescent="0.35">
      <c r="AU39" s="110"/>
      <c r="AV39" s="110"/>
      <c r="AW39" s="110"/>
      <c r="AX39" s="110"/>
      <c r="AY39" s="110"/>
      <c r="AZ39" s="110"/>
      <c r="BA39" s="110"/>
    </row>
  </sheetData>
  <mergeCells count="1">
    <mergeCell ref="AL1:AL5"/>
  </mergeCells>
  <hyperlinks>
    <hyperlink ref="AA11" r:id="rId1" display="20@" xr:uid="{77473BA7-F275-4D4A-A0FB-9D171488B57D}"/>
  </hyperlinks>
  <pageMargins left="0.7" right="0.7" top="0.75" bottom="0.75" header="0.3" footer="0.3"/>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D7F82-4759-400A-B6F2-20033F169D0C}">
  <sheetPr>
    <tabColor rgb="FF0000FF"/>
    <pageSetUpPr fitToPage="1"/>
  </sheetPr>
  <dimension ref="B1:DP39"/>
  <sheetViews>
    <sheetView topLeftCell="D1" zoomScale="70" zoomScaleNormal="70" workbookViewId="0">
      <pane xSplit="17" topLeftCell="U1" activePane="topRight" state="frozen"/>
      <selection activeCell="S1" sqref="S1"/>
      <selection pane="topRight" activeCell="AX14" sqref="AX14"/>
    </sheetView>
  </sheetViews>
  <sheetFormatPr defaultRowHeight="14.5" outlineLevelRow="1" outlineLevelCol="2" x14ac:dyDescent="0.35"/>
  <cols>
    <col min="1" max="1" width="3.36328125" customWidth="1"/>
    <col min="4" max="18" width="8.7265625" hidden="1" customWidth="1" outlineLevel="1"/>
    <col min="19" max="19" width="3.08984375" customWidth="1" collapsed="1"/>
    <col min="20" max="20" width="28.7265625" customWidth="1"/>
    <col min="21" max="21" width="12.26953125" hidden="1" customWidth="1" outlineLevel="1"/>
    <col min="22" max="22" width="10.1796875" hidden="1" customWidth="1" outlineLevel="1"/>
    <col min="23" max="23" width="12.08984375" hidden="1" customWidth="1" outlineLevel="1"/>
    <col min="24" max="24" width="10" hidden="1" customWidth="1" outlineLevel="1"/>
    <col min="25" max="25" width="10.1796875" hidden="1" customWidth="1" outlineLevel="1"/>
    <col min="26" max="26" width="9.1796875" hidden="1" customWidth="1" outlineLevel="1"/>
    <col min="27" max="27" width="11.453125" hidden="1" customWidth="1" outlineLevel="1"/>
    <col min="28" max="28" width="9.1796875" hidden="1" customWidth="1" outlineLevel="1"/>
    <col min="29" max="29" width="9.81640625" hidden="1" customWidth="1" outlineLevel="1"/>
    <col min="30" max="30" width="8.453125" hidden="1" customWidth="1" outlineLevel="1"/>
    <col min="31" max="31" width="10.1796875" hidden="1" customWidth="1" outlineLevel="1"/>
    <col min="32" max="32" width="8.90625" hidden="1" customWidth="1" outlineLevel="1"/>
    <col min="33" max="34" width="21.90625" style="121" hidden="1" customWidth="1" outlineLevel="1"/>
    <col min="35" max="35" width="10.1796875" style="121" hidden="1" customWidth="1" outlineLevel="1"/>
    <col min="36" max="36" width="11.81640625" hidden="1" customWidth="1" outlineLevel="1"/>
    <col min="37" max="37" width="7" hidden="1" customWidth="1" outlineLevel="1"/>
    <col min="38" max="38" width="6.1796875" customWidth="1" collapsed="1"/>
    <col min="39" max="40" width="7.6328125" bestFit="1" customWidth="1"/>
    <col min="41" max="42" width="6.6328125" bestFit="1" customWidth="1"/>
    <col min="43" max="43" width="5.08984375" bestFit="1" customWidth="1"/>
    <col min="44" max="44" width="6.6328125" bestFit="1" customWidth="1"/>
    <col min="45" max="45" width="7.6328125" bestFit="1" customWidth="1"/>
    <col min="46" max="46" width="0.81640625" customWidth="1"/>
    <col min="47" max="48" width="7.6328125" bestFit="1" customWidth="1" outlineLevel="1"/>
    <col min="49" max="50" width="6.6328125" bestFit="1" customWidth="1" outlineLevel="1"/>
    <col min="51" max="51" width="5.36328125" bestFit="1" customWidth="1" outlineLevel="1"/>
    <col min="52" max="52" width="6.6328125" bestFit="1" customWidth="1" outlineLevel="1"/>
    <col min="53" max="53" width="8.6328125" bestFit="1" customWidth="1"/>
    <col min="54" max="54" width="5.26953125" customWidth="1" outlineLevel="1"/>
    <col min="55" max="55" width="8.08984375" customWidth="1" outlineLevel="1"/>
    <col min="56" max="56" width="9.1796875" customWidth="1" outlineLevel="1"/>
    <col min="57" max="57" width="7.36328125" bestFit="1" customWidth="1"/>
    <col min="58" max="58" width="8.36328125" bestFit="1" customWidth="1"/>
    <col min="59" max="59" width="10.26953125" bestFit="1" customWidth="1"/>
    <col min="60" max="60" width="9.453125" customWidth="1"/>
    <col min="61" max="61" width="8.90625" bestFit="1" customWidth="1"/>
    <col min="62" max="62" width="10.1796875" bestFit="1" customWidth="1"/>
    <col min="63" max="63" width="7" bestFit="1" customWidth="1"/>
    <col min="64" max="64" width="7" customWidth="1"/>
    <col min="65" max="65" width="9.7265625" customWidth="1"/>
    <col min="66" max="66" width="21" customWidth="1"/>
    <col min="67" max="67" width="6.81640625" style="65" customWidth="1"/>
    <col min="68" max="68" width="8.7265625" customWidth="1"/>
    <col min="69" max="69" width="10.54296875" hidden="1" customWidth="1"/>
    <col min="70" max="70" width="5.81640625" hidden="1" customWidth="1"/>
    <col min="71" max="71" width="8.7265625" hidden="1" customWidth="1" outlineLevel="2"/>
    <col min="72" max="72" width="7.7265625" bestFit="1" customWidth="1" collapsed="1"/>
    <col min="73" max="73" width="8.7265625" bestFit="1" customWidth="1"/>
    <col min="74" max="74" width="9.26953125" hidden="1" customWidth="1" outlineLevel="2"/>
    <col min="75" max="75" width="9.54296875" hidden="1" customWidth="1" outlineLevel="2"/>
    <col min="76" max="76" width="9.26953125" hidden="1" customWidth="1" outlineLevel="2"/>
    <col min="77" max="77" width="9.26953125" bestFit="1" customWidth="1" collapsed="1"/>
    <col min="78" max="78" width="9.36328125" customWidth="1"/>
    <col min="79" max="79" width="9.08984375" bestFit="1" customWidth="1"/>
    <col min="80" max="80" width="9.08984375" hidden="1" customWidth="1"/>
    <col min="81" max="81" width="10.7265625" hidden="1" customWidth="1"/>
    <col min="82" max="82" width="5.453125" bestFit="1" customWidth="1"/>
    <col min="83" max="83" width="7.26953125" bestFit="1" customWidth="1"/>
    <col min="84" max="84" width="4.90625" bestFit="1" customWidth="1"/>
    <col min="85" max="85" width="6.26953125" bestFit="1" customWidth="1"/>
    <col min="86" max="86" width="9.54296875" bestFit="1" customWidth="1"/>
    <col min="87" max="87" width="9.1796875" bestFit="1" customWidth="1"/>
    <col min="88" max="88" width="14.6328125" bestFit="1" customWidth="1"/>
    <col min="89" max="89" width="3.81640625" customWidth="1"/>
    <col min="90" max="91" width="8.08984375" bestFit="1" customWidth="1"/>
    <col min="92" max="92" width="7" bestFit="1" customWidth="1"/>
    <col min="93" max="93" width="4.90625" customWidth="1"/>
    <col min="94" max="94" width="8.54296875" customWidth="1"/>
    <col min="95" max="95" width="11.54296875" bestFit="1" customWidth="1"/>
    <col min="96" max="96" width="5.6328125" bestFit="1" customWidth="1"/>
    <col min="97" max="98" width="8.08984375" bestFit="1" customWidth="1"/>
    <col min="99" max="99" width="5.453125" bestFit="1" customWidth="1"/>
    <col min="100" max="100" width="4.36328125" bestFit="1" customWidth="1"/>
    <col min="101" max="101" width="2.81640625" customWidth="1"/>
    <col min="102" max="102" width="6.1796875" bestFit="1" customWidth="1"/>
    <col min="104" max="104" width="20.26953125" bestFit="1" customWidth="1"/>
    <col min="105" max="105" width="5.453125" bestFit="1" customWidth="1"/>
    <col min="108" max="109" width="8.08984375" bestFit="1" customWidth="1"/>
    <col min="110" max="110" width="5.453125" bestFit="1" customWidth="1"/>
    <col min="112" max="112" width="20.26953125" bestFit="1" customWidth="1"/>
    <col min="113" max="113" width="5.453125" bestFit="1" customWidth="1"/>
    <col min="114" max="115" width="8.08984375" bestFit="1" customWidth="1"/>
    <col min="116" max="116" width="7" bestFit="1" customWidth="1"/>
    <col min="117" max="117" width="4.36328125" bestFit="1" customWidth="1"/>
    <col min="120" max="120" width="6" bestFit="1" customWidth="1"/>
  </cols>
  <sheetData>
    <row r="1" spans="2:120" s="684" customFormat="1" ht="40" customHeight="1" x14ac:dyDescent="0.35">
      <c r="B1" s="683" t="s">
        <v>364</v>
      </c>
      <c r="T1" s="707" t="s">
        <v>961</v>
      </c>
      <c r="U1" s="686">
        <f>'Hảo_R&amp;D'!AK1</f>
        <v>14800</v>
      </c>
      <c r="W1" s="686">
        <f>'Hảo_R&amp;D'!AM1</f>
        <v>16300</v>
      </c>
      <c r="X1" s="717">
        <f>W3-W1-X3</f>
        <v>-847.55675534306283</v>
      </c>
      <c r="Y1" s="686">
        <f>'Hảo_R&amp;D'!AO1</f>
        <v>14800</v>
      </c>
      <c r="AA1" s="686">
        <f>'Hảo_R&amp;D'!AQ1</f>
        <v>13300</v>
      </c>
      <c r="AB1" s="687"/>
      <c r="AC1" s="688">
        <f>'Hảo_R&amp;D'!AS1</f>
        <v>7971.0144927536239</v>
      </c>
      <c r="AD1" s="719">
        <f>'[8]16.1 Rửa vảy B7'!$I$10</f>
        <v>84.555434657824762</v>
      </c>
      <c r="AE1" s="686">
        <f>'Hảo_R&amp;D'!AU1</f>
        <v>13300</v>
      </c>
      <c r="AG1" s="685"/>
      <c r="AH1" s="685"/>
      <c r="AI1" s="685"/>
      <c r="AK1" s="689" t="s">
        <v>823</v>
      </c>
      <c r="AL1" s="1145" t="s">
        <v>466</v>
      </c>
      <c r="AM1" s="690">
        <f t="shared" ref="AM1:AS1" si="0">AM2/$AS$2</f>
        <v>0.3133333333333333</v>
      </c>
      <c r="AN1" s="690">
        <f t="shared" si="0"/>
        <v>0.52</v>
      </c>
      <c r="AO1" s="690">
        <f t="shared" si="0"/>
        <v>2.6666666666666668E-2</v>
      </c>
      <c r="AP1" s="690">
        <f t="shared" si="0"/>
        <v>6.6666666666666666E-2</v>
      </c>
      <c r="AQ1" s="690">
        <f t="shared" si="0"/>
        <v>6.6666666666666671E-3</v>
      </c>
      <c r="AR1" s="690">
        <f>AR2/$AS$2</f>
        <v>6.6666666666666666E-2</v>
      </c>
      <c r="AS1" s="690">
        <f t="shared" si="0"/>
        <v>1</v>
      </c>
      <c r="AU1" s="993">
        <f>AM1</f>
        <v>0.3133333333333333</v>
      </c>
      <c r="AV1" s="993">
        <f t="shared" ref="AV1:AZ1" si="1">AN1</f>
        <v>0.52</v>
      </c>
      <c r="AW1" s="993">
        <f t="shared" si="1"/>
        <v>2.6666666666666668E-2</v>
      </c>
      <c r="AX1" s="993">
        <f t="shared" si="1"/>
        <v>6.6666666666666666E-2</v>
      </c>
      <c r="AY1" s="993">
        <f t="shared" si="1"/>
        <v>6.6666666666666671E-3</v>
      </c>
      <c r="AZ1" s="993">
        <f t="shared" si="1"/>
        <v>6.6666666666666666E-2</v>
      </c>
      <c r="BA1" s="994">
        <f>BA6+BA14+BA24+BA33+BA37</f>
        <v>1</v>
      </c>
      <c r="BB1" s="684" t="s">
        <v>516</v>
      </c>
      <c r="BC1" s="691">
        <v>55000</v>
      </c>
      <c r="BD1" s="691">
        <v>100000</v>
      </c>
      <c r="BE1" s="692" t="s">
        <v>925</v>
      </c>
      <c r="BF1" s="692" t="s">
        <v>540</v>
      </c>
      <c r="BG1" s="693" t="s">
        <v>543</v>
      </c>
      <c r="BH1" s="694" t="s">
        <v>541</v>
      </c>
      <c r="BI1" s="695" t="s">
        <v>474</v>
      </c>
      <c r="BJ1" s="695" t="s">
        <v>674</v>
      </c>
      <c r="BK1" s="695" t="s">
        <v>690</v>
      </c>
      <c r="BL1" s="695" t="s">
        <v>691</v>
      </c>
      <c r="BM1" s="695" t="s">
        <v>474</v>
      </c>
      <c r="BN1" s="695" t="s">
        <v>696</v>
      </c>
      <c r="BO1" s="695" t="s">
        <v>695</v>
      </c>
      <c r="BP1" s="696">
        <f>SUM(BP2:BP9)</f>
        <v>55000</v>
      </c>
      <c r="BQ1" s="696">
        <f>SUM(BQ2:BQ9)</f>
        <v>100000</v>
      </c>
      <c r="BR1" s="697">
        <f t="shared" ref="BR1:BR9" si="2">BP1/$BP$1</f>
        <v>1</v>
      </c>
      <c r="BS1" s="697">
        <f>BQ1/$BQ$1</f>
        <v>1</v>
      </c>
      <c r="BT1" s="692" t="s">
        <v>925</v>
      </c>
      <c r="BU1" s="692" t="s">
        <v>540</v>
      </c>
      <c r="BV1" s="698" t="s">
        <v>517</v>
      </c>
      <c r="BW1" s="698" t="s">
        <v>518</v>
      </c>
      <c r="BX1" s="699" t="s">
        <v>648</v>
      </c>
      <c r="BY1" s="700" t="s">
        <v>517</v>
      </c>
      <c r="BZ1" s="700" t="s">
        <v>518</v>
      </c>
      <c r="CA1" s="725" t="s">
        <v>648</v>
      </c>
      <c r="CB1" s="867" t="s">
        <v>924</v>
      </c>
      <c r="CC1" s="867" t="s">
        <v>923</v>
      </c>
      <c r="CD1" s="699" t="s">
        <v>454</v>
      </c>
      <c r="CE1" s="700" t="s">
        <v>693</v>
      </c>
      <c r="CF1" s="698" t="s">
        <v>676</v>
      </c>
      <c r="CG1" s="698" t="s">
        <v>677</v>
      </c>
      <c r="CH1" s="700" t="s">
        <v>675</v>
      </c>
      <c r="CI1" s="506" t="s">
        <v>843</v>
      </c>
      <c r="CJ1" s="308" t="s">
        <v>842</v>
      </c>
      <c r="CK1" s="724">
        <v>26500</v>
      </c>
      <c r="CL1" s="701">
        <v>10000</v>
      </c>
      <c r="CM1" s="702">
        <v>11300</v>
      </c>
      <c r="CN1" s="703">
        <f>CM1-CL1</f>
        <v>1300</v>
      </c>
      <c r="CO1" s="704">
        <f>CN1/26.5</f>
        <v>49.056603773584904</v>
      </c>
      <c r="CP1" s="705" t="s">
        <v>694</v>
      </c>
      <c r="CQ1" s="706" t="s">
        <v>681</v>
      </c>
      <c r="CR1" s="685" t="s">
        <v>839</v>
      </c>
      <c r="CS1" s="701">
        <v>10000</v>
      </c>
      <c r="CT1" s="702">
        <v>10800</v>
      </c>
      <c r="CU1" s="703">
        <f>CT1-CS1</f>
        <v>800</v>
      </c>
      <c r="CV1" s="704">
        <f>CU1/26.5</f>
        <v>30.188679245283019</v>
      </c>
      <c r="CX1" s="784" t="s">
        <v>875</v>
      </c>
      <c r="CY1" s="700" t="s">
        <v>740</v>
      </c>
      <c r="CZ1" s="726" t="s">
        <v>696</v>
      </c>
      <c r="DA1" s="695" t="s">
        <v>695</v>
      </c>
      <c r="DB1" s="702">
        <v>10000</v>
      </c>
      <c r="DC1" s="702">
        <v>10800</v>
      </c>
      <c r="DD1" s="702">
        <v>11300</v>
      </c>
      <c r="DE1" s="702">
        <v>12000</v>
      </c>
      <c r="DF1" s="702">
        <f>DE1-DD1</f>
        <v>700</v>
      </c>
      <c r="DH1" s="726" t="s">
        <v>696</v>
      </c>
      <c r="DI1" s="695" t="s">
        <v>695</v>
      </c>
      <c r="DJ1" s="701">
        <v>10000</v>
      </c>
      <c r="DK1" s="702">
        <v>11300</v>
      </c>
      <c r="DL1" s="703">
        <f>DK1-DJ1</f>
        <v>1300</v>
      </c>
      <c r="DM1" s="704">
        <f>DL1/26.5</f>
        <v>49.056603773584904</v>
      </c>
      <c r="DN1" s="705" t="s">
        <v>694</v>
      </c>
      <c r="DO1" s="706" t="s">
        <v>681</v>
      </c>
      <c r="DP1" s="685" t="s">
        <v>839</v>
      </c>
    </row>
    <row r="2" spans="2:120" ht="15.5" outlineLevel="1" x14ac:dyDescent="0.35">
      <c r="B2" s="114" t="s">
        <v>365</v>
      </c>
      <c r="T2" s="162" t="s">
        <v>634</v>
      </c>
      <c r="U2" s="157">
        <f>'Hảo_R&amp;D'!AK2</f>
        <v>0.77783045852077959</v>
      </c>
      <c r="W2" s="283">
        <f>'Hảo_R&amp;D'!AM2</f>
        <v>0.8081674874213195</v>
      </c>
      <c r="X2" s="718">
        <f>'[8]12. 100% vảy-&gt;hạt WSS01-iSS01'!$I$10</f>
        <v>1636.9775154230633</v>
      </c>
      <c r="Y2" s="157">
        <f>'Hảo_R&amp;D'!AO2</f>
        <v>0.85501479000000002</v>
      </c>
      <c r="AA2" s="157">
        <f>'Hảo_R&amp;D'!AQ2</f>
        <v>0.85501479000000002</v>
      </c>
      <c r="AE2" s="157">
        <f>'Hảo_R&amp;D'!AU2</f>
        <v>0.773478</v>
      </c>
      <c r="AL2" s="1145"/>
      <c r="AM2" s="69">
        <f t="shared" ref="AM2:AS2" si="3">AM6+AM14+AM24+AM33</f>
        <v>4.6999999999999993</v>
      </c>
      <c r="AN2" s="69">
        <f t="shared" si="3"/>
        <v>7.8000000000000007</v>
      </c>
      <c r="AO2" s="69">
        <f t="shared" si="3"/>
        <v>0.4</v>
      </c>
      <c r="AP2" s="69">
        <f t="shared" si="3"/>
        <v>1</v>
      </c>
      <c r="AQ2" s="69">
        <f t="shared" si="3"/>
        <v>0.1</v>
      </c>
      <c r="AR2" s="69">
        <f t="shared" si="3"/>
        <v>1</v>
      </c>
      <c r="AS2" s="69">
        <f t="shared" si="3"/>
        <v>15</v>
      </c>
      <c r="BF2" s="720">
        <v>26500</v>
      </c>
      <c r="BG2" s="325">
        <f>AK17</f>
        <v>1250</v>
      </c>
      <c r="BH2" s="329">
        <f>BG2/$BG$6</f>
        <v>1.1467889908256881</v>
      </c>
      <c r="BI2" s="332">
        <f>'H_Tỷ lệ HH&amp;PS (-PS)'!EG6</f>
        <v>1072.6138381546739</v>
      </c>
      <c r="BJ2" s="497">
        <f>BI2/$BI$6</f>
        <v>1.1044834013114175</v>
      </c>
      <c r="BK2" s="524">
        <f>BG2-BI2</f>
        <v>177.38616184532611</v>
      </c>
      <c r="BL2" s="166">
        <f>BK2/BG2</f>
        <v>0.14190892947626088</v>
      </c>
      <c r="BM2" s="335">
        <f>'Hảo_R&amp;D (Hạt-Full stage-Mix)'!AO17/BF2*1000</f>
        <v>977.5238396395398</v>
      </c>
      <c r="BN2" s="280" t="str">
        <f>T17</f>
        <v>Hạt iSS01084G</v>
      </c>
      <c r="BO2" s="540">
        <v>1</v>
      </c>
      <c r="BP2" s="279">
        <f>BC17</f>
        <v>3666.6666666666665</v>
      </c>
      <c r="BQ2" s="279">
        <f>BD17</f>
        <v>6666.666666666667</v>
      </c>
      <c r="BR2" s="281">
        <f>BP2/$BP$1</f>
        <v>6.6666666666666666E-2</v>
      </c>
      <c r="BS2" s="281">
        <f t="shared" ref="BS2:BS9" si="4">BQ2/$BQ$1</f>
        <v>6.6666666666666666E-2</v>
      </c>
      <c r="BT2" s="279">
        <f>BP2/12</f>
        <v>305.55555555555554</v>
      </c>
      <c r="BU2" s="279">
        <f>BQ2/12</f>
        <v>555.55555555555554</v>
      </c>
      <c r="BV2" s="504">
        <f>'[10]ZCOR0019-03.26'!$BA$26</f>
        <v>7.882989970244117E-2</v>
      </c>
      <c r="BW2" s="199">
        <f>'[10]ZCOR0019-03.26'!$AZ$26*4/1000</f>
        <v>1764.3173999999999</v>
      </c>
      <c r="BX2" s="199">
        <f>BW2/3</f>
        <v>588.10579999999993</v>
      </c>
      <c r="BY2" s="504">
        <f>BZ2/$BZ$10</f>
        <v>0.1613130582872285</v>
      </c>
      <c r="BZ2" s="199">
        <f>[11]Chart!$AV$4/1000</f>
        <v>2666.4</v>
      </c>
      <c r="CA2" s="199">
        <f>BZ2/4</f>
        <v>666.6</v>
      </c>
      <c r="CB2" s="199">
        <f>CA2-BT2</f>
        <v>361.04444444444448</v>
      </c>
      <c r="CC2" s="199">
        <f>CB2/'Hảo_R&amp;D (Hạt) (full stage)-MN'!$V$2</f>
        <v>396.75213675213678</v>
      </c>
      <c r="CD2" s="199">
        <f>CH2-BI2</f>
        <v>240</v>
      </c>
      <c r="CE2" s="525">
        <f>(CG2+CF2)/CH2</f>
        <v>0.18284128433188074</v>
      </c>
      <c r="CF2" s="280">
        <v>140</v>
      </c>
      <c r="CG2" s="280">
        <v>100</v>
      </c>
      <c r="CH2" s="279">
        <f>BI2+CF2+CG2</f>
        <v>1312.6138381546739</v>
      </c>
      <c r="CI2" s="199">
        <f>CG2*BT2</f>
        <v>30555.555555555555</v>
      </c>
      <c r="CJ2" s="279">
        <f t="shared" ref="CJ2:CJ10" si="5">CI2*$CK$1</f>
        <v>809722222.22222221</v>
      </c>
      <c r="CL2" s="513">
        <v>1211.3963108001421</v>
      </c>
      <c r="CM2" s="513">
        <f>CH2</f>
        <v>1312.6138381546739</v>
      </c>
      <c r="CN2" s="513">
        <f>CM2-CL2</f>
        <v>101.21752735453174</v>
      </c>
      <c r="CO2" s="514"/>
      <c r="CP2" s="512">
        <f>CP4+90</f>
        <v>1470</v>
      </c>
      <c r="CQ2" s="513">
        <f>CP2-CM2</f>
        <v>157.38616184532611</v>
      </c>
      <c r="CR2" s="296">
        <f t="shared" ref="CR2:CR9" si="6">CQ2/CP2</f>
        <v>0.10706541622131029</v>
      </c>
      <c r="CS2" s="513">
        <v>1299.3674300717448</v>
      </c>
      <c r="CT2" s="513">
        <v>1349.4282238420415</v>
      </c>
      <c r="CU2" s="513">
        <f>CT2-CS2</f>
        <v>50.060793770296641</v>
      </c>
      <c r="CV2" s="514"/>
      <c r="CX2" s="783">
        <f>(CP2-BI2-CF2)/CP2</f>
        <v>0.17509262710566403</v>
      </c>
      <c r="CY2" s="525">
        <f>(CP2-BI2)/CP2</f>
        <v>0.27033072234375927</v>
      </c>
      <c r="CZ2" s="280" t="s">
        <v>379</v>
      </c>
      <c r="DA2" s="540">
        <v>1</v>
      </c>
      <c r="DB2" s="513">
        <v>1211.3963108001421</v>
      </c>
      <c r="DC2" s="513">
        <v>1256.3818785132676</v>
      </c>
      <c r="DD2" s="513">
        <v>1284.4978583339707</v>
      </c>
      <c r="DE2" s="513">
        <v>1323.8602300829548</v>
      </c>
      <c r="DF2" s="513">
        <f t="shared" ref="DF2:DF9" si="7">DE2-DD2</f>
        <v>39.36237174898406</v>
      </c>
      <c r="DH2" s="280" t="s">
        <v>379</v>
      </c>
      <c r="DI2" s="540">
        <v>1</v>
      </c>
      <c r="DJ2" s="513">
        <v>1211.3963108001421</v>
      </c>
      <c r="DK2" s="513">
        <v>1284.4978583339707</v>
      </c>
      <c r="DL2" s="513">
        <f>DK2-DJ2</f>
        <v>73.10154753382858</v>
      </c>
      <c r="DM2" s="514"/>
      <c r="DN2" s="512">
        <f>DN4+90</f>
        <v>1470</v>
      </c>
      <c r="DO2" s="513">
        <f>DN2-DK2</f>
        <v>185.50214166602927</v>
      </c>
      <c r="DP2" s="296">
        <f>DO2/DN2</f>
        <v>0.12619193310614235</v>
      </c>
    </row>
    <row r="3" spans="2:120" outlineLevel="1" x14ac:dyDescent="0.35">
      <c r="T3" s="162" t="s">
        <v>958</v>
      </c>
      <c r="U3" s="395">
        <f>U1/U2</f>
        <v>19027.282665358136</v>
      </c>
      <c r="W3" s="131">
        <f>W1/W2</f>
        <v>20169.086549138014</v>
      </c>
      <c r="X3" s="718">
        <f>'[8]10. 100% chai-&gt;hạt WSS01-iSS01'!$I$21+'[8]10. 100% chai-&gt;hạt WSS01-iSS01'!$I$37</f>
        <v>4716.6433044810765</v>
      </c>
      <c r="Y3" s="131">
        <f>Y1/Y2</f>
        <v>17309.642094027404</v>
      </c>
      <c r="AA3" s="131">
        <f>AA1/AA2</f>
        <v>15555.28647638949</v>
      </c>
      <c r="AC3" s="169">
        <f>'[8]16.1 Rửa vảy B7'!$I$48</f>
        <v>14341.250211551116</v>
      </c>
      <c r="AE3" s="131">
        <f>AE1/AE2</f>
        <v>17195.059200132389</v>
      </c>
      <c r="AG3" s="121" t="s">
        <v>636</v>
      </c>
      <c r="AH3" s="121" t="s">
        <v>718</v>
      </c>
      <c r="AI3" s="173"/>
      <c r="AJ3" t="s">
        <v>391</v>
      </c>
      <c r="AK3" t="s">
        <v>393</v>
      </c>
      <c r="AL3" s="1145"/>
      <c r="AM3" s="109">
        <f>(AM4/U2)*1.05</f>
        <v>23263.424312814557</v>
      </c>
      <c r="AN3" s="109">
        <f>(AN4/W2)*1.05</f>
        <v>37158.139206786174</v>
      </c>
      <c r="AO3" s="109">
        <f>(AO4/Y2)*1.05</f>
        <v>1801.1384341082569</v>
      </c>
      <c r="AP3" s="109">
        <f>(AP4/AA2)*1.05</f>
        <v>4502.8460852706421</v>
      </c>
      <c r="AQ3" s="109">
        <f>AQ4/AA2</f>
        <v>428.84248431148973</v>
      </c>
      <c r="AR3" s="109">
        <f>(AR4/AE2)*1.05</f>
        <v>4977.5171368804286</v>
      </c>
      <c r="AS3" s="205">
        <f>SUM(AM3:AR3)</f>
        <v>72131.907660171564</v>
      </c>
      <c r="AU3" s="109">
        <f>(AU4/U2)*1.05</f>
        <v>42297.135114208279</v>
      </c>
      <c r="AV3" s="109">
        <f>(AV4/W2)*1.05</f>
        <v>67560.253103247582</v>
      </c>
      <c r="AW3" s="109">
        <f>(AW4/Y2)*1.05</f>
        <v>3274.7971529241036</v>
      </c>
      <c r="AX3" s="109">
        <f>(AX4/AA2)*1.05</f>
        <v>8186.9928823102582</v>
      </c>
      <c r="AY3" s="109">
        <f>AY4/AA2</f>
        <v>779.71360783907221</v>
      </c>
      <c r="AZ3" s="109">
        <f>(AZ4/AE2)*1.05</f>
        <v>9050.0311579644167</v>
      </c>
      <c r="BA3" s="205">
        <f>SUM(AU3:AZ3)</f>
        <v>131148.92301849369</v>
      </c>
      <c r="BG3" s="325">
        <f>AK8</f>
        <v>1190</v>
      </c>
      <c r="BH3" s="330">
        <f>BG3/$BG$6</f>
        <v>1.0917431192660549</v>
      </c>
      <c r="BI3" s="332">
        <f>'H_Tỷ lệ HH&amp;PS (-PS)'!EG8</f>
        <v>1052.6620277764632</v>
      </c>
      <c r="BJ3" s="497">
        <f t="shared" ref="BJ3:BJ9" si="8">BI3/$BI$6</f>
        <v>1.0839387816123487</v>
      </c>
      <c r="BK3" s="524">
        <f t="shared" ref="BK3:BK5" si="9">BG3-BI3</f>
        <v>137.33797222353678</v>
      </c>
      <c r="BL3" s="166">
        <f t="shared" ref="BL3:BL9" si="10">BK3/BG3</f>
        <v>0.11541006069204772</v>
      </c>
      <c r="BM3" s="335">
        <f>'Hảo_R&amp;D (Hạt-Full stage-Mix)'!AO16/BF2*1000</f>
        <v>977.5238396395398</v>
      </c>
      <c r="BN3" s="1" t="str">
        <f>T16</f>
        <v>Hạt iSS01G</v>
      </c>
      <c r="BO3" s="3">
        <v>2</v>
      </c>
      <c r="BP3" s="300">
        <f>BC8+BC16</f>
        <v>7333.333333333333</v>
      </c>
      <c r="BQ3" s="300">
        <f>BD8+BD16</f>
        <v>13333.333333333334</v>
      </c>
      <c r="BR3" s="301">
        <f t="shared" si="2"/>
        <v>0.13333333333333333</v>
      </c>
      <c r="BS3" s="301">
        <f t="shared" si="4"/>
        <v>0.13333333333333333</v>
      </c>
      <c r="BT3" s="300">
        <f t="shared" ref="BT3:BU9" si="11">BP3/12</f>
        <v>611.11111111111109</v>
      </c>
      <c r="BU3" s="300">
        <f t="shared" si="11"/>
        <v>1111.1111111111111</v>
      </c>
      <c r="BV3" s="153">
        <f>'[10]ZCOR0019-03.26'!$BA$27</f>
        <v>0.23350233317759631</v>
      </c>
      <c r="BW3" s="109">
        <f>'[10]ZCOR0019-03.26'!$AZ$27/3*12/1000</f>
        <v>5226.0910000000003</v>
      </c>
      <c r="BX3" s="109">
        <f>BW3/3</f>
        <v>1742.0303333333334</v>
      </c>
      <c r="BY3" s="153">
        <f t="shared" ref="BY3:BY10" si="12">BZ3/$BZ$10</f>
        <v>0.1020911288102678</v>
      </c>
      <c r="BZ3" s="109">
        <f>[11]Chart!$AV$5/1000</f>
        <v>1687.5</v>
      </c>
      <c r="CA3" s="109">
        <f t="shared" ref="CA3:CA9" si="13">BZ3/4</f>
        <v>421.875</v>
      </c>
      <c r="CB3" s="199">
        <f t="shared" ref="CB3:CB4" si="14">CA3-BT3</f>
        <v>-189.23611111111109</v>
      </c>
      <c r="CC3" s="199">
        <f>CB3/'Hảo_R&amp;D (Hạt) (full stage)-MN'!$V$2</f>
        <v>-207.95177045177041</v>
      </c>
      <c r="CD3" s="199">
        <f t="shared" ref="CD3:CD9" si="15">CH3-BI3</f>
        <v>210</v>
      </c>
      <c r="CE3" s="525">
        <f t="shared" ref="CE3:CE9" si="16">(CG3+CF3)/CH3</f>
        <v>0.16631528895329825</v>
      </c>
      <c r="CF3">
        <f>CF2</f>
        <v>140</v>
      </c>
      <c r="CG3">
        <f>CG2-30</f>
        <v>70</v>
      </c>
      <c r="CH3" s="130">
        <f t="shared" ref="CH3:CH9" si="17">BI3+CF3+CG3</f>
        <v>1262.6620277764632</v>
      </c>
      <c r="CI3" s="109">
        <f t="shared" ref="CI3:CI9" si="18">CG3*BT3</f>
        <v>42777.777777777774</v>
      </c>
      <c r="CJ3" s="130">
        <f t="shared" si="5"/>
        <v>1133611111.1111109</v>
      </c>
      <c r="CL3" s="130">
        <v>1161.9743663399859</v>
      </c>
      <c r="CM3" s="130">
        <f>CH3</f>
        <v>1262.6620277764632</v>
      </c>
      <c r="CN3" s="130">
        <f t="shared" ref="CN3:CN9" si="19">CM3-CL3</f>
        <v>100.68766143647736</v>
      </c>
      <c r="CP3" s="512">
        <f>CP4+30</f>
        <v>1410</v>
      </c>
      <c r="CQ3" s="130">
        <f t="shared" ref="CQ3:CQ9" si="20">CP3-CM3</f>
        <v>147.33797222353678</v>
      </c>
      <c r="CR3" s="296">
        <f t="shared" si="6"/>
        <v>0.1044950157613736</v>
      </c>
      <c r="CS3" s="130">
        <v>1230.3200109309132</v>
      </c>
      <c r="CT3" s="130">
        <v>1277.9778866002357</v>
      </c>
      <c r="CU3" s="130">
        <f t="shared" ref="CU3:CU9" si="21">CT3-CS3</f>
        <v>47.657875669322493</v>
      </c>
      <c r="CX3" s="783">
        <f t="shared" ref="CX3:CX9" si="22">(CP3-BI3-CF3)/CP3</f>
        <v>0.1541404058322956</v>
      </c>
      <c r="CY3" s="525">
        <f t="shared" ref="CY3:CY9" si="23">(CP3-BI3)/CP3</f>
        <v>0.25343118597413955</v>
      </c>
      <c r="CZ3" s="1" t="s">
        <v>378</v>
      </c>
      <c r="DA3" s="3">
        <v>2</v>
      </c>
      <c r="DB3" s="130">
        <v>1161.9743663399859</v>
      </c>
      <c r="DC3" s="130">
        <v>1206.7302494070848</v>
      </c>
      <c r="DD3" s="130">
        <v>1234.6977895342607</v>
      </c>
      <c r="DE3" s="130">
        <v>1273.8468725077751</v>
      </c>
      <c r="DF3" s="130">
        <f t="shared" si="7"/>
        <v>39.149082973514396</v>
      </c>
      <c r="DH3" s="1" t="s">
        <v>378</v>
      </c>
      <c r="DI3" s="3">
        <v>2</v>
      </c>
      <c r="DJ3" s="130">
        <v>1161.9743663399859</v>
      </c>
      <c r="DK3" s="130">
        <v>1234.6977895342607</v>
      </c>
      <c r="DL3" s="130">
        <f t="shared" ref="DL3:DL9" si="24">DK3-DJ3</f>
        <v>72.723423194274801</v>
      </c>
      <c r="DN3" s="512">
        <f>DN4+30</f>
        <v>1410</v>
      </c>
      <c r="DO3" s="130">
        <f t="shared" ref="DO3:DO4" si="25">DN3-DK3</f>
        <v>175.30221046573934</v>
      </c>
      <c r="DP3" s="296">
        <f t="shared" ref="DP3:DP9" si="26">DO3/DN3</f>
        <v>0.12432780884094988</v>
      </c>
    </row>
    <row r="4" spans="2:120" x14ac:dyDescent="0.35">
      <c r="T4" s="120" t="s">
        <v>957</v>
      </c>
      <c r="U4" s="115" t="s">
        <v>367</v>
      </c>
      <c r="W4" s="115" t="s">
        <v>374</v>
      </c>
      <c r="Y4" s="115" t="s">
        <v>375</v>
      </c>
      <c r="AA4" s="115" t="s">
        <v>382</v>
      </c>
      <c r="AC4" s="115" t="s">
        <v>384</v>
      </c>
      <c r="AE4" s="115" t="s">
        <v>385</v>
      </c>
      <c r="AG4" s="127" t="s">
        <v>376</v>
      </c>
      <c r="AH4" s="127"/>
      <c r="AJ4" s="129">
        <v>26500</v>
      </c>
      <c r="AL4" s="1145"/>
      <c r="AM4" s="195">
        <f>AM1*$BC$1</f>
        <v>17233.333333333332</v>
      </c>
      <c r="AN4" s="195">
        <f>AN1*$BC$1</f>
        <v>28600</v>
      </c>
      <c r="AO4" s="195">
        <f t="shared" ref="AO4:AS4" si="27">AO1*$BC$1</f>
        <v>1466.6666666666667</v>
      </c>
      <c r="AP4" s="195">
        <f t="shared" si="27"/>
        <v>3666.6666666666665</v>
      </c>
      <c r="AQ4" s="195">
        <f t="shared" si="27"/>
        <v>366.66666666666669</v>
      </c>
      <c r="AR4" s="195">
        <f t="shared" si="27"/>
        <v>3666.6666666666665</v>
      </c>
      <c r="AS4" s="990">
        <f t="shared" si="27"/>
        <v>55000</v>
      </c>
      <c r="AU4" s="195">
        <f>AM1*$BD$1</f>
        <v>31333.333333333328</v>
      </c>
      <c r="AV4" s="195">
        <f t="shared" ref="AV4:BA4" si="28">AN1*$BD$1</f>
        <v>52000</v>
      </c>
      <c r="AW4" s="195">
        <f t="shared" si="28"/>
        <v>2666.666666666667</v>
      </c>
      <c r="AX4" s="195">
        <f t="shared" si="28"/>
        <v>6666.666666666667</v>
      </c>
      <c r="AY4" s="195">
        <f t="shared" si="28"/>
        <v>666.66666666666674</v>
      </c>
      <c r="AZ4" s="195">
        <f t="shared" si="28"/>
        <v>6666.666666666667</v>
      </c>
      <c r="BA4" s="990">
        <f t="shared" si="28"/>
        <v>100000</v>
      </c>
      <c r="BE4" s="990">
        <f>AS4/12</f>
        <v>4583.333333333333</v>
      </c>
      <c r="BF4" s="991">
        <f>BA4/12</f>
        <v>8333.3333333333339</v>
      </c>
      <c r="BG4" s="325">
        <f>AK7</f>
        <v>1160</v>
      </c>
      <c r="BH4" s="330">
        <f>BG4/$BG$6</f>
        <v>1.0642201834862386</v>
      </c>
      <c r="BI4" s="403">
        <f>'H_Tỷ lệ HH&amp;PS (-PS)'!EG10</f>
        <v>993.86709255539631</v>
      </c>
      <c r="BJ4" s="497">
        <f t="shared" si="8"/>
        <v>1.023396927943401</v>
      </c>
      <c r="BK4" s="524">
        <f t="shared" si="9"/>
        <v>166.13290744460369</v>
      </c>
      <c r="BL4" s="166">
        <f t="shared" si="10"/>
        <v>0.1432180236591411</v>
      </c>
      <c r="BM4" s="335">
        <f>'Hảo_R&amp;D (Hạt-Full stage-Mix)'!AO15/26500*1000</f>
        <v>977.5238396395398</v>
      </c>
      <c r="BN4" s="179" t="str">
        <f>T15</f>
        <v>Hạt WSS01G</v>
      </c>
      <c r="BO4" s="541">
        <v>3</v>
      </c>
      <c r="BP4" s="273">
        <f>BC7+BC15+BC25+BC27</f>
        <v>14666.666666666666</v>
      </c>
      <c r="BQ4" s="183">
        <f>BD7+BD15+BD25+BD27</f>
        <v>26666.666666666668</v>
      </c>
      <c r="BR4" s="570">
        <f t="shared" si="2"/>
        <v>0.26666666666666666</v>
      </c>
      <c r="BS4" s="283">
        <f t="shared" si="4"/>
        <v>0.26666666666666666</v>
      </c>
      <c r="BT4" s="183">
        <f t="shared" si="11"/>
        <v>1222.2222222222222</v>
      </c>
      <c r="BU4" s="183">
        <f t="shared" si="11"/>
        <v>2222.2222222222222</v>
      </c>
      <c r="BV4" s="157">
        <f>'[10]ZCOR0019-03.26'!$BA$25</f>
        <v>0.12892607275073253</v>
      </c>
      <c r="BW4" s="147">
        <f>'[10]ZCOR0019-03.26'!$AZ$25/3*12/1000</f>
        <v>2885.5360000000001</v>
      </c>
      <c r="BX4" s="147">
        <f>BW4/3</f>
        <v>961.84533333333331</v>
      </c>
      <c r="BY4" s="157">
        <f>BZ4/$BZ$10</f>
        <v>0.51602755099262831</v>
      </c>
      <c r="BZ4" s="147">
        <f>[11]Chart!$AV$6/1000</f>
        <v>8529.6</v>
      </c>
      <c r="CA4" s="147">
        <f t="shared" si="13"/>
        <v>2132.4</v>
      </c>
      <c r="CB4" s="199">
        <f t="shared" si="14"/>
        <v>910.17777777777792</v>
      </c>
      <c r="CC4" s="199">
        <f>CB4/'Hảo_R&amp;D (Hạt) (full stage)-MN'!$V$2</f>
        <v>1000.1953601953603</v>
      </c>
      <c r="CD4" s="199">
        <f t="shared" si="15"/>
        <v>190</v>
      </c>
      <c r="CE4" s="525">
        <f>(CG4+CF4)/CH4</f>
        <v>0.1604909885533535</v>
      </c>
      <c r="CF4" s="181">
        <f>CF2</f>
        <v>140</v>
      </c>
      <c r="CG4" s="181">
        <v>50</v>
      </c>
      <c r="CH4" s="183">
        <f>BI4+CF4+CG4</f>
        <v>1183.8670925553963</v>
      </c>
      <c r="CI4" s="147">
        <f>CG4*BT4</f>
        <v>61111.111111111109</v>
      </c>
      <c r="CJ4" s="183">
        <f t="shared" si="5"/>
        <v>1619444444.4444444</v>
      </c>
      <c r="CL4" s="183">
        <v>1085.7177755248804</v>
      </c>
      <c r="CM4" s="183">
        <f>CH4</f>
        <v>1183.8670925553963</v>
      </c>
      <c r="CN4" s="183">
        <f>CM4-CL4</f>
        <v>98.149317030515931</v>
      </c>
      <c r="CO4" s="181"/>
      <c r="CP4" s="147">
        <v>1380</v>
      </c>
      <c r="CQ4" s="183">
        <f t="shared" si="20"/>
        <v>196.13290744460369</v>
      </c>
      <c r="CR4" s="296">
        <f>CQ4/CP4</f>
        <v>0.14212529524971282</v>
      </c>
      <c r="CS4" s="183">
        <v>1190.7963013604976</v>
      </c>
      <c r="CT4" s="183">
        <v>1237.2527179793328</v>
      </c>
      <c r="CU4" s="183">
        <f>CT4-CS4</f>
        <v>46.456416618835192</v>
      </c>
      <c r="CV4" s="181"/>
      <c r="CX4" s="783">
        <f t="shared" si="22"/>
        <v>0.17835717930768383</v>
      </c>
      <c r="CY4" s="525">
        <f>(CP4-BI4)/CP4</f>
        <v>0.27980645467000265</v>
      </c>
      <c r="CZ4" s="179" t="s">
        <v>377</v>
      </c>
      <c r="DA4" s="541">
        <v>3</v>
      </c>
      <c r="DB4" s="183">
        <v>1085.7177755248804</v>
      </c>
      <c r="DC4" s="183">
        <v>1129.3453590188592</v>
      </c>
      <c r="DD4" s="183">
        <v>1156.6078351092156</v>
      </c>
      <c r="DE4" s="183">
        <v>1194.7699664111287</v>
      </c>
      <c r="DF4" s="183">
        <f t="shared" si="7"/>
        <v>38.162131301913178</v>
      </c>
      <c r="DG4" s="130">
        <f>DD4-CM4</f>
        <v>-27.259257446180754</v>
      </c>
      <c r="DH4" s="179" t="s">
        <v>377</v>
      </c>
      <c r="DI4" s="541">
        <v>3</v>
      </c>
      <c r="DJ4" s="183">
        <v>1085.7177755248804</v>
      </c>
      <c r="DK4" s="183">
        <v>1156.6078351092156</v>
      </c>
      <c r="DL4" s="183">
        <f t="shared" si="24"/>
        <v>70.890059584335177</v>
      </c>
      <c r="DM4" s="181"/>
      <c r="DN4" s="147">
        <v>1380</v>
      </c>
      <c r="DO4" s="183">
        <f t="shared" si="25"/>
        <v>223.39216489078444</v>
      </c>
      <c r="DP4" s="296">
        <f t="shared" si="26"/>
        <v>0.16187838035564089</v>
      </c>
    </row>
    <row r="5" spans="2:120" x14ac:dyDescent="0.35">
      <c r="T5" s="120" t="s">
        <v>956</v>
      </c>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c r="AI5" s="123" t="s">
        <v>372</v>
      </c>
      <c r="AJ5" s="123" t="s">
        <v>372</v>
      </c>
      <c r="AK5" t="s">
        <v>392</v>
      </c>
      <c r="AL5" s="1145"/>
      <c r="AM5" s="189" t="str">
        <f>U5</f>
        <v>B6.2</v>
      </c>
      <c r="AN5" s="189" t="str">
        <f>W5</f>
        <v>B1</v>
      </c>
      <c r="AO5" s="189" t="str">
        <f>Y5</f>
        <v>B2.2</v>
      </c>
      <c r="AP5" s="189" t="str">
        <f>AA5</f>
        <v>B5</v>
      </c>
      <c r="AQ5" s="189" t="str">
        <f>AC5</f>
        <v>B7</v>
      </c>
      <c r="AR5" s="189" t="str">
        <f>AE5</f>
        <v>B4</v>
      </c>
      <c r="AS5" s="995" t="s">
        <v>47</v>
      </c>
      <c r="AU5" s="992" t="str">
        <f t="shared" ref="AU5:AZ5" si="29">AM5</f>
        <v>B6.2</v>
      </c>
      <c r="AV5" s="992" t="str">
        <f t="shared" si="29"/>
        <v>B1</v>
      </c>
      <c r="AW5" s="992" t="str">
        <f t="shared" si="29"/>
        <v>B2.2</v>
      </c>
      <c r="AX5" s="992" t="str">
        <f t="shared" si="29"/>
        <v>B5</v>
      </c>
      <c r="AY5" s="992" t="str">
        <f t="shared" si="29"/>
        <v>B7</v>
      </c>
      <c r="AZ5" s="992" t="str">
        <f t="shared" si="29"/>
        <v>B4</v>
      </c>
      <c r="BA5" s="995" t="s">
        <v>47</v>
      </c>
      <c r="BE5" s="189" t="s">
        <v>47</v>
      </c>
      <c r="BF5" s="189" t="s">
        <v>47</v>
      </c>
      <c r="BG5" s="325">
        <f>AK18</f>
        <v>1130</v>
      </c>
      <c r="BH5" s="330">
        <f>BG5/$BG$6</f>
        <v>1.036697247706422</v>
      </c>
      <c r="BI5" s="332">
        <f>'H_Tỷ lệ HH&amp;PS (-PS)'!EG12</f>
        <v>971.14527649858462</v>
      </c>
      <c r="BJ5" s="497">
        <f t="shared" si="8"/>
        <v>1</v>
      </c>
      <c r="BK5" s="524">
        <f t="shared" si="9"/>
        <v>158.85472350141538</v>
      </c>
      <c r="BL5" s="166">
        <f t="shared" si="10"/>
        <v>0.14057940132868618</v>
      </c>
      <c r="BM5" s="335">
        <f>'Hảo_R&amp;D (Hạt-Full stage-Mix)'!AO18/26500*1000</f>
        <v>977.5238396395398</v>
      </c>
      <c r="BN5" s="294" t="str">
        <f>T18</f>
        <v>Hạt WSS03G</v>
      </c>
      <c r="BO5" s="542">
        <v>4</v>
      </c>
      <c r="BP5" s="295">
        <f>BC18</f>
        <v>3666.6666666666665</v>
      </c>
      <c r="BQ5" s="295">
        <f>BD18</f>
        <v>6666.666666666667</v>
      </c>
      <c r="BR5" s="296">
        <f t="shared" si="2"/>
        <v>6.6666666666666666E-2</v>
      </c>
      <c r="BS5" s="296">
        <f t="shared" si="4"/>
        <v>6.6666666666666666E-2</v>
      </c>
      <c r="BT5" s="295">
        <f t="shared" si="11"/>
        <v>305.55555555555554</v>
      </c>
      <c r="BU5" s="295">
        <f>BQ5/12</f>
        <v>555.55555555555554</v>
      </c>
      <c r="BV5" s="303">
        <f>'[10]ZCOR0019-03.26'!$BA$28</f>
        <v>0.30327623536668236</v>
      </c>
      <c r="BW5" s="304">
        <f>'[10]ZCOR0019-03.26'!$AZ$28/3*12/1000</f>
        <v>6787.7231999999995</v>
      </c>
      <c r="BX5" s="304">
        <f>BW5/3</f>
        <v>2262.5744</v>
      </c>
      <c r="BY5" s="722">
        <f t="shared" si="12"/>
        <v>7.5408288892182707E-2</v>
      </c>
      <c r="BZ5" s="304">
        <f>[11]Chart!$AV$7/1000</f>
        <v>1246.45</v>
      </c>
      <c r="CA5" s="304">
        <f t="shared" si="13"/>
        <v>311.61250000000001</v>
      </c>
      <c r="CB5" s="199"/>
      <c r="CC5" s="304"/>
      <c r="CD5" s="199">
        <f t="shared" si="15"/>
        <v>190.00000000000011</v>
      </c>
      <c r="CE5" s="525">
        <f t="shared" si="16"/>
        <v>0.16363154882129996</v>
      </c>
      <c r="CF5" s="294">
        <f>CF2</f>
        <v>140</v>
      </c>
      <c r="CG5" s="294">
        <f>CG4</f>
        <v>50</v>
      </c>
      <c r="CH5" s="295">
        <f t="shared" si="17"/>
        <v>1161.1452764985847</v>
      </c>
      <c r="CI5" s="304">
        <f t="shared" si="18"/>
        <v>15277.777777777777</v>
      </c>
      <c r="CJ5" s="295">
        <f t="shared" si="5"/>
        <v>404861111.1111111</v>
      </c>
      <c r="CL5" s="295">
        <v>1065.5343038740307</v>
      </c>
      <c r="CM5" s="295">
        <f>CH5</f>
        <v>1161.1452764985847</v>
      </c>
      <c r="CN5" s="295">
        <f>CM5-CL5</f>
        <v>95.610972624554051</v>
      </c>
      <c r="CO5" s="294"/>
      <c r="CP5" s="304">
        <f>CP4-70</f>
        <v>1310</v>
      </c>
      <c r="CQ5" s="295">
        <f>CP5-CM5</f>
        <v>148.85472350141526</v>
      </c>
      <c r="CR5" s="296">
        <f t="shared" si="6"/>
        <v>0.11362955992474448</v>
      </c>
      <c r="CS5" s="295">
        <v>1171.2725917900818</v>
      </c>
      <c r="CT5" s="295">
        <v>1216.52754935843</v>
      </c>
      <c r="CU5" s="295">
        <f t="shared" si="21"/>
        <v>45.254957568348118</v>
      </c>
      <c r="CV5" s="294"/>
      <c r="CX5" s="783">
        <f t="shared" si="22"/>
        <v>0.15179749885604227</v>
      </c>
      <c r="CY5" s="525">
        <f t="shared" si="23"/>
        <v>0.25866772786367587</v>
      </c>
      <c r="CZ5" s="294" t="s">
        <v>380</v>
      </c>
      <c r="DA5" s="542">
        <v>4</v>
      </c>
      <c r="DB5" s="295">
        <v>1065.5343038740307</v>
      </c>
      <c r="DC5" s="295">
        <v>1108.0335877948892</v>
      </c>
      <c r="DD5" s="295">
        <v>1134.590999848426</v>
      </c>
      <c r="DE5" s="295">
        <v>1171.7661794787377</v>
      </c>
      <c r="DF5" s="295">
        <f t="shared" si="7"/>
        <v>37.175179630311732</v>
      </c>
      <c r="DG5" s="316"/>
      <c r="DH5" s="294" t="s">
        <v>380</v>
      </c>
      <c r="DI5" s="542">
        <v>4</v>
      </c>
      <c r="DJ5" s="295">
        <v>1065.5343038740307</v>
      </c>
      <c r="DK5" s="295">
        <v>1134.590999848426</v>
      </c>
      <c r="DL5" s="295">
        <f t="shared" si="24"/>
        <v>69.056695974395325</v>
      </c>
      <c r="DM5" s="294"/>
      <c r="DN5" s="304">
        <f>DN4-70</f>
        <v>1310</v>
      </c>
      <c r="DO5" s="295">
        <f>DN5-DK5</f>
        <v>175.40900015157399</v>
      </c>
      <c r="DP5" s="296">
        <f t="shared" si="26"/>
        <v>0.13390000011570533</v>
      </c>
    </row>
    <row r="6" spans="2:120" x14ac:dyDescent="0.35">
      <c r="T6" s="119" t="s">
        <v>390</v>
      </c>
      <c r="AG6" s="277">
        <v>0.3</v>
      </c>
      <c r="AH6" s="277"/>
      <c r="AM6" s="188">
        <f>SUM(AM7:AM11)</f>
        <v>2.5499999999999998</v>
      </c>
      <c r="AN6" s="188">
        <f t="shared" ref="AN6:AS6" si="30">SUM(AN7:AN11)</f>
        <v>2.0500000000000003</v>
      </c>
      <c r="AO6" s="188">
        <f t="shared" si="30"/>
        <v>0.15</v>
      </c>
      <c r="AP6" s="188">
        <f t="shared" si="30"/>
        <v>0.25</v>
      </c>
      <c r="AQ6" s="188">
        <f t="shared" si="30"/>
        <v>0</v>
      </c>
      <c r="AR6" s="188">
        <f t="shared" si="30"/>
        <v>0</v>
      </c>
      <c r="AS6" s="188">
        <f t="shared" si="30"/>
        <v>5</v>
      </c>
      <c r="AU6" s="188">
        <f>AM6/AM$2</f>
        <v>0.54255319148936176</v>
      </c>
      <c r="AV6" s="188">
        <f>AN6/AN$2</f>
        <v>0.26282051282051283</v>
      </c>
      <c r="AW6" s="188">
        <f t="shared" ref="AV6:BA11" si="31">AO6/AO$2</f>
        <v>0.37499999999999994</v>
      </c>
      <c r="AX6" s="188">
        <f t="shared" si="31"/>
        <v>0.25</v>
      </c>
      <c r="AY6" s="188">
        <f t="shared" si="31"/>
        <v>0</v>
      </c>
      <c r="AZ6" s="188">
        <f t="shared" si="31"/>
        <v>0</v>
      </c>
      <c r="BA6" s="188">
        <f t="shared" si="31"/>
        <v>0.33333333333333331</v>
      </c>
      <c r="BC6" s="275">
        <f>$BC$1*BA6</f>
        <v>18333.333333333332</v>
      </c>
      <c r="BD6" s="275">
        <f t="shared" ref="BD6:BD11" si="32">$BD$1*BA6</f>
        <v>33333.333333333328</v>
      </c>
      <c r="BE6" s="196">
        <f t="shared" ref="BE6:BF11" si="33">BC6/12</f>
        <v>1527.7777777777776</v>
      </c>
      <c r="BF6" s="196">
        <f t="shared" si="33"/>
        <v>2777.7777777777774</v>
      </c>
      <c r="BG6" s="326">
        <f>AK9</f>
        <v>1090</v>
      </c>
      <c r="BH6" s="331">
        <f>BG6/$BG$6</f>
        <v>1</v>
      </c>
      <c r="BI6" s="496">
        <f>BI5</f>
        <v>971.14527649858462</v>
      </c>
      <c r="BJ6" s="497">
        <f t="shared" si="8"/>
        <v>1</v>
      </c>
      <c r="BK6" s="524">
        <f>BG6-BI6</f>
        <v>118.85472350141538</v>
      </c>
      <c r="BL6" s="166">
        <f t="shared" si="10"/>
        <v>0.10904103073524346</v>
      </c>
      <c r="BM6" s="334"/>
      <c r="BN6" s="294" t="str">
        <f>T9</f>
        <v>Hạt WSS03G-PW</v>
      </c>
      <c r="BO6" s="542">
        <v>5</v>
      </c>
      <c r="BP6" s="295">
        <f>BC9+BC26</f>
        <v>7333.333333333333</v>
      </c>
      <c r="BQ6" s="295">
        <f>BD9+BD26</f>
        <v>13333.333333333334</v>
      </c>
      <c r="BR6" s="296">
        <f t="shared" si="2"/>
        <v>0.13333333333333333</v>
      </c>
      <c r="BS6" s="296">
        <f t="shared" si="4"/>
        <v>0.13333333333333333</v>
      </c>
      <c r="BT6" s="295">
        <f t="shared" si="11"/>
        <v>611.11111111111109</v>
      </c>
      <c r="BU6" s="295">
        <f t="shared" si="11"/>
        <v>1111.1111111111111</v>
      </c>
      <c r="BV6" s="294"/>
      <c r="BW6" s="304"/>
      <c r="BX6" s="294"/>
      <c r="BY6" s="722">
        <f t="shared" si="12"/>
        <v>5.4569598925547594E-2</v>
      </c>
      <c r="BZ6" s="304">
        <f>[11]Chart!$AV$8/1000</f>
        <v>902</v>
      </c>
      <c r="CA6" s="304">
        <f t="shared" si="13"/>
        <v>225.5</v>
      </c>
      <c r="CB6" s="199"/>
      <c r="CC6" s="304"/>
      <c r="CD6" s="199">
        <f t="shared" si="15"/>
        <v>190.00000000000011</v>
      </c>
      <c r="CE6" s="525">
        <f t="shared" si="16"/>
        <v>0.16363154882129996</v>
      </c>
      <c r="CF6" s="294">
        <f>CF2</f>
        <v>140</v>
      </c>
      <c r="CG6" s="294">
        <f>CG5</f>
        <v>50</v>
      </c>
      <c r="CH6" s="295">
        <f t="shared" si="17"/>
        <v>1161.1452764985847</v>
      </c>
      <c r="CI6" s="304">
        <f t="shared" si="18"/>
        <v>30555.555555555555</v>
      </c>
      <c r="CJ6" s="295">
        <f t="shared" si="5"/>
        <v>809722222.22222221</v>
      </c>
      <c r="CL6" s="295">
        <v>1065.5343038740307</v>
      </c>
      <c r="CM6" s="295">
        <f>CH6</f>
        <v>1161.1452764985847</v>
      </c>
      <c r="CN6" s="295">
        <f t="shared" si="19"/>
        <v>95.610972624554051</v>
      </c>
      <c r="CO6" s="294"/>
      <c r="CP6" s="304">
        <f>CP4-130</f>
        <v>1250</v>
      </c>
      <c r="CQ6" s="295">
        <f t="shared" si="20"/>
        <v>88.854723501415265</v>
      </c>
      <c r="CR6" s="296">
        <f t="shared" si="6"/>
        <v>7.1083778801132216E-2</v>
      </c>
      <c r="CS6" s="295">
        <v>1171.2725917900818</v>
      </c>
      <c r="CT6" s="295">
        <v>1216.52754935843</v>
      </c>
      <c r="CU6" s="295">
        <f t="shared" si="21"/>
        <v>45.254957568348118</v>
      </c>
      <c r="CV6" s="294"/>
      <c r="CX6" s="783">
        <f t="shared" si="22"/>
        <v>0.11108377880113231</v>
      </c>
      <c r="CY6" s="525">
        <f t="shared" si="23"/>
        <v>0.22308377880113231</v>
      </c>
      <c r="CZ6" s="294" t="s">
        <v>370</v>
      </c>
      <c r="DA6" s="542">
        <v>5</v>
      </c>
      <c r="DB6" s="295">
        <v>1065.5343038740307</v>
      </c>
      <c r="DC6" s="295">
        <v>1108.0335877948892</v>
      </c>
      <c r="DD6" s="295">
        <v>1134.590999848426</v>
      </c>
      <c r="DE6" s="295">
        <v>1171.7661794787377</v>
      </c>
      <c r="DF6" s="295">
        <f t="shared" si="7"/>
        <v>37.175179630311732</v>
      </c>
      <c r="DH6" s="294" t="s">
        <v>370</v>
      </c>
      <c r="DI6" s="542">
        <v>5</v>
      </c>
      <c r="DJ6" s="295">
        <v>1065.5343038740307</v>
      </c>
      <c r="DK6" s="295">
        <v>1134.590999848426</v>
      </c>
      <c r="DL6" s="295">
        <f t="shared" si="24"/>
        <v>69.056695974395325</v>
      </c>
      <c r="DM6" s="294"/>
      <c r="DN6" s="304">
        <f>DN4-130</f>
        <v>1250</v>
      </c>
      <c r="DO6" s="295">
        <f t="shared" ref="DO6:DO9" si="34">DN6-DK6</f>
        <v>115.40900015157399</v>
      </c>
      <c r="DP6" s="296">
        <f t="shared" si="26"/>
        <v>9.2327200121259195E-2</v>
      </c>
    </row>
    <row r="7" spans="2:120" s="284" customFormat="1" x14ac:dyDescent="0.35">
      <c r="S7" s="284">
        <v>3</v>
      </c>
      <c r="T7" s="285" t="s">
        <v>368</v>
      </c>
      <c r="U7" s="286">
        <v>0.1</v>
      </c>
      <c r="V7" s="287">
        <f>U7*$U$3</f>
        <v>1902.7282665358136</v>
      </c>
      <c r="W7" s="286">
        <v>0.9</v>
      </c>
      <c r="X7" s="287">
        <f>W7*$W$3</f>
        <v>18152.177894224213</v>
      </c>
      <c r="Y7" s="285"/>
      <c r="Z7" s="287">
        <f>Y7*$Y$3</f>
        <v>0</v>
      </c>
      <c r="AA7" s="285"/>
      <c r="AB7" s="285">
        <f>AA7*$AA$3</f>
        <v>0</v>
      </c>
      <c r="AC7" s="285"/>
      <c r="AD7" s="285">
        <f>AC7*$AC$3</f>
        <v>0</v>
      </c>
      <c r="AE7" s="285"/>
      <c r="AF7" s="285">
        <f>AE7*$AE$3</f>
        <v>0</v>
      </c>
      <c r="AG7" s="288">
        <f>U7+W7+Y7+AA7+AC7+AE7</f>
        <v>1</v>
      </c>
      <c r="AH7" s="288">
        <f>$U7*$U2*$W7*$W2+$Y7*$Y2+$AA7*$AA2+$AC7*$AC2+$AE7*$AE2</f>
        <v>5.6575555857226019E-2</v>
      </c>
      <c r="AI7" s="289">
        <f>V7+X7+Z7+AB7+AD7+AF7</f>
        <v>20054.906160760027</v>
      </c>
      <c r="AJ7" s="290">
        <f>$AJ$4*AK7</f>
        <v>30740000</v>
      </c>
      <c r="AK7" s="291">
        <v>1160</v>
      </c>
      <c r="AL7" s="284">
        <v>3</v>
      </c>
      <c r="AM7" s="292">
        <f>U7</f>
        <v>0.1</v>
      </c>
      <c r="AN7" s="292">
        <f>W7</f>
        <v>0.9</v>
      </c>
      <c r="AO7" s="293">
        <f>Y7</f>
        <v>0</v>
      </c>
      <c r="AP7" s="293">
        <f>AA7</f>
        <v>0</v>
      </c>
      <c r="AQ7" s="293">
        <f>AC7</f>
        <v>0</v>
      </c>
      <c r="AR7" s="293">
        <f>AE7</f>
        <v>0</v>
      </c>
      <c r="AS7" s="292">
        <f>SUM(AM7:AR7)</f>
        <v>1</v>
      </c>
      <c r="AU7" s="293">
        <f>AM7/AM$2</f>
        <v>2.1276595744680854E-2</v>
      </c>
      <c r="AV7" s="293">
        <f t="shared" si="31"/>
        <v>0.11538461538461538</v>
      </c>
      <c r="AW7" s="293">
        <f t="shared" si="31"/>
        <v>0</v>
      </c>
      <c r="AX7" s="293">
        <f t="shared" si="31"/>
        <v>0</v>
      </c>
      <c r="AY7" s="293">
        <f t="shared" si="31"/>
        <v>0</v>
      </c>
      <c r="AZ7" s="293">
        <f t="shared" si="31"/>
        <v>0</v>
      </c>
      <c r="BA7" s="293">
        <f>AS7/AS$2</f>
        <v>6.6666666666666666E-2</v>
      </c>
      <c r="BC7" s="291">
        <f t="shared" ref="BC7:BC11" si="35">$BC$1*BA7</f>
        <v>3666.6666666666665</v>
      </c>
      <c r="BD7" s="291">
        <f t="shared" si="32"/>
        <v>6666.666666666667</v>
      </c>
      <c r="BE7" s="291">
        <f t="shared" si="33"/>
        <v>305.55555555555554</v>
      </c>
      <c r="BF7" s="291">
        <f t="shared" si="33"/>
        <v>555.55555555555554</v>
      </c>
      <c r="BG7" s="291">
        <f>'H_Tỷ lệ HH&amp;PS'!CJ42</f>
        <v>1113.1088906437303</v>
      </c>
      <c r="BH7" s="448">
        <f t="shared" ref="BH7:BH9" si="36">BG7/$BG$6</f>
        <v>1.0212008171043399</v>
      </c>
      <c r="BI7" s="147">
        <f>'H_Tỷ lệ HH&amp;PS (-PS)'!EG54</f>
        <v>976.91279851399463</v>
      </c>
      <c r="BJ7" s="505">
        <f t="shared" si="8"/>
        <v>1.0059388869564443</v>
      </c>
      <c r="BK7" s="524">
        <f>BG7-BI7</f>
        <v>136.19609212973569</v>
      </c>
      <c r="BL7" s="166">
        <f t="shared" si="10"/>
        <v>0.12235648576211723</v>
      </c>
      <c r="BM7" s="291"/>
      <c r="BN7" s="284" t="str">
        <f>T10</f>
        <v>Hạt WSS04SB (sợi ngắn)</v>
      </c>
      <c r="BO7" s="543">
        <v>6</v>
      </c>
      <c r="BP7" s="290">
        <f>BC10+BC28</f>
        <v>7333.333333333333</v>
      </c>
      <c r="BQ7" s="290">
        <f>BD10+BD28</f>
        <v>13333.333333333334</v>
      </c>
      <c r="BR7" s="293">
        <f t="shared" si="2"/>
        <v>0.13333333333333333</v>
      </c>
      <c r="BS7" s="293">
        <f t="shared" si="4"/>
        <v>0.13333333333333333</v>
      </c>
      <c r="BT7" s="290">
        <f t="shared" si="11"/>
        <v>611.11111111111109</v>
      </c>
      <c r="BU7" s="290">
        <f t="shared" si="11"/>
        <v>1111.1111111111111</v>
      </c>
      <c r="BV7" s="302">
        <f>'[10]ZCOR0019-03.26'!$BA$66</f>
        <v>8.0272039689665509E-2</v>
      </c>
      <c r="BW7" s="109">
        <f>'[10]ZCOR0019-03.26'!$AZ$66/3*12/1000</f>
        <v>1796.5944</v>
      </c>
      <c r="BX7" s="109">
        <f>BW7/3</f>
        <v>598.86479999999995</v>
      </c>
      <c r="BY7" s="153">
        <f t="shared" si="12"/>
        <v>4.124784096168331E-2</v>
      </c>
      <c r="BZ7" s="109">
        <f>[11]Chart!$AV$9/1000</f>
        <v>681.8</v>
      </c>
      <c r="CA7" s="109">
        <f t="shared" si="13"/>
        <v>170.45</v>
      </c>
      <c r="CB7" s="199"/>
      <c r="CC7" s="109"/>
      <c r="CD7" s="199">
        <f t="shared" si="15"/>
        <v>190</v>
      </c>
      <c r="CE7" s="525">
        <f t="shared" si="16"/>
        <v>0.16282279210747841</v>
      </c>
      <c r="CF7" s="284">
        <f>CF2</f>
        <v>140</v>
      </c>
      <c r="CG7" s="284">
        <f>CG6</f>
        <v>50</v>
      </c>
      <c r="CH7" s="130">
        <f t="shared" si="17"/>
        <v>1166.9127985139946</v>
      </c>
      <c r="CI7" s="109">
        <f t="shared" si="18"/>
        <v>30555.555555555555</v>
      </c>
      <c r="CJ7" s="290">
        <f t="shared" si="5"/>
        <v>809722222.22222221</v>
      </c>
      <c r="CL7" s="290">
        <v>1066.3975545476119</v>
      </c>
      <c r="CM7" s="290">
        <f t="shared" ref="CM7:CM9" si="37">CH7</f>
        <v>1166.9127985139946</v>
      </c>
      <c r="CN7" s="290">
        <f t="shared" si="19"/>
        <v>100.51524396638274</v>
      </c>
      <c r="CP7" s="291">
        <f>CP4-130</f>
        <v>1250</v>
      </c>
      <c r="CQ7" s="290">
        <f t="shared" si="20"/>
        <v>83.08720148600537</v>
      </c>
      <c r="CR7" s="296">
        <f t="shared" si="6"/>
        <v>6.6469761188804294E-2</v>
      </c>
      <c r="CS7" s="290">
        <v>1090.8603314552352</v>
      </c>
      <c r="CT7" s="290">
        <v>1131.1668422337466</v>
      </c>
      <c r="CU7" s="290">
        <f t="shared" si="21"/>
        <v>40.306510778511438</v>
      </c>
      <c r="CX7" s="783">
        <f t="shared" si="22"/>
        <v>0.1064697611888043</v>
      </c>
      <c r="CY7" s="525">
        <f t="shared" si="23"/>
        <v>0.21846976118880429</v>
      </c>
      <c r="CZ7" s="284" t="s">
        <v>371</v>
      </c>
      <c r="DA7" s="543">
        <v>6</v>
      </c>
      <c r="DB7" s="290">
        <v>1066.3975545476119</v>
      </c>
      <c r="DC7" s="290">
        <v>1111.0709963104487</v>
      </c>
      <c r="DD7" s="290">
        <v>1138.991897412222</v>
      </c>
      <c r="DE7" s="290">
        <v>1178.0811589547038</v>
      </c>
      <c r="DF7" s="290">
        <f t="shared" si="7"/>
        <v>39.089261542481836</v>
      </c>
      <c r="DH7" s="284" t="s">
        <v>371</v>
      </c>
      <c r="DI7" s="543">
        <v>6</v>
      </c>
      <c r="DJ7" s="290">
        <v>1066.3975545476119</v>
      </c>
      <c r="DK7" s="290">
        <v>1138.991897412222</v>
      </c>
      <c r="DL7" s="290">
        <f t="shared" si="24"/>
        <v>72.594342864610098</v>
      </c>
      <c r="DN7" s="291">
        <f>DN4-130</f>
        <v>1250</v>
      </c>
      <c r="DO7" s="290">
        <f t="shared" si="34"/>
        <v>111.00810258777801</v>
      </c>
      <c r="DP7" s="296">
        <f t="shared" si="26"/>
        <v>8.8806482070222403E-2</v>
      </c>
    </row>
    <row r="8" spans="2:120" x14ac:dyDescent="0.35">
      <c r="S8">
        <v>2</v>
      </c>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2">
        <f t="shared" ref="AG8:AG11" si="38">U8+W8+Y8+AA8+AC8+AE8</f>
        <v>1</v>
      </c>
      <c r="AH8" s="122"/>
      <c r="AI8" s="167">
        <f>V8+X8+Z8+AB8+AD8+AF8</f>
        <v>19826.54538400405</v>
      </c>
      <c r="AJ8" s="130">
        <f>$AJ$4*AK8</f>
        <v>31535000</v>
      </c>
      <c r="AK8" s="130">
        <f>AK7+30</f>
        <v>1190</v>
      </c>
      <c r="AL8">
        <v>2</v>
      </c>
      <c r="AM8" s="69">
        <f>U8</f>
        <v>0.3</v>
      </c>
      <c r="AN8" s="69">
        <f>W8</f>
        <v>0.7</v>
      </c>
      <c r="AO8" s="110">
        <f>Y8</f>
        <v>0</v>
      </c>
      <c r="AP8" s="110">
        <f>AA8</f>
        <v>0</v>
      </c>
      <c r="AQ8" s="110">
        <f>AC8</f>
        <v>0</v>
      </c>
      <c r="AR8" s="110">
        <f>AE8</f>
        <v>0</v>
      </c>
      <c r="AS8" s="69">
        <f>SUM(AM8:AR8)</f>
        <v>1</v>
      </c>
      <c r="AU8" s="110">
        <f>AM8/AM$2</f>
        <v>6.3829787234042562E-2</v>
      </c>
      <c r="AV8" s="110">
        <f t="shared" si="31"/>
        <v>8.974358974358973E-2</v>
      </c>
      <c r="AW8" s="110">
        <f t="shared" si="31"/>
        <v>0</v>
      </c>
      <c r="AX8" s="110">
        <f t="shared" si="31"/>
        <v>0</v>
      </c>
      <c r="AY8" s="110">
        <f t="shared" si="31"/>
        <v>0</v>
      </c>
      <c r="AZ8" s="110">
        <f t="shared" si="31"/>
        <v>0</v>
      </c>
      <c r="BA8" s="110">
        <f>AS8/AS$2</f>
        <v>6.6666666666666666E-2</v>
      </c>
      <c r="BC8" s="109">
        <f t="shared" si="35"/>
        <v>3666.6666666666665</v>
      </c>
      <c r="BD8" s="109">
        <f t="shared" si="32"/>
        <v>6666.666666666667</v>
      </c>
      <c r="BE8" s="109">
        <f t="shared" si="33"/>
        <v>305.55555555555554</v>
      </c>
      <c r="BF8" s="109">
        <f t="shared" si="33"/>
        <v>555.55555555555554</v>
      </c>
      <c r="BG8" s="109">
        <f>'H_Tỷ lệ HH&amp;PS'!CJ44</f>
        <v>912.35859229517871</v>
      </c>
      <c r="BH8" s="448">
        <f t="shared" si="36"/>
        <v>0.83702623146346666</v>
      </c>
      <c r="BI8" s="147">
        <f>'H_Tỷ lệ HH&amp;PS (-PS)'!EG68</f>
        <v>854.10720643687739</v>
      </c>
      <c r="BJ8" s="505">
        <f t="shared" si="8"/>
        <v>0.87948448816671165</v>
      </c>
      <c r="BK8" s="524">
        <f>BG8-BI8</f>
        <v>58.251385858301319</v>
      </c>
      <c r="BL8" s="166">
        <f t="shared" si="10"/>
        <v>6.3847029391986082E-2</v>
      </c>
      <c r="BM8" s="109"/>
      <c r="BN8" s="297" t="str">
        <f>T11</f>
        <v>Vảy FPET201-Out</v>
      </c>
      <c r="BO8" s="544">
        <v>7</v>
      </c>
      <c r="BP8" s="298">
        <f>BC11+BC29</f>
        <v>7333.333333333333</v>
      </c>
      <c r="BQ8" s="298">
        <f>BD11+BD29</f>
        <v>13333.333333333334</v>
      </c>
      <c r="BR8" s="299">
        <f t="shared" si="2"/>
        <v>0.13333333333333333</v>
      </c>
      <c r="BS8" s="299">
        <f t="shared" si="4"/>
        <v>0.13333333333333333</v>
      </c>
      <c r="BT8" s="298">
        <f t="shared" si="11"/>
        <v>611.11111111111109</v>
      </c>
      <c r="BU8" s="298">
        <f t="shared" si="11"/>
        <v>1111.1111111111111</v>
      </c>
      <c r="BV8" s="297"/>
      <c r="BW8" s="503"/>
      <c r="BX8" s="297"/>
      <c r="BY8" s="723">
        <f t="shared" si="12"/>
        <v>3.9928974823571411E-2</v>
      </c>
      <c r="BZ8" s="503">
        <f>[11]Chart!$AV$10/1000</f>
        <v>660</v>
      </c>
      <c r="CA8" s="503">
        <f t="shared" si="13"/>
        <v>165</v>
      </c>
      <c r="CB8" s="199"/>
      <c r="CC8" s="503"/>
      <c r="CD8" s="199">
        <f t="shared" si="15"/>
        <v>189.99999999999989</v>
      </c>
      <c r="CE8" s="525">
        <f t="shared" si="16"/>
        <v>0.1819736506257767</v>
      </c>
      <c r="CF8" s="297">
        <f>CF2</f>
        <v>140</v>
      </c>
      <c r="CG8" s="297">
        <f>CG7</f>
        <v>50</v>
      </c>
      <c r="CH8" s="298">
        <f t="shared" si="17"/>
        <v>1044.1072064368773</v>
      </c>
      <c r="CI8" s="503">
        <f t="shared" si="18"/>
        <v>30555.555555555555</v>
      </c>
      <c r="CJ8" s="298">
        <f t="shared" si="5"/>
        <v>809722222.22222221</v>
      </c>
      <c r="CL8" s="298">
        <v>950.59037140960697</v>
      </c>
      <c r="CM8" s="298">
        <f t="shared" si="37"/>
        <v>1044.1072064368773</v>
      </c>
      <c r="CN8" s="298">
        <f t="shared" si="19"/>
        <v>93.516835027270304</v>
      </c>
      <c r="CO8" s="297"/>
      <c r="CP8" s="503">
        <f>CP4-130-CF2/2-127</f>
        <v>1053</v>
      </c>
      <c r="CQ8" s="298">
        <f t="shared" si="20"/>
        <v>8.8927935631227228</v>
      </c>
      <c r="CR8" s="296">
        <f t="shared" si="6"/>
        <v>8.4451980656436113E-3</v>
      </c>
      <c r="CS8" s="298">
        <v>957.61638694600788</v>
      </c>
      <c r="CT8" s="298">
        <v>997.56536441220032</v>
      </c>
      <c r="CU8" s="298">
        <f t="shared" si="21"/>
        <v>39.948977466192446</v>
      </c>
      <c r="CV8" s="297"/>
      <c r="CX8" s="783">
        <f t="shared" si="22"/>
        <v>5.5928578882357652E-2</v>
      </c>
      <c r="CY8" s="525">
        <f t="shared" si="23"/>
        <v>0.18888204516915727</v>
      </c>
      <c r="CZ8" s="297" t="s">
        <v>373</v>
      </c>
      <c r="DA8" s="544">
        <v>7</v>
      </c>
      <c r="DB8" s="298">
        <v>950.59037140960697</v>
      </c>
      <c r="DC8" s="298">
        <v>992.15340919950495</v>
      </c>
      <c r="DD8" s="298">
        <v>1018.1303078181913</v>
      </c>
      <c r="DE8" s="298">
        <v>1054.4979658843517</v>
      </c>
      <c r="DF8" s="298">
        <f t="shared" si="7"/>
        <v>36.367658066160402</v>
      </c>
      <c r="DH8" s="297" t="s">
        <v>373</v>
      </c>
      <c r="DI8" s="544">
        <v>7</v>
      </c>
      <c r="DJ8" s="298">
        <v>950.59037140960697</v>
      </c>
      <c r="DK8" s="298">
        <v>1018.1303078181913</v>
      </c>
      <c r="DL8" s="298">
        <f t="shared" si="24"/>
        <v>67.539936408584367</v>
      </c>
      <c r="DM8" s="297"/>
      <c r="DN8" s="503">
        <f>CP8</f>
        <v>1053</v>
      </c>
      <c r="DO8" s="298">
        <f>DN8-DK8</f>
        <v>34.869692181808659</v>
      </c>
      <c r="DP8" s="296">
        <f t="shared" si="26"/>
        <v>3.3114617456608417E-2</v>
      </c>
    </row>
    <row r="9" spans="2:120" x14ac:dyDescent="0.35">
      <c r="S9">
        <v>5</v>
      </c>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38"/>
        <v>1</v>
      </c>
      <c r="AH9" s="122"/>
      <c r="AI9" s="167">
        <f>V9+X9+Z9+AB9+AD9+AF9</f>
        <v>19112.177744792491</v>
      </c>
      <c r="AJ9" s="130">
        <f>$AJ$4*AK9</f>
        <v>28885000</v>
      </c>
      <c r="AK9" s="130">
        <f>AK7-70</f>
        <v>1090</v>
      </c>
      <c r="AL9">
        <v>5</v>
      </c>
      <c r="AM9" s="69">
        <f>U9</f>
        <v>0.55000000000000004</v>
      </c>
      <c r="AN9" s="69">
        <f>W9</f>
        <v>0.3</v>
      </c>
      <c r="AO9" s="110">
        <f>Y9</f>
        <v>0.15</v>
      </c>
      <c r="AP9" s="110">
        <f>AA9</f>
        <v>0</v>
      </c>
      <c r="AQ9" s="110">
        <f>AC9</f>
        <v>0</v>
      </c>
      <c r="AR9" s="110">
        <f>AE9</f>
        <v>0</v>
      </c>
      <c r="AS9" s="69">
        <f>SUM(AM9:AR9)</f>
        <v>1</v>
      </c>
      <c r="AU9" s="110">
        <f>AM9/AM$2</f>
        <v>0.11702127659574471</v>
      </c>
      <c r="AV9" s="110">
        <f t="shared" si="31"/>
        <v>3.8461538461538457E-2</v>
      </c>
      <c r="AW9" s="110">
        <f t="shared" si="31"/>
        <v>0.37499999999999994</v>
      </c>
      <c r="AX9" s="110">
        <f t="shared" si="31"/>
        <v>0</v>
      </c>
      <c r="AY9" s="110">
        <f t="shared" si="31"/>
        <v>0</v>
      </c>
      <c r="AZ9" s="110">
        <f t="shared" si="31"/>
        <v>0</v>
      </c>
      <c r="BA9" s="110">
        <f t="shared" si="31"/>
        <v>6.6666666666666666E-2</v>
      </c>
      <c r="BC9" s="109">
        <f t="shared" si="35"/>
        <v>3666.6666666666665</v>
      </c>
      <c r="BD9" s="109">
        <f t="shared" si="32"/>
        <v>6666.666666666667</v>
      </c>
      <c r="BE9" s="109">
        <f t="shared" si="33"/>
        <v>305.55555555555554</v>
      </c>
      <c r="BF9" s="109">
        <f t="shared" si="33"/>
        <v>555.55555555555554</v>
      </c>
      <c r="BG9" s="109">
        <v>800</v>
      </c>
      <c r="BH9" s="448">
        <f t="shared" si="36"/>
        <v>0.73394495412844041</v>
      </c>
      <c r="BI9" s="147">
        <f>'H_Tỷ lệ HH&amp;PS (-PS)'!AQ69</f>
        <v>909.67929538795534</v>
      </c>
      <c r="BJ9" s="505">
        <f t="shared" si="8"/>
        <v>0.93670773817462016</v>
      </c>
      <c r="BK9" s="524">
        <f>BG9-BI9</f>
        <v>-109.67929538795534</v>
      </c>
      <c r="BL9" s="166">
        <f t="shared" si="10"/>
        <v>-0.13709911923494417</v>
      </c>
      <c r="BM9" s="109"/>
      <c r="BN9" t="str">
        <f>T33</f>
        <v>Dây Đai</v>
      </c>
      <c r="BO9" s="65">
        <v>8</v>
      </c>
      <c r="BP9" s="130">
        <f>BC33</f>
        <v>3666.6666666666665</v>
      </c>
      <c r="BQ9" s="130">
        <f>BD33</f>
        <v>6666.666666666667</v>
      </c>
      <c r="BR9" s="110">
        <f t="shared" si="2"/>
        <v>6.6666666666666666E-2</v>
      </c>
      <c r="BS9" s="110">
        <f t="shared" si="4"/>
        <v>6.6666666666666666E-2</v>
      </c>
      <c r="BT9" s="130">
        <f t="shared" si="11"/>
        <v>305.55555555555554</v>
      </c>
      <c r="BU9" s="130">
        <f t="shared" si="11"/>
        <v>555.55555555555554</v>
      </c>
      <c r="BW9" s="109"/>
      <c r="BY9" s="153">
        <f t="shared" si="12"/>
        <v>9.4135583068904703E-3</v>
      </c>
      <c r="BZ9" s="109">
        <f>[11]Chart!$AV$11/1000</f>
        <v>155.6</v>
      </c>
      <c r="CA9" s="109">
        <f t="shared" si="13"/>
        <v>38.9</v>
      </c>
      <c r="CB9" s="199"/>
      <c r="CC9" s="109"/>
      <c r="CD9" s="199">
        <f t="shared" si="15"/>
        <v>190</v>
      </c>
      <c r="CE9" s="525">
        <f t="shared" si="16"/>
        <v>0.17277764598902445</v>
      </c>
      <c r="CF9">
        <f>CF2</f>
        <v>140</v>
      </c>
      <c r="CG9">
        <v>50</v>
      </c>
      <c r="CH9" s="130">
        <f t="shared" si="17"/>
        <v>1099.6792953879553</v>
      </c>
      <c r="CI9" s="109">
        <f t="shared" si="18"/>
        <v>15277.777777777777</v>
      </c>
      <c r="CJ9" s="130">
        <f t="shared" si="5"/>
        <v>404861111.1111111</v>
      </c>
      <c r="CL9" s="290">
        <v>1016.5795952604556</v>
      </c>
      <c r="CM9" s="290">
        <f t="shared" si="37"/>
        <v>1099.6792953879553</v>
      </c>
      <c r="CN9" s="290">
        <f t="shared" si="19"/>
        <v>83.099700127499773</v>
      </c>
      <c r="CO9" s="284"/>
      <c r="CP9" s="291">
        <f>CP4-130</f>
        <v>1250</v>
      </c>
      <c r="CQ9" s="290">
        <f t="shared" si="20"/>
        <v>150.32070461204466</v>
      </c>
      <c r="CR9" s="296">
        <f t="shared" si="6"/>
        <v>0.12025656368963573</v>
      </c>
      <c r="CS9" s="290">
        <v>893.61542527672191</v>
      </c>
      <c r="CT9" s="290">
        <v>922.98159948823559</v>
      </c>
      <c r="CU9" s="290">
        <f t="shared" si="21"/>
        <v>29.36617421151368</v>
      </c>
      <c r="CV9" s="284"/>
      <c r="CX9" s="783">
        <f t="shared" si="22"/>
        <v>0.16025656368963573</v>
      </c>
      <c r="CY9" s="525">
        <f t="shared" si="23"/>
        <v>0.27225656368963574</v>
      </c>
      <c r="CZ9" t="s">
        <v>381</v>
      </c>
      <c r="DA9" s="65">
        <v>8</v>
      </c>
      <c r="DB9" s="290">
        <v>1016.5795952604556</v>
      </c>
      <c r="DC9" s="290">
        <v>1053.5127953171223</v>
      </c>
      <c r="DD9" s="290">
        <v>1076.5960453525388</v>
      </c>
      <c r="DE9" s="290">
        <v>1108.912595402122</v>
      </c>
      <c r="DF9" s="290">
        <f t="shared" si="7"/>
        <v>32.316550049583157</v>
      </c>
      <c r="DH9" t="s">
        <v>381</v>
      </c>
      <c r="DI9" s="65">
        <v>8</v>
      </c>
      <c r="DJ9" s="290">
        <v>1016.5795952604556</v>
      </c>
      <c r="DK9" s="290">
        <v>1076.5960453525388</v>
      </c>
      <c r="DL9" s="290">
        <f t="shared" si="24"/>
        <v>60.016450092083232</v>
      </c>
      <c r="DM9" s="284"/>
      <c r="DN9" s="291">
        <f>DN4-130</f>
        <v>1250</v>
      </c>
      <c r="DO9" s="290">
        <f t="shared" si="34"/>
        <v>173.40395464746121</v>
      </c>
      <c r="DP9" s="296">
        <f t="shared" si="26"/>
        <v>0.13872316371796897</v>
      </c>
    </row>
    <row r="10" spans="2:120" x14ac:dyDescent="0.35">
      <c r="S10">
        <v>6</v>
      </c>
      <c r="T10" s="117" t="s">
        <v>962</v>
      </c>
      <c r="U10" s="118">
        <v>0.95</v>
      </c>
      <c r="V10" s="134">
        <f>U10*$U$3</f>
        <v>18075.918532090229</v>
      </c>
      <c r="W10" s="261"/>
      <c r="X10" s="263">
        <f>W10*$W$3</f>
        <v>0</v>
      </c>
      <c r="Y10" s="117"/>
      <c r="Z10" s="134">
        <f>Y10*$Y$3</f>
        <v>0</v>
      </c>
      <c r="AA10" s="261">
        <v>0.05</v>
      </c>
      <c r="AB10" s="262">
        <f>AA10*$AA$3</f>
        <v>777.76432381947461</v>
      </c>
      <c r="AC10" s="117"/>
      <c r="AD10" s="117">
        <f>AC10*$AC$3</f>
        <v>0</v>
      </c>
      <c r="AE10" s="117"/>
      <c r="AF10" s="117">
        <f>AE10*$AE$3</f>
        <v>0</v>
      </c>
      <c r="AG10" s="122">
        <f t="shared" si="38"/>
        <v>1</v>
      </c>
      <c r="AH10" s="122"/>
      <c r="AI10" s="167">
        <f>V10+X10+Z10+AB10+AD10+AF10</f>
        <v>18853.682855909705</v>
      </c>
      <c r="AJ10" s="130">
        <f>$AJ$4*AK10</f>
        <v>19080000</v>
      </c>
      <c r="AK10" s="130">
        <v>720</v>
      </c>
      <c r="AL10">
        <v>6</v>
      </c>
      <c r="AM10" s="69">
        <f>U10</f>
        <v>0.95</v>
      </c>
      <c r="AN10" s="69">
        <f>W10</f>
        <v>0</v>
      </c>
      <c r="AO10" s="110">
        <f>Y10</f>
        <v>0</v>
      </c>
      <c r="AP10" s="110">
        <f>AA10</f>
        <v>0.05</v>
      </c>
      <c r="AQ10" s="110">
        <f>AC10</f>
        <v>0</v>
      </c>
      <c r="AR10" s="110">
        <f>AE10</f>
        <v>0</v>
      </c>
      <c r="AS10" s="69">
        <f>SUM(AM10:AR10)</f>
        <v>1</v>
      </c>
      <c r="AU10" s="110">
        <f>AM10/AM$2</f>
        <v>0.2021276595744681</v>
      </c>
      <c r="AV10" s="110">
        <f t="shared" si="31"/>
        <v>0</v>
      </c>
      <c r="AW10" s="110">
        <f t="shared" si="31"/>
        <v>0</v>
      </c>
      <c r="AX10" s="110">
        <f t="shared" si="31"/>
        <v>0.05</v>
      </c>
      <c r="AY10" s="110">
        <f t="shared" si="31"/>
        <v>0</v>
      </c>
      <c r="AZ10" s="110">
        <f t="shared" si="31"/>
        <v>0</v>
      </c>
      <c r="BA10" s="110">
        <f t="shared" si="31"/>
        <v>6.6666666666666666E-2</v>
      </c>
      <c r="BC10" s="109">
        <f t="shared" si="35"/>
        <v>3666.6666666666665</v>
      </c>
      <c r="BD10" s="109">
        <f t="shared" si="32"/>
        <v>6666.666666666667</v>
      </c>
      <c r="BE10" s="109">
        <f t="shared" si="33"/>
        <v>305.55555555555554</v>
      </c>
      <c r="BF10" s="109">
        <f t="shared" si="33"/>
        <v>555.55555555555554</v>
      </c>
      <c r="BG10" s="109"/>
      <c r="BH10" s="109"/>
      <c r="BI10" s="109"/>
      <c r="BJ10" s="109"/>
      <c r="BK10" s="526">
        <f>AVERAGE(BK2:BK9)</f>
        <v>105.41683388954738</v>
      </c>
      <c r="BL10" s="527">
        <f>AVERAGE(BL2:BL9)</f>
        <v>8.7407730226317287E-2</v>
      </c>
      <c r="BM10" s="109"/>
      <c r="BP10" s="205">
        <f t="shared" ref="BP10:BQ10" si="39">SUM(BP2:BP9)</f>
        <v>55000</v>
      </c>
      <c r="BQ10" s="205">
        <f t="shared" si="39"/>
        <v>100000</v>
      </c>
      <c r="BT10" s="205">
        <f>SUM(BT2:BT9)</f>
        <v>4583.3333333333339</v>
      </c>
      <c r="BU10" s="205">
        <f>SUM(BU2:BU9)</f>
        <v>8333.3333333333339</v>
      </c>
      <c r="BW10" s="205">
        <f>SUM(BW2:BW9)</f>
        <v>18460.262000000002</v>
      </c>
      <c r="BX10" s="205">
        <f>SUM(BX2:BX9)</f>
        <v>6153.4206666666669</v>
      </c>
      <c r="BY10" s="721">
        <f t="shared" si="12"/>
        <v>1</v>
      </c>
      <c r="BZ10" s="205">
        <f t="shared" ref="BZ10:CC10" si="40">SUM(BZ2:BZ9)</f>
        <v>16529.349999999999</v>
      </c>
      <c r="CA10" s="205">
        <f t="shared" si="40"/>
        <v>4132.3374999999996</v>
      </c>
      <c r="CB10" s="205">
        <f t="shared" si="40"/>
        <v>1081.9861111111113</v>
      </c>
      <c r="CC10" s="205">
        <f t="shared" si="40"/>
        <v>1188.9957264957266</v>
      </c>
      <c r="CD10" s="205"/>
      <c r="CE10" s="547">
        <f>AVERAGE(CE2:CE9)</f>
        <v>0.16931059352542649</v>
      </c>
      <c r="CF10" s="552">
        <f>CG10/CH10</f>
        <v>5.0041881797963747E-2</v>
      </c>
      <c r="CG10" s="523">
        <f>AVERAGE(CG2:CG9)</f>
        <v>58.75</v>
      </c>
      <c r="CH10" s="523">
        <f>AVERAGE(CH2:CH9)</f>
        <v>1174.0166014778165</v>
      </c>
      <c r="CI10" s="523">
        <f>SUM(CI2:CI9)</f>
        <v>256666.66666666669</v>
      </c>
      <c r="CJ10" s="523">
        <f t="shared" si="5"/>
        <v>6801666666.666667</v>
      </c>
      <c r="CX10" s="782">
        <f>AVERAGE(CX2:CX9)</f>
        <v>0.13664079920795197</v>
      </c>
      <c r="CY10" s="547">
        <f>AVERAGE(CY2:CY9)</f>
        <v>0.24561602996253837</v>
      </c>
    </row>
    <row r="11" spans="2:120" x14ac:dyDescent="0.35">
      <c r="S11">
        <v>7</v>
      </c>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38"/>
        <v>1</v>
      </c>
      <c r="AH11" s="122"/>
      <c r="AI11" s="167">
        <f>V11+X11+Z11+AB11+AD11+AF11</f>
        <v>18504.154010131388</v>
      </c>
      <c r="AJ11" s="130">
        <f>$AJ$4*AK11</f>
        <v>20140000</v>
      </c>
      <c r="AK11" s="130">
        <v>760</v>
      </c>
      <c r="AL11">
        <v>7</v>
      </c>
      <c r="AM11" s="69">
        <f>U11</f>
        <v>0.65</v>
      </c>
      <c r="AN11" s="69">
        <f>W11</f>
        <v>0.15</v>
      </c>
      <c r="AO11" s="110">
        <f>Y11</f>
        <v>0</v>
      </c>
      <c r="AP11" s="110">
        <f>AA11</f>
        <v>0.2</v>
      </c>
      <c r="AQ11" s="110">
        <f>AC11</f>
        <v>0</v>
      </c>
      <c r="AR11" s="110">
        <f>AE11</f>
        <v>0</v>
      </c>
      <c r="AS11" s="69">
        <f>SUM(AM11:AR11)</f>
        <v>1</v>
      </c>
      <c r="AU11" s="110">
        <f>AM11/AM$2</f>
        <v>0.13829787234042556</v>
      </c>
      <c r="AV11" s="110">
        <f t="shared" si="31"/>
        <v>1.9230769230769228E-2</v>
      </c>
      <c r="AW11" s="110">
        <f t="shared" si="31"/>
        <v>0</v>
      </c>
      <c r="AX11" s="110">
        <f t="shared" si="31"/>
        <v>0.2</v>
      </c>
      <c r="AY11" s="110">
        <f t="shared" si="31"/>
        <v>0</v>
      </c>
      <c r="AZ11" s="110">
        <f t="shared" si="31"/>
        <v>0</v>
      </c>
      <c r="BA11" s="110">
        <f t="shared" si="31"/>
        <v>6.6666666666666666E-2</v>
      </c>
      <c r="BC11" s="109">
        <f t="shared" si="35"/>
        <v>3666.6666666666665</v>
      </c>
      <c r="BD11" s="109">
        <f t="shared" si="32"/>
        <v>6666.666666666667</v>
      </c>
      <c r="BE11" s="109">
        <f t="shared" si="33"/>
        <v>305.55555555555554</v>
      </c>
      <c r="BF11" s="109">
        <f t="shared" si="33"/>
        <v>555.55555555555554</v>
      </c>
      <c r="BG11" s="109"/>
      <c r="BH11" s="109"/>
      <c r="BI11" s="789">
        <f>+SUMPRODUCT(BR2:BR9,BI2:BI9)</f>
        <v>975.90409324764266</v>
      </c>
      <c r="BJ11" s="109"/>
      <c r="BK11" s="109"/>
      <c r="BL11" s="109"/>
      <c r="BM11" s="109"/>
      <c r="CE11" s="525">
        <f>+SUMPRODUCT(BR2:BR9,CE2:CE9)</f>
        <v>0.16738006629142169</v>
      </c>
      <c r="CF11" s="153">
        <f>CG11/CH11</f>
        <v>4.7785480332959533E-2</v>
      </c>
      <c r="CG11" s="109">
        <f>SUMPRODUCT(BR2:BR9,CG2:CG9)</f>
        <v>56</v>
      </c>
      <c r="CH11" s="109">
        <f>+SUMPRODUCT(BR2:BR9,CH2:CH9)</f>
        <v>1171.9040932476425</v>
      </c>
      <c r="CY11" s="525">
        <f>+SUMPRODUCT(BR2:BR9,CY2:CY9)</f>
        <v>0.24588095832290319</v>
      </c>
    </row>
    <row r="12" spans="2:120" ht="9" customHeight="1" x14ac:dyDescent="0.35">
      <c r="AI12" s="121">
        <v>20601</v>
      </c>
      <c r="BO12" s="548" t="s">
        <v>711</v>
      </c>
    </row>
    <row r="13" spans="2:120" hidden="1" x14ac:dyDescent="0.35">
      <c r="AI13" s="196">
        <f>AI12-AI11</f>
        <v>2096.8459898686124</v>
      </c>
      <c r="BN13" t="s">
        <v>706</v>
      </c>
      <c r="BO13" s="65">
        <v>100</v>
      </c>
    </row>
    <row r="14" spans="2:120" x14ac:dyDescent="0.35">
      <c r="T14" s="119" t="s">
        <v>387</v>
      </c>
      <c r="W14" s="116" t="s">
        <v>48</v>
      </c>
      <c r="AG14" s="126">
        <v>0.53</v>
      </c>
      <c r="AH14" s="126"/>
      <c r="AM14" s="188">
        <f t="shared" ref="AM14:AS14" si="41">SUM(AM15:AM18)</f>
        <v>0</v>
      </c>
      <c r="AN14" s="188">
        <f t="shared" si="41"/>
        <v>4</v>
      </c>
      <c r="AO14" s="188">
        <f t="shared" si="41"/>
        <v>0</v>
      </c>
      <c r="AP14" s="188">
        <f t="shared" si="41"/>
        <v>0</v>
      </c>
      <c r="AQ14" s="188">
        <f t="shared" si="41"/>
        <v>0</v>
      </c>
      <c r="AR14" s="188">
        <f t="shared" si="41"/>
        <v>0</v>
      </c>
      <c r="AS14" s="188">
        <f t="shared" si="41"/>
        <v>4</v>
      </c>
      <c r="AU14" s="188">
        <f t="shared" ref="AU14:BA18" si="42">AM14/AM$2</f>
        <v>0</v>
      </c>
      <c r="AV14" s="188">
        <f t="shared" si="42"/>
        <v>0.51282051282051277</v>
      </c>
      <c r="AW14" s="188">
        <f t="shared" si="42"/>
        <v>0</v>
      </c>
      <c r="AX14" s="188">
        <f t="shared" si="42"/>
        <v>0</v>
      </c>
      <c r="AY14" s="188">
        <f t="shared" si="42"/>
        <v>0</v>
      </c>
      <c r="AZ14" s="188">
        <f t="shared" si="42"/>
        <v>0</v>
      </c>
      <c r="BA14" s="188">
        <f t="shared" si="42"/>
        <v>0.26666666666666666</v>
      </c>
      <c r="BC14" s="275">
        <f>$BC$1*BA14</f>
        <v>14666.666666666666</v>
      </c>
      <c r="BD14" s="275">
        <f>$BD$1*BA14</f>
        <v>26666.666666666668</v>
      </c>
      <c r="BE14" s="196">
        <f t="shared" ref="BE14:BF18" si="43">BC14/12</f>
        <v>1222.2222222222222</v>
      </c>
      <c r="BF14" s="196">
        <f t="shared" si="43"/>
        <v>2222.2222222222222</v>
      </c>
      <c r="BG14" s="275"/>
      <c r="BH14" s="275"/>
      <c r="BI14" s="275"/>
      <c r="BJ14" s="275"/>
      <c r="BK14" s="275"/>
      <c r="BL14" s="275"/>
      <c r="BM14" s="275"/>
      <c r="BN14" t="s">
        <v>707</v>
      </c>
      <c r="BO14" s="65">
        <v>90</v>
      </c>
    </row>
    <row r="15" spans="2:120" x14ac:dyDescent="0.35">
      <c r="S15">
        <v>3</v>
      </c>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G18" si="44">U15+W15+Y15+AA15+AC15+AE15</f>
        <v>1</v>
      </c>
      <c r="AH15" s="122"/>
      <c r="AI15" s="167">
        <f>V15+X15+Z15+AB15+AD15+AF15</f>
        <v>20169.086549138014</v>
      </c>
      <c r="AJ15" s="130">
        <f>$AJ$4*AK15</f>
        <v>30740000</v>
      </c>
      <c r="AK15" s="130">
        <f>AK7</f>
        <v>1160</v>
      </c>
      <c r="AL15">
        <v>3</v>
      </c>
      <c r="AM15" s="69">
        <f>U15</f>
        <v>0</v>
      </c>
      <c r="AN15" s="69">
        <f>W15</f>
        <v>1</v>
      </c>
      <c r="AO15" s="110">
        <f>Y15</f>
        <v>0</v>
      </c>
      <c r="AP15" s="110">
        <f>AA15</f>
        <v>0</v>
      </c>
      <c r="AQ15" s="110">
        <f>AC15</f>
        <v>0</v>
      </c>
      <c r="AR15" s="110">
        <f>AE15</f>
        <v>0</v>
      </c>
      <c r="AS15" s="69">
        <f>SUM(AM15:AR15)</f>
        <v>1</v>
      </c>
      <c r="AU15" s="110">
        <f t="shared" si="42"/>
        <v>0</v>
      </c>
      <c r="AV15" s="110">
        <f t="shared" si="42"/>
        <v>0.12820512820512819</v>
      </c>
      <c r="AW15" s="110">
        <f t="shared" si="42"/>
        <v>0</v>
      </c>
      <c r="AX15" s="110">
        <f t="shared" si="42"/>
        <v>0</v>
      </c>
      <c r="AY15" s="110">
        <f t="shared" si="42"/>
        <v>0</v>
      </c>
      <c r="AZ15" s="110">
        <f t="shared" si="42"/>
        <v>0</v>
      </c>
      <c r="BA15" s="110">
        <f t="shared" si="42"/>
        <v>6.6666666666666666E-2</v>
      </c>
      <c r="BC15" s="109">
        <f>$BC$1*BA15</f>
        <v>3666.6666666666665</v>
      </c>
      <c r="BD15" s="109">
        <f>$BD$1*BA15</f>
        <v>6666.666666666667</v>
      </c>
      <c r="BE15" s="291">
        <f t="shared" si="43"/>
        <v>305.55555555555554</v>
      </c>
      <c r="BF15" s="291">
        <f t="shared" si="43"/>
        <v>555.55555555555554</v>
      </c>
      <c r="BG15" s="109"/>
      <c r="BH15" s="109"/>
      <c r="BI15" s="109"/>
      <c r="BJ15" s="109"/>
      <c r="BK15" s="109"/>
      <c r="BL15" s="109"/>
      <c r="BM15" s="109"/>
      <c r="BN15" t="s">
        <v>708</v>
      </c>
      <c r="BO15" s="65">
        <v>80</v>
      </c>
    </row>
    <row r="16" spans="2:120" x14ac:dyDescent="0.35">
      <c r="S16">
        <v>2</v>
      </c>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44"/>
        <v>1</v>
      </c>
      <c r="AH16" s="122"/>
      <c r="AI16" s="167">
        <f>V16+X16+Z16+AB16+AD16+AF16</f>
        <v>20169.086549138014</v>
      </c>
      <c r="AJ16" s="130">
        <f>$AJ$4*AK16</f>
        <v>31535000</v>
      </c>
      <c r="AK16" s="130">
        <f>AK7+30</f>
        <v>1190</v>
      </c>
      <c r="AL16">
        <v>2</v>
      </c>
      <c r="AM16" s="69">
        <f>U16</f>
        <v>0</v>
      </c>
      <c r="AN16" s="69">
        <f>W16</f>
        <v>1</v>
      </c>
      <c r="AO16" s="110">
        <f>Y16</f>
        <v>0</v>
      </c>
      <c r="AP16" s="110">
        <f>AA16</f>
        <v>0</v>
      </c>
      <c r="AQ16" s="110">
        <f>AC16</f>
        <v>0</v>
      </c>
      <c r="AR16" s="110">
        <f>AE16</f>
        <v>0</v>
      </c>
      <c r="AS16" s="69">
        <f>SUM(AM16:AR16)</f>
        <v>1</v>
      </c>
      <c r="AU16" s="110">
        <f t="shared" si="42"/>
        <v>0</v>
      </c>
      <c r="AV16" s="110">
        <f t="shared" si="42"/>
        <v>0.12820512820512819</v>
      </c>
      <c r="AW16" s="110">
        <f t="shared" si="42"/>
        <v>0</v>
      </c>
      <c r="AX16" s="110">
        <f t="shared" si="42"/>
        <v>0</v>
      </c>
      <c r="AY16" s="110">
        <f t="shared" si="42"/>
        <v>0</v>
      </c>
      <c r="AZ16" s="110">
        <f t="shared" si="42"/>
        <v>0</v>
      </c>
      <c r="BA16" s="110">
        <f t="shared" si="42"/>
        <v>6.6666666666666666E-2</v>
      </c>
      <c r="BC16" s="109">
        <f>$BC$1*BA16</f>
        <v>3666.6666666666665</v>
      </c>
      <c r="BD16" s="109">
        <f>$BD$1*BA16</f>
        <v>6666.666666666667</v>
      </c>
      <c r="BE16" s="109">
        <f t="shared" si="43"/>
        <v>305.55555555555554</v>
      </c>
      <c r="BF16" s="109">
        <f t="shared" si="43"/>
        <v>555.55555555555554</v>
      </c>
      <c r="BG16" s="109"/>
      <c r="BH16" s="109"/>
      <c r="BI16" s="109"/>
      <c r="BJ16" s="109"/>
      <c r="BK16" s="109"/>
      <c r="BL16" s="109"/>
      <c r="BM16" s="109"/>
      <c r="BN16" t="s">
        <v>709</v>
      </c>
      <c r="BO16" s="65">
        <v>70</v>
      </c>
    </row>
    <row r="17" spans="19:104" x14ac:dyDescent="0.35">
      <c r="S17">
        <v>1</v>
      </c>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44"/>
        <v>1</v>
      </c>
      <c r="AH17" s="122"/>
      <c r="AI17" s="167">
        <f>V17+X17+Z17+AB17+AD17+AF17</f>
        <v>20169.086549138014</v>
      </c>
      <c r="AJ17" s="130">
        <f>$AJ$4*AK17</f>
        <v>33125000</v>
      </c>
      <c r="AK17" s="130">
        <f>AK7+90</f>
        <v>1250</v>
      </c>
      <c r="AL17">
        <v>1</v>
      </c>
      <c r="AM17" s="69">
        <f>U17</f>
        <v>0</v>
      </c>
      <c r="AN17" s="69">
        <f>W17</f>
        <v>1</v>
      </c>
      <c r="AO17" s="110">
        <f>Y17</f>
        <v>0</v>
      </c>
      <c r="AP17" s="110">
        <f>AA17</f>
        <v>0</v>
      </c>
      <c r="AQ17" s="110">
        <f>AC17</f>
        <v>0</v>
      </c>
      <c r="AR17" s="110">
        <f>AE17</f>
        <v>0</v>
      </c>
      <c r="AS17" s="69">
        <f>SUM(AM17:AR17)</f>
        <v>1</v>
      </c>
      <c r="AU17" s="110">
        <f t="shared" si="42"/>
        <v>0</v>
      </c>
      <c r="AV17" s="110">
        <f t="shared" si="42"/>
        <v>0.12820512820512819</v>
      </c>
      <c r="AW17" s="110">
        <f t="shared" si="42"/>
        <v>0</v>
      </c>
      <c r="AX17" s="110">
        <f t="shared" si="42"/>
        <v>0</v>
      </c>
      <c r="AY17" s="110">
        <f t="shared" si="42"/>
        <v>0</v>
      </c>
      <c r="AZ17" s="110">
        <f t="shared" si="42"/>
        <v>0</v>
      </c>
      <c r="BA17" s="110">
        <f t="shared" si="42"/>
        <v>6.6666666666666666E-2</v>
      </c>
      <c r="BC17" s="199">
        <f>$BC$1*BA17</f>
        <v>3666.6666666666665</v>
      </c>
      <c r="BD17" s="199">
        <f>$BD$1*BA17</f>
        <v>6666.666666666667</v>
      </c>
      <c r="BE17" s="199">
        <f t="shared" si="43"/>
        <v>305.55555555555554</v>
      </c>
      <c r="BF17" s="199">
        <f t="shared" si="43"/>
        <v>555.55555555555554</v>
      </c>
      <c r="BG17" s="199"/>
      <c r="BH17" s="199"/>
      <c r="BI17" s="199">
        <f>1012-882</f>
        <v>130</v>
      </c>
      <c r="BJ17" s="199"/>
      <c r="BK17" s="199"/>
      <c r="BL17" s="199"/>
      <c r="BM17" s="199"/>
      <c r="BN17" t="s">
        <v>710</v>
      </c>
      <c r="BO17" s="65">
        <v>50</v>
      </c>
    </row>
    <row r="18" spans="19:104" x14ac:dyDescent="0.35">
      <c r="S18">
        <v>4</v>
      </c>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44"/>
        <v>1</v>
      </c>
      <c r="AH18" s="122"/>
      <c r="AI18" s="167">
        <f>V18+X18+Z18+AB18+AD18+AF18</f>
        <v>20169.086549138014</v>
      </c>
      <c r="AJ18" s="130">
        <f>$AJ$4*AK18</f>
        <v>29945000</v>
      </c>
      <c r="AK18" s="130">
        <f>AK7-30</f>
        <v>1130</v>
      </c>
      <c r="AL18">
        <v>4</v>
      </c>
      <c r="AM18" s="69">
        <f>U18</f>
        <v>0</v>
      </c>
      <c r="AN18" s="69">
        <f>W18</f>
        <v>1</v>
      </c>
      <c r="AO18" s="110">
        <f>Y18</f>
        <v>0</v>
      </c>
      <c r="AP18" s="110">
        <f>AA18</f>
        <v>0</v>
      </c>
      <c r="AQ18" s="110">
        <f>AC18</f>
        <v>0</v>
      </c>
      <c r="AR18" s="110">
        <f>AE18</f>
        <v>0</v>
      </c>
      <c r="AS18" s="69">
        <f>SUM(AM18:AR18)</f>
        <v>1</v>
      </c>
      <c r="AU18" s="110">
        <f t="shared" si="42"/>
        <v>0</v>
      </c>
      <c r="AV18" s="110">
        <f t="shared" si="42"/>
        <v>0.12820512820512819</v>
      </c>
      <c r="AW18" s="110">
        <f t="shared" si="42"/>
        <v>0</v>
      </c>
      <c r="AX18" s="110">
        <f t="shared" si="42"/>
        <v>0</v>
      </c>
      <c r="AY18" s="110">
        <f t="shared" si="42"/>
        <v>0</v>
      </c>
      <c r="AZ18" s="110">
        <f t="shared" si="42"/>
        <v>0</v>
      </c>
      <c r="BA18" s="110">
        <f t="shared" si="42"/>
        <v>6.6666666666666666E-2</v>
      </c>
      <c r="BC18" s="109">
        <f>$BC$1*BA18</f>
        <v>3666.6666666666665</v>
      </c>
      <c r="BD18" s="109">
        <f>$BD$1*BA18</f>
        <v>6666.666666666667</v>
      </c>
      <c r="BE18" s="109">
        <f t="shared" si="43"/>
        <v>305.55555555555554</v>
      </c>
      <c r="BF18" s="109">
        <f t="shared" si="43"/>
        <v>555.55555555555554</v>
      </c>
      <c r="BG18" s="109"/>
      <c r="BH18" s="109"/>
      <c r="BI18" s="109"/>
      <c r="BJ18" s="109"/>
      <c r="BK18" s="109"/>
      <c r="BL18" s="109"/>
      <c r="BM18" s="109"/>
    </row>
    <row r="19" spans="19:104" hidden="1" outlineLevel="1" x14ac:dyDescent="0.35">
      <c r="BC19" s="109"/>
      <c r="BD19" s="109"/>
      <c r="BE19" s="109"/>
      <c r="BF19" s="109"/>
      <c r="BG19" s="109"/>
      <c r="BH19" s="109"/>
      <c r="BI19" s="147">
        <f>'H_Tỷ lệ HH&amp;PS'!CC39</f>
        <v>968.66818397975226</v>
      </c>
      <c r="BJ19" s="109"/>
      <c r="BK19" s="109"/>
      <c r="BL19" s="109"/>
      <c r="BM19" s="109"/>
      <c r="BN19" t="str">
        <f>'H_Tỷ lệ HH&amp;PS'!BU39</f>
        <v>Hạt WSS03NC</v>
      </c>
      <c r="CE19" s="525">
        <f t="shared" ref="CE19:CE22" si="45">(CG19+CF19)/CH19</f>
        <v>0.16398137329308099</v>
      </c>
      <c r="CF19">
        <f>CF2</f>
        <v>140</v>
      </c>
      <c r="CG19">
        <f>CG9</f>
        <v>50</v>
      </c>
      <c r="CH19" s="130">
        <f t="shared" ref="CH19:CH22" si="46">BI19+CF19+CG19</f>
        <v>1158.6681839797523</v>
      </c>
      <c r="CP19" s="130">
        <f>CP4-130</f>
        <v>1250</v>
      </c>
      <c r="CY19" s="525">
        <f t="shared" ref="CY19:CY22" si="47">(CP19-BI19)/CP19</f>
        <v>0.22506545281619819</v>
      </c>
      <c r="CZ19" s="525"/>
    </row>
    <row r="20" spans="19:104" hidden="1" outlineLevel="1" x14ac:dyDescent="0.35">
      <c r="BI20" s="147">
        <f>'H_Tỷ lệ HH&amp;PS'!CC40</f>
        <v>972.88892791204978</v>
      </c>
      <c r="BN20" t="str">
        <f>'H_Tỷ lệ HH&amp;PS'!BU40</f>
        <v>Hạt WSS04NC</v>
      </c>
      <c r="CE20" s="525">
        <f t="shared" si="45"/>
        <v>0.16338619746009814</v>
      </c>
      <c r="CF20">
        <f t="shared" ref="CF20:CF25" si="48">CF3</f>
        <v>140</v>
      </c>
      <c r="CG20">
        <f>CG19</f>
        <v>50</v>
      </c>
      <c r="CH20" s="130">
        <f t="shared" si="46"/>
        <v>1162.8889279120499</v>
      </c>
      <c r="CP20" s="130">
        <f>CP4-170</f>
        <v>1210</v>
      </c>
      <c r="CY20" s="525">
        <f t="shared" si="47"/>
        <v>0.19595956370904977</v>
      </c>
      <c r="CZ20" s="525"/>
    </row>
    <row r="21" spans="19:104" hidden="1" outlineLevel="1" x14ac:dyDescent="0.35">
      <c r="BI21" s="147">
        <f>'H_Tỷ lệ HH&amp;PS'!CC41</f>
        <v>1020.2442243302686</v>
      </c>
      <c r="BM21" t="str">
        <f>'H_Tỷ lệ HH&amp;PS'!BS41</f>
        <v>Hyosung</v>
      </c>
      <c r="BN21" t="str">
        <f>'H_Tỷ lệ HH&amp;PS'!BU41</f>
        <v>Hạt WSS04SB</v>
      </c>
      <c r="CE21" s="525">
        <f t="shared" si="45"/>
        <v>0.15699310616842085</v>
      </c>
      <c r="CF21">
        <f t="shared" si="48"/>
        <v>140</v>
      </c>
      <c r="CG21">
        <f t="shared" ref="CG21:CG22" si="49">CG20</f>
        <v>50</v>
      </c>
      <c r="CH21" s="130">
        <f t="shared" si="46"/>
        <v>1210.2442243302685</v>
      </c>
      <c r="CP21" s="130">
        <f>CP4-130</f>
        <v>1250</v>
      </c>
      <c r="CY21" s="525">
        <f t="shared" si="47"/>
        <v>0.18380462053578511</v>
      </c>
      <c r="CZ21" s="525"/>
    </row>
    <row r="22" spans="19:104" hidden="1" outlineLevel="1" x14ac:dyDescent="0.35">
      <c r="BI22" s="147">
        <f>'H_Tỷ lệ HH&amp;PS'!CC42</f>
        <v>973.10889064373032</v>
      </c>
      <c r="BN22" t="str">
        <f>'H_Tỷ lệ HH&amp;PS'!BU42</f>
        <v>Hạt WSS05SB (sợi ngắn)</v>
      </c>
      <c r="CE22" s="525">
        <f t="shared" si="45"/>
        <v>0.16335529848356953</v>
      </c>
      <c r="CF22">
        <f t="shared" si="48"/>
        <v>140</v>
      </c>
      <c r="CG22">
        <f t="shared" si="49"/>
        <v>50</v>
      </c>
      <c r="CH22" s="130">
        <f t="shared" si="46"/>
        <v>1163.1088906437303</v>
      </c>
      <c r="CP22" s="130">
        <f>CP4-170</f>
        <v>1210</v>
      </c>
      <c r="CY22" s="525">
        <f t="shared" si="47"/>
        <v>0.1957777763274956</v>
      </c>
      <c r="CZ22" s="525"/>
    </row>
    <row r="23" spans="19:104" ht="7.5" customHeight="1" collapsed="1" x14ac:dyDescent="0.35"/>
    <row r="24" spans="19:104" x14ac:dyDescent="0.35">
      <c r="T24" s="119" t="s">
        <v>388</v>
      </c>
      <c r="AG24" s="126">
        <v>0.05</v>
      </c>
      <c r="AH24" s="126"/>
      <c r="AM24" s="188">
        <f>SUM(AM25:AM29)</f>
        <v>2.15</v>
      </c>
      <c r="AN24" s="188">
        <f t="shared" ref="AN24:AS24" si="50">SUM(AN25:AN29)</f>
        <v>1.75</v>
      </c>
      <c r="AO24" s="188">
        <f t="shared" si="50"/>
        <v>0.25</v>
      </c>
      <c r="AP24" s="188">
        <f t="shared" si="50"/>
        <v>0.75</v>
      </c>
      <c r="AQ24" s="188">
        <f t="shared" si="50"/>
        <v>0.1</v>
      </c>
      <c r="AR24" s="188">
        <f t="shared" si="50"/>
        <v>0</v>
      </c>
      <c r="AS24" s="188">
        <f t="shared" si="50"/>
        <v>5</v>
      </c>
      <c r="AU24" s="188">
        <f t="shared" ref="AU24:BA29" si="51">AM24/AM$2</f>
        <v>0.45744680851063835</v>
      </c>
      <c r="AV24" s="188">
        <f t="shared" si="51"/>
        <v>0.22435897435897434</v>
      </c>
      <c r="AW24" s="188">
        <f t="shared" si="51"/>
        <v>0.625</v>
      </c>
      <c r="AX24" s="188">
        <f t="shared" si="51"/>
        <v>0.75</v>
      </c>
      <c r="AY24" s="188">
        <f t="shared" si="51"/>
        <v>1</v>
      </c>
      <c r="AZ24" s="188">
        <f t="shared" si="51"/>
        <v>0</v>
      </c>
      <c r="BA24" s="188">
        <f t="shared" si="51"/>
        <v>0.33333333333333331</v>
      </c>
      <c r="BC24" s="275">
        <f t="shared" ref="BC24:BC29" si="52">$BC$1*BA24</f>
        <v>18333.333333333332</v>
      </c>
      <c r="BD24" s="275">
        <f t="shared" ref="BD24:BD29" si="53">$BD$1*BA24</f>
        <v>33333.333333333328</v>
      </c>
      <c r="BE24" s="196">
        <f t="shared" ref="BE24:BF29" si="54">BC24/12</f>
        <v>1527.7777777777776</v>
      </c>
      <c r="BF24" s="196">
        <f t="shared" si="54"/>
        <v>2777.7777777777774</v>
      </c>
      <c r="BG24" s="275"/>
      <c r="BH24" s="275"/>
      <c r="BI24" s="147">
        <f>'H_Tỷ lệ HH&amp;PS'!CC49</f>
        <v>0</v>
      </c>
      <c r="BJ24" s="275"/>
      <c r="BK24" s="275"/>
      <c r="BL24" s="275"/>
      <c r="BM24" s="275"/>
      <c r="BN24" s="280" t="str">
        <f>'H_Tỷ lệ HH&amp;PS'!BU49</f>
        <v>Hạt WSS03SB</v>
      </c>
      <c r="CE24" s="525">
        <f t="shared" ref="CE24:CE25" si="55">(CG24+CF24)/CH24</f>
        <v>1</v>
      </c>
      <c r="CF24">
        <f t="shared" si="48"/>
        <v>140</v>
      </c>
      <c r="CG24">
        <f>CG22</f>
        <v>50</v>
      </c>
      <c r="CH24" s="130">
        <f t="shared" ref="CH24:CH25" si="56">BI24+CF24+CG24</f>
        <v>190</v>
      </c>
      <c r="CP24" s="130">
        <f>CP4-130</f>
        <v>1250</v>
      </c>
      <c r="CY24" s="525">
        <f t="shared" ref="CY24:CY25" si="57">(CP24-BI24)/CP24</f>
        <v>1</v>
      </c>
      <c r="CZ24" s="525"/>
    </row>
    <row r="25" spans="19:104" x14ac:dyDescent="0.35">
      <c r="S25">
        <v>3</v>
      </c>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G29" si="58">U25+W25+Y25+AA25+AC25+AE25</f>
        <v>1</v>
      </c>
      <c r="AH25" s="122"/>
      <c r="AI25" s="167">
        <f>V25+X25+Z25+AB25+AD25+AF25</f>
        <v>19883.142103626953</v>
      </c>
      <c r="AJ25" s="130">
        <f>$AJ$4*AK25</f>
        <v>30740000</v>
      </c>
      <c r="AK25" s="130">
        <f>AK7</f>
        <v>1160</v>
      </c>
      <c r="AL25">
        <v>3</v>
      </c>
      <c r="AM25" s="69">
        <f>U25</f>
        <v>0</v>
      </c>
      <c r="AN25" s="69">
        <f>W25</f>
        <v>0.9</v>
      </c>
      <c r="AO25" s="110">
        <f>Y25</f>
        <v>0.1</v>
      </c>
      <c r="AP25" s="110">
        <f>AA25</f>
        <v>0</v>
      </c>
      <c r="AQ25" s="110">
        <f>AC25</f>
        <v>0</v>
      </c>
      <c r="AR25" s="110">
        <f>AE25</f>
        <v>0</v>
      </c>
      <c r="AS25" s="69">
        <f>SUM(AM25:AR25)</f>
        <v>1</v>
      </c>
      <c r="AU25" s="110">
        <f t="shared" si="51"/>
        <v>0</v>
      </c>
      <c r="AV25" s="110">
        <f t="shared" si="51"/>
        <v>0.11538461538461538</v>
      </c>
      <c r="AW25" s="110">
        <f t="shared" si="51"/>
        <v>0.25</v>
      </c>
      <c r="AX25" s="110">
        <f t="shared" si="51"/>
        <v>0</v>
      </c>
      <c r="AY25" s="110">
        <f t="shared" si="51"/>
        <v>0</v>
      </c>
      <c r="AZ25" s="110">
        <f t="shared" si="51"/>
        <v>0</v>
      </c>
      <c r="BA25" s="110">
        <f t="shared" si="51"/>
        <v>6.6666666666666666E-2</v>
      </c>
      <c r="BC25" s="109">
        <f t="shared" si="52"/>
        <v>3666.6666666666665</v>
      </c>
      <c r="BD25" s="109">
        <f t="shared" si="53"/>
        <v>6666.666666666667</v>
      </c>
      <c r="BE25" s="291">
        <f t="shared" si="54"/>
        <v>305.55555555555554</v>
      </c>
      <c r="BF25" s="291">
        <f t="shared" si="54"/>
        <v>555.55555555555554</v>
      </c>
      <c r="BG25" s="109"/>
      <c r="BH25" s="109"/>
      <c r="BI25" s="147">
        <f>'H_Tỷ lệ HH&amp;PS'!CC50</f>
        <v>0</v>
      </c>
      <c r="BJ25" s="109"/>
      <c r="BK25" s="109"/>
      <c r="BL25" s="109"/>
      <c r="BM25" s="109"/>
      <c r="BN25" s="280" t="str">
        <f>'H_Tỷ lệ HH&amp;PS'!BU50</f>
        <v>Hạt WSS04SB</v>
      </c>
      <c r="CE25" s="525">
        <f t="shared" si="55"/>
        <v>1</v>
      </c>
      <c r="CF25">
        <f t="shared" si="48"/>
        <v>140</v>
      </c>
      <c r="CG25">
        <f t="shared" ref="CG25" si="59">CG24</f>
        <v>50</v>
      </c>
      <c r="CH25" s="130">
        <f t="shared" si="56"/>
        <v>190</v>
      </c>
      <c r="CP25" s="130">
        <f>CP4-170</f>
        <v>1210</v>
      </c>
      <c r="CY25" s="525">
        <f t="shared" si="57"/>
        <v>1</v>
      </c>
      <c r="CZ25" s="525"/>
    </row>
    <row r="26" spans="19:104" x14ac:dyDescent="0.35">
      <c r="S26">
        <v>5</v>
      </c>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58"/>
        <v>1</v>
      </c>
      <c r="AH26" s="122"/>
      <c r="AI26" s="167">
        <f>V26+X26+Z26+AB26+AD26+AF26</f>
        <v>19112.177744792491</v>
      </c>
      <c r="AJ26" s="130">
        <f>$AJ$4*AK26</f>
        <v>28885000</v>
      </c>
      <c r="AK26" s="130">
        <f>AK7-70</f>
        <v>1090</v>
      </c>
      <c r="AL26">
        <v>5</v>
      </c>
      <c r="AM26" s="69">
        <f>U26</f>
        <v>0.55000000000000004</v>
      </c>
      <c r="AN26" s="69">
        <f>W26</f>
        <v>0.3</v>
      </c>
      <c r="AO26" s="110">
        <f>Y26</f>
        <v>0.15</v>
      </c>
      <c r="AP26" s="110">
        <f>AA26</f>
        <v>0</v>
      </c>
      <c r="AQ26" s="110">
        <f>AC26</f>
        <v>0</v>
      </c>
      <c r="AR26" s="110">
        <f>AE26</f>
        <v>0</v>
      </c>
      <c r="AS26" s="69">
        <f>SUM(AM26:AR26)</f>
        <v>1</v>
      </c>
      <c r="AU26" s="110">
        <f t="shared" si="51"/>
        <v>0.11702127659574471</v>
      </c>
      <c r="AV26" s="110">
        <f t="shared" si="51"/>
        <v>3.8461538461538457E-2</v>
      </c>
      <c r="AW26" s="110">
        <f t="shared" si="51"/>
        <v>0.37499999999999994</v>
      </c>
      <c r="AX26" s="110">
        <f t="shared" si="51"/>
        <v>0</v>
      </c>
      <c r="AY26" s="110">
        <f t="shared" si="51"/>
        <v>0</v>
      </c>
      <c r="AZ26" s="110">
        <f t="shared" si="51"/>
        <v>0</v>
      </c>
      <c r="BA26" s="110">
        <f t="shared" si="51"/>
        <v>6.6666666666666666E-2</v>
      </c>
      <c r="BC26" s="109">
        <f t="shared" si="52"/>
        <v>3666.6666666666665</v>
      </c>
      <c r="BD26" s="109">
        <f t="shared" si="53"/>
        <v>6666.666666666667</v>
      </c>
      <c r="BE26" s="109">
        <f t="shared" si="54"/>
        <v>305.55555555555554</v>
      </c>
      <c r="BF26" s="109">
        <f t="shared" si="54"/>
        <v>555.55555555555554</v>
      </c>
      <c r="BG26" s="109"/>
      <c r="BH26" s="109"/>
      <c r="BI26" s="109"/>
      <c r="BJ26" s="109"/>
      <c r="BK26" s="109"/>
      <c r="BL26" s="109"/>
      <c r="BM26" s="109"/>
    </row>
    <row r="27" spans="19:104" x14ac:dyDescent="0.35">
      <c r="S27">
        <v>3</v>
      </c>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58"/>
        <v>1</v>
      </c>
      <c r="AH27" s="122"/>
      <c r="AI27" s="167">
        <f>V27+X27+Z27+AB27+AD27+AF27</f>
        <v>17279.402879005062</v>
      </c>
      <c r="AJ27" s="130">
        <f>$AJ$4*AK27</f>
        <v>30740000</v>
      </c>
      <c r="AK27" s="130">
        <f>AK7</f>
        <v>1160</v>
      </c>
      <c r="AL27">
        <v>3</v>
      </c>
      <c r="AM27" s="69">
        <f>U27</f>
        <v>0</v>
      </c>
      <c r="AN27" s="69">
        <f>W27</f>
        <v>0.4</v>
      </c>
      <c r="AO27" s="110">
        <f>Y27</f>
        <v>0</v>
      </c>
      <c r="AP27" s="110">
        <f>AA27</f>
        <v>0.5</v>
      </c>
      <c r="AQ27" s="110">
        <f>AC27</f>
        <v>0.1</v>
      </c>
      <c r="AR27" s="110">
        <f>AE27</f>
        <v>0</v>
      </c>
      <c r="AS27" s="69">
        <f>SUM(AM27:AR27)</f>
        <v>1</v>
      </c>
      <c r="AU27" s="110">
        <f t="shared" si="51"/>
        <v>0</v>
      </c>
      <c r="AV27" s="110">
        <f t="shared" si="51"/>
        <v>5.128205128205128E-2</v>
      </c>
      <c r="AW27" s="110">
        <f t="shared" si="51"/>
        <v>0</v>
      </c>
      <c r="AX27" s="110">
        <f t="shared" si="51"/>
        <v>0.5</v>
      </c>
      <c r="AY27" s="110">
        <f t="shared" si="51"/>
        <v>1</v>
      </c>
      <c r="AZ27" s="110">
        <f t="shared" si="51"/>
        <v>0</v>
      </c>
      <c r="BA27" s="110">
        <f t="shared" si="51"/>
        <v>6.6666666666666666E-2</v>
      </c>
      <c r="BC27" s="109">
        <f t="shared" si="52"/>
        <v>3666.6666666666665</v>
      </c>
      <c r="BD27" s="109">
        <f t="shared" si="53"/>
        <v>6666.666666666667</v>
      </c>
      <c r="BE27" s="109">
        <f t="shared" si="54"/>
        <v>305.55555555555554</v>
      </c>
      <c r="BF27" s="109">
        <f t="shared" si="54"/>
        <v>555.55555555555554</v>
      </c>
      <c r="BG27" s="109"/>
      <c r="BH27" s="109"/>
      <c r="BI27" s="109"/>
      <c r="BJ27" s="109"/>
      <c r="BK27" s="109"/>
      <c r="BL27" s="109"/>
      <c r="BM27" s="109"/>
    </row>
    <row r="28" spans="19:104" x14ac:dyDescent="0.35">
      <c r="S28">
        <v>6</v>
      </c>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58"/>
        <v>1</v>
      </c>
      <c r="AH28" s="122"/>
      <c r="AI28" s="167">
        <f>V28+X28+Z28+AB28+AD28+AF28</f>
        <v>18853.682855909705</v>
      </c>
      <c r="AJ28" s="130">
        <f>$AJ$4*AK28</f>
        <v>19080000</v>
      </c>
      <c r="AK28" s="130">
        <f>AK10</f>
        <v>720</v>
      </c>
      <c r="AL28">
        <v>6</v>
      </c>
      <c r="AM28" s="69">
        <f>U28</f>
        <v>0.95</v>
      </c>
      <c r="AN28" s="69">
        <f>W28</f>
        <v>0</v>
      </c>
      <c r="AO28" s="110">
        <f>Y28</f>
        <v>0</v>
      </c>
      <c r="AP28" s="110">
        <f>AA28</f>
        <v>0.05</v>
      </c>
      <c r="AQ28" s="110">
        <f>AC28</f>
        <v>0</v>
      </c>
      <c r="AR28" s="110">
        <f>AE28</f>
        <v>0</v>
      </c>
      <c r="AS28" s="69">
        <f>SUM(AM28:AR28)</f>
        <v>1</v>
      </c>
      <c r="AU28" s="110">
        <f t="shared" si="51"/>
        <v>0.2021276595744681</v>
      </c>
      <c r="AV28" s="110">
        <f t="shared" si="51"/>
        <v>0</v>
      </c>
      <c r="AW28" s="110">
        <f t="shared" si="51"/>
        <v>0</v>
      </c>
      <c r="AX28" s="110">
        <f t="shared" si="51"/>
        <v>0.05</v>
      </c>
      <c r="AY28" s="110">
        <f t="shared" si="51"/>
        <v>0</v>
      </c>
      <c r="AZ28" s="110">
        <f t="shared" si="51"/>
        <v>0</v>
      </c>
      <c r="BA28" s="110">
        <f t="shared" si="51"/>
        <v>6.6666666666666666E-2</v>
      </c>
      <c r="BC28" s="109">
        <f t="shared" si="52"/>
        <v>3666.6666666666665</v>
      </c>
      <c r="BD28" s="109">
        <f t="shared" si="53"/>
        <v>6666.666666666667</v>
      </c>
      <c r="BE28" s="109">
        <f t="shared" si="54"/>
        <v>305.55555555555554</v>
      </c>
      <c r="BF28" s="109">
        <f t="shared" si="54"/>
        <v>555.55555555555554</v>
      </c>
      <c r="BG28" s="109"/>
      <c r="BH28" s="109"/>
      <c r="BI28" s="109"/>
      <c r="BJ28" s="109"/>
      <c r="BK28" s="109"/>
      <c r="BL28" s="109"/>
      <c r="BM28" s="109"/>
    </row>
    <row r="29" spans="19:104" x14ac:dyDescent="0.35">
      <c r="S29">
        <v>7</v>
      </c>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58"/>
        <v>1</v>
      </c>
      <c r="AH29" s="122"/>
      <c r="AI29" s="167">
        <f>V29+X29+Z29+AB29+AD29+AF29</f>
        <v>18504.154010131388</v>
      </c>
      <c r="AJ29" s="130">
        <f>$AJ$4*AK29</f>
        <v>20140000</v>
      </c>
      <c r="AK29" s="130">
        <v>760</v>
      </c>
      <c r="AL29">
        <v>7</v>
      </c>
      <c r="AM29" s="69">
        <f>U29</f>
        <v>0.65</v>
      </c>
      <c r="AN29" s="69">
        <f>W29</f>
        <v>0.15</v>
      </c>
      <c r="AO29" s="110">
        <f>Y29</f>
        <v>0</v>
      </c>
      <c r="AP29" s="110">
        <f>AA29</f>
        <v>0.2</v>
      </c>
      <c r="AQ29" s="110">
        <f>AC29</f>
        <v>0</v>
      </c>
      <c r="AR29" s="110">
        <f>AE29</f>
        <v>0</v>
      </c>
      <c r="AS29" s="69">
        <f>SUM(AM29:AR29)</f>
        <v>1</v>
      </c>
      <c r="AU29" s="110">
        <f t="shared" si="51"/>
        <v>0.13829787234042556</v>
      </c>
      <c r="AV29" s="110">
        <f t="shared" si="51"/>
        <v>1.9230769230769228E-2</v>
      </c>
      <c r="AW29" s="110">
        <f t="shared" si="51"/>
        <v>0</v>
      </c>
      <c r="AX29" s="110">
        <f t="shared" si="51"/>
        <v>0.2</v>
      </c>
      <c r="AY29" s="110">
        <f t="shared" si="51"/>
        <v>0</v>
      </c>
      <c r="AZ29" s="110">
        <f t="shared" si="51"/>
        <v>0</v>
      </c>
      <c r="BA29" s="110">
        <f t="shared" si="51"/>
        <v>6.6666666666666666E-2</v>
      </c>
      <c r="BC29" s="109">
        <f t="shared" si="52"/>
        <v>3666.6666666666665</v>
      </c>
      <c r="BD29" s="109">
        <f t="shared" si="53"/>
        <v>6666.666666666667</v>
      </c>
      <c r="BE29" s="109">
        <f t="shared" si="54"/>
        <v>305.55555555555554</v>
      </c>
      <c r="BF29" s="109">
        <f t="shared" si="54"/>
        <v>555.55555555555554</v>
      </c>
      <c r="BG29" s="109"/>
      <c r="BH29" s="109"/>
      <c r="BI29" s="109"/>
      <c r="BJ29" s="109"/>
      <c r="BK29" s="109"/>
      <c r="BL29" s="109"/>
      <c r="BM29" s="109"/>
    </row>
    <row r="30" spans="19:104" ht="6.5" customHeight="1" x14ac:dyDescent="0.35"/>
    <row r="31" spans="19:104" ht="7" customHeight="1" x14ac:dyDescent="0.35"/>
    <row r="32" spans="19:104" x14ac:dyDescent="0.35">
      <c r="T32" s="119" t="s">
        <v>389</v>
      </c>
      <c r="AG32" s="126">
        <v>0.02</v>
      </c>
      <c r="AH32" s="126"/>
    </row>
    <row r="33" spans="19:65" x14ac:dyDescent="0.35">
      <c r="S33">
        <v>8</v>
      </c>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22"/>
      <c r="AI33" s="167">
        <f>V33+X33+Z33+AB33+AD33+AF33</f>
        <v>17195.059200132389</v>
      </c>
      <c r="AJ33" s="130">
        <f>$AJ$4*AK33</f>
        <v>21200000</v>
      </c>
      <c r="AK33">
        <v>800</v>
      </c>
      <c r="AL33">
        <v>8</v>
      </c>
      <c r="AM33" s="188">
        <f>U33</f>
        <v>0</v>
      </c>
      <c r="AN33" s="188">
        <f>W33</f>
        <v>0</v>
      </c>
      <c r="AO33" s="188">
        <f>Y33</f>
        <v>0</v>
      </c>
      <c r="AP33" s="188">
        <f>AA33</f>
        <v>0</v>
      </c>
      <c r="AQ33" s="188">
        <f>AC33</f>
        <v>0</v>
      </c>
      <c r="AR33" s="188">
        <f>AE33</f>
        <v>1</v>
      </c>
      <c r="AS33" s="188">
        <f>SUM(AM33:AR33)</f>
        <v>1</v>
      </c>
      <c r="AU33" s="188">
        <f t="shared" ref="AU33:BA33" si="60">AM33/AM$2</f>
        <v>0</v>
      </c>
      <c r="AV33" s="188">
        <f t="shared" si="60"/>
        <v>0</v>
      </c>
      <c r="AW33" s="188">
        <f t="shared" si="60"/>
        <v>0</v>
      </c>
      <c r="AX33" s="188">
        <f t="shared" si="60"/>
        <v>0</v>
      </c>
      <c r="AY33" s="188">
        <f t="shared" si="60"/>
        <v>0</v>
      </c>
      <c r="AZ33" s="188">
        <f t="shared" si="60"/>
        <v>1</v>
      </c>
      <c r="BA33" s="188">
        <f t="shared" si="60"/>
        <v>6.6666666666666666E-2</v>
      </c>
      <c r="BC33" s="275">
        <f>$BC$1*BA33</f>
        <v>3666.6666666666665</v>
      </c>
      <c r="BD33" s="275">
        <f>$BD$1*BA33</f>
        <v>6666.666666666667</v>
      </c>
      <c r="BE33" s="196">
        <f>BC33/12</f>
        <v>305.55555555555554</v>
      </c>
      <c r="BF33" s="196">
        <f>BD33/12</f>
        <v>555.55555555555554</v>
      </c>
      <c r="BG33" s="275"/>
      <c r="BH33" s="275"/>
      <c r="BI33" s="275"/>
      <c r="BJ33" s="275"/>
      <c r="BK33" s="275"/>
      <c r="BL33" s="275"/>
      <c r="BM33" s="275"/>
    </row>
    <row r="34" spans="19:65" x14ac:dyDescent="0.35">
      <c r="AU34" s="110"/>
      <c r="AV34" s="110"/>
      <c r="AW34" s="110"/>
      <c r="AX34" s="110"/>
      <c r="AY34" s="110"/>
      <c r="AZ34" s="110"/>
      <c r="BA34" s="110"/>
    </row>
    <row r="35" spans="19:65" x14ac:dyDescent="0.35">
      <c r="AE35" s="109">
        <f>'Giá mua Chai-Vảy'!O40</f>
        <v>12550</v>
      </c>
      <c r="AI35" s="133"/>
      <c r="AJ35" s="133"/>
      <c r="AK35" s="133"/>
      <c r="AL35" s="133"/>
      <c r="AM35" s="121"/>
      <c r="AN35" s="121"/>
      <c r="AO35" s="121"/>
      <c r="AP35" s="133"/>
      <c r="AU35" s="110"/>
      <c r="AV35" s="110"/>
      <c r="AW35" s="110"/>
      <c r="AX35" s="110"/>
      <c r="AY35" s="110"/>
      <c r="AZ35" s="110"/>
      <c r="BA35" s="110"/>
    </row>
    <row r="36" spans="19:65" x14ac:dyDescent="0.35">
      <c r="T36" s="119" t="s">
        <v>446</v>
      </c>
      <c r="AG36" s="126">
        <v>0.01</v>
      </c>
      <c r="AH36" s="126"/>
      <c r="AL36" s="133"/>
      <c r="AM36" s="121"/>
      <c r="AN36" s="121"/>
      <c r="AO36" s="121"/>
      <c r="AP36" s="133"/>
    </row>
    <row r="37" spans="19:65"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22"/>
      <c r="AI37" s="177">
        <f>V37+X37+Z37+AB37+AD37+AF37</f>
        <v>12550</v>
      </c>
      <c r="AJ37" s="130">
        <f>$AJ$4*AK37</f>
        <v>19500000</v>
      </c>
      <c r="AK37" s="194">
        <f>19500000/26500</f>
        <v>735.84905660377353</v>
      </c>
      <c r="AL37" s="175"/>
      <c r="AM37" s="208"/>
      <c r="AN37" s="208"/>
      <c r="AO37" s="208"/>
      <c r="AP37" s="209"/>
      <c r="AQ37" s="110">
        <f>$AQ$4*AR37/1000</f>
        <v>0.3666666666666667</v>
      </c>
      <c r="AR37" s="188">
        <f>AE37</f>
        <v>1</v>
      </c>
      <c r="AS37" s="188">
        <f>SUM(AM37:AR37)</f>
        <v>1.3666666666666667</v>
      </c>
      <c r="AU37" s="188"/>
      <c r="AV37" s="188"/>
      <c r="AW37" s="188"/>
      <c r="AX37" s="188"/>
      <c r="AY37" s="188"/>
      <c r="AZ37" s="188"/>
      <c r="BA37" s="188"/>
      <c r="BC37" s="276">
        <f>$BC$1*AG36</f>
        <v>550</v>
      </c>
      <c r="BD37" s="276">
        <f>$BD$1*AG36</f>
        <v>1000</v>
      </c>
      <c r="BE37" s="276"/>
      <c r="BF37" s="276"/>
      <c r="BG37" s="276"/>
      <c r="BH37" s="276"/>
      <c r="BI37" s="276"/>
      <c r="BJ37" s="276"/>
      <c r="BK37" s="276"/>
      <c r="BL37" s="276"/>
      <c r="BM37" s="276"/>
    </row>
    <row r="38" spans="19:65" x14ac:dyDescent="0.35">
      <c r="AU38" s="110"/>
      <c r="AV38" s="110"/>
      <c r="AW38" s="110"/>
      <c r="AX38" s="110"/>
      <c r="AY38" s="110"/>
      <c r="AZ38" s="110"/>
      <c r="BA38" s="110"/>
    </row>
    <row r="39" spans="19:65" x14ac:dyDescent="0.35">
      <c r="AU39" s="110"/>
      <c r="AV39" s="110"/>
      <c r="AW39" s="110"/>
      <c r="AX39" s="110"/>
      <c r="AY39" s="110"/>
      <c r="AZ39" s="110"/>
      <c r="BA39" s="110"/>
    </row>
  </sheetData>
  <mergeCells count="1">
    <mergeCell ref="AL1:AL5"/>
  </mergeCells>
  <hyperlinks>
    <hyperlink ref="AA11" r:id="rId1" display="20@" xr:uid="{BAE19B94-9441-4A06-8DCA-8E3FCDAEB942}"/>
  </hyperlinks>
  <pageMargins left="0.17" right="0.18" top="0.31" bottom="0.23" header="0.18" footer="0.05"/>
  <pageSetup paperSize="9" orientation="landscape" r:id="rId2"/>
  <drawing r:id="rId3"/>
  <legacyDrawing r:id="rId4"/>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9B72-95B1-4253-8D0F-4CF4155E4F96}">
  <sheetPr>
    <tabColor rgb="FF0000FF"/>
    <pageSetUpPr fitToPage="1"/>
  </sheetPr>
  <dimension ref="B1:DP39"/>
  <sheetViews>
    <sheetView topLeftCell="D1" zoomScaleNormal="100" workbookViewId="0">
      <pane xSplit="17" topLeftCell="U1" activePane="topRight" state="frozen"/>
      <selection activeCell="S1" sqref="S1"/>
      <selection pane="topRight" activeCell="BB4" sqref="BB4"/>
    </sheetView>
  </sheetViews>
  <sheetFormatPr defaultRowHeight="14.5" outlineLevelRow="1" outlineLevelCol="2" x14ac:dyDescent="0.35"/>
  <cols>
    <col min="1" max="1" width="3.36328125" customWidth="1"/>
    <col min="4" max="18" width="8.7265625" hidden="1" customWidth="1" outlineLevel="1"/>
    <col min="19" max="19" width="3.08984375" customWidth="1" collapsed="1"/>
    <col min="20" max="20" width="28.7265625" customWidth="1"/>
    <col min="21" max="21" width="12.26953125" hidden="1" customWidth="1" outlineLevel="1"/>
    <col min="22" max="22" width="10.1796875" hidden="1" customWidth="1" outlineLevel="1"/>
    <col min="23" max="23" width="12.08984375" hidden="1" customWidth="1" outlineLevel="1"/>
    <col min="24" max="24" width="10" hidden="1" customWidth="1" outlineLevel="1"/>
    <col min="25" max="25" width="10.1796875" hidden="1" customWidth="1" outlineLevel="1"/>
    <col min="26" max="26" width="9.1796875" hidden="1" customWidth="1" outlineLevel="1"/>
    <col min="27" max="27" width="11.453125" hidden="1" customWidth="1" outlineLevel="1"/>
    <col min="28" max="28" width="9.1796875" hidden="1" customWidth="1" outlineLevel="1"/>
    <col min="29" max="29" width="9.81640625" hidden="1" customWidth="1" outlineLevel="1"/>
    <col min="30" max="30" width="8.453125" hidden="1" customWidth="1" outlineLevel="1"/>
    <col min="31" max="31" width="10.1796875" hidden="1" customWidth="1" outlineLevel="1"/>
    <col min="32" max="32" width="8.90625" hidden="1" customWidth="1" outlineLevel="1"/>
    <col min="33" max="34" width="21.90625" style="121" hidden="1" customWidth="1" outlineLevel="1"/>
    <col min="35" max="35" width="10.1796875" style="121" hidden="1" customWidth="1" outlineLevel="1"/>
    <col min="36" max="36" width="11.81640625" hidden="1" customWidth="1" outlineLevel="1"/>
    <col min="37" max="37" width="7" hidden="1" customWidth="1" outlineLevel="1"/>
    <col min="38" max="38" width="6.1796875" customWidth="1" collapsed="1"/>
    <col min="39" max="40" width="7.6328125" bestFit="1" customWidth="1"/>
    <col min="41" max="42" width="6.6328125" bestFit="1" customWidth="1"/>
    <col min="43" max="43" width="5.08984375" bestFit="1" customWidth="1"/>
    <col min="44" max="44" width="6.6328125" bestFit="1" customWidth="1"/>
    <col min="45" max="45" width="7.6328125" bestFit="1" customWidth="1"/>
    <col min="46" max="46" width="0.81640625" customWidth="1"/>
    <col min="47" max="47" width="10.1796875" bestFit="1" customWidth="1" outlineLevel="1"/>
    <col min="48" max="48" width="7.6328125" bestFit="1" customWidth="1" outlineLevel="1"/>
    <col min="49" max="50" width="6.6328125" bestFit="1" customWidth="1" outlineLevel="1"/>
    <col min="51" max="51" width="5.36328125" bestFit="1" customWidth="1" outlineLevel="1"/>
    <col min="52" max="52" width="6.6328125" bestFit="1" customWidth="1" outlineLevel="1"/>
    <col min="53" max="53" width="8.6328125" bestFit="1" customWidth="1"/>
    <col min="54" max="54" width="10.1796875" bestFit="1" customWidth="1" outlineLevel="1"/>
    <col min="55" max="55" width="8.08984375" customWidth="1" outlineLevel="1"/>
    <col min="56" max="56" width="9.1796875" customWidth="1" outlineLevel="1"/>
    <col min="57" max="57" width="7.36328125" bestFit="1" customWidth="1"/>
    <col min="58" max="58" width="8.36328125" bestFit="1" customWidth="1"/>
    <col min="59" max="59" width="10.26953125" bestFit="1" customWidth="1"/>
    <col min="60" max="60" width="9.453125" customWidth="1"/>
    <col min="61" max="61" width="8.90625" bestFit="1" customWidth="1"/>
    <col min="62" max="62" width="10.1796875" bestFit="1" customWidth="1"/>
    <col min="63" max="63" width="7" bestFit="1" customWidth="1"/>
    <col min="64" max="64" width="7" customWidth="1"/>
    <col min="65" max="65" width="9.7265625" customWidth="1"/>
    <col min="66" max="66" width="21" customWidth="1"/>
    <col min="67" max="67" width="6.81640625" style="65" customWidth="1"/>
    <col min="68" max="68" width="8.7265625" customWidth="1"/>
    <col min="69" max="69" width="10.54296875" hidden="1" customWidth="1"/>
    <col min="70" max="70" width="5.81640625" hidden="1" customWidth="1"/>
    <col min="71" max="71" width="8.7265625" hidden="1" customWidth="1" outlineLevel="2"/>
    <col min="72" max="72" width="7.7265625" bestFit="1" customWidth="1" collapsed="1"/>
    <col min="73" max="73" width="8.7265625" bestFit="1" customWidth="1"/>
    <col min="74" max="74" width="9.26953125" hidden="1" customWidth="1" outlineLevel="2"/>
    <col min="75" max="75" width="9.54296875" hidden="1" customWidth="1" outlineLevel="2"/>
    <col min="76" max="76" width="9.26953125" hidden="1" customWidth="1" outlineLevel="2"/>
    <col min="77" max="77" width="9.26953125" bestFit="1" customWidth="1" collapsed="1"/>
    <col min="78" max="78" width="9.36328125" customWidth="1"/>
    <col min="79" max="79" width="9.08984375" bestFit="1" customWidth="1"/>
    <col min="80" max="80" width="9.08984375" hidden="1" customWidth="1"/>
    <col min="81" max="81" width="10.7265625" hidden="1" customWidth="1"/>
    <col min="82" max="82" width="5.453125" bestFit="1" customWidth="1"/>
    <col min="83" max="83" width="7.26953125" bestFit="1" customWidth="1"/>
    <col min="84" max="84" width="4.90625" bestFit="1" customWidth="1"/>
    <col min="85" max="85" width="6.26953125" bestFit="1" customWidth="1"/>
    <col min="86" max="86" width="9.54296875" bestFit="1" customWidth="1"/>
    <col min="87" max="87" width="9.1796875" bestFit="1" customWidth="1"/>
    <col min="88" max="88" width="14.6328125" bestFit="1" customWidth="1"/>
    <col min="89" max="89" width="3.81640625" customWidth="1"/>
    <col min="90" max="91" width="8.08984375" bestFit="1" customWidth="1"/>
    <col min="92" max="92" width="7" bestFit="1" customWidth="1"/>
    <col min="93" max="93" width="4.90625" customWidth="1"/>
    <col min="94" max="94" width="8.54296875" customWidth="1"/>
    <col min="95" max="95" width="11.54296875" bestFit="1" customWidth="1"/>
    <col min="96" max="96" width="5.6328125" bestFit="1" customWidth="1"/>
    <col min="97" max="98" width="8.08984375" bestFit="1" customWidth="1"/>
    <col min="99" max="99" width="5.453125" bestFit="1" customWidth="1"/>
    <col min="100" max="100" width="4.36328125" bestFit="1" customWidth="1"/>
    <col min="101" max="101" width="2.81640625" customWidth="1"/>
    <col min="102" max="102" width="6.1796875" bestFit="1" customWidth="1"/>
    <col min="104" max="104" width="20.26953125" bestFit="1" customWidth="1"/>
    <col min="105" max="105" width="5.453125" bestFit="1" customWidth="1"/>
    <col min="108" max="109" width="8.08984375" bestFit="1" customWidth="1"/>
    <col min="110" max="110" width="5.453125" bestFit="1" customWidth="1"/>
    <col min="112" max="112" width="20.26953125" bestFit="1" customWidth="1"/>
    <col min="113" max="113" width="5.453125" bestFit="1" customWidth="1"/>
    <col min="114" max="115" width="8.08984375" bestFit="1" customWidth="1"/>
    <col min="116" max="116" width="7" bestFit="1" customWidth="1"/>
    <col min="117" max="117" width="4.36328125" bestFit="1" customWidth="1"/>
    <col min="120" max="120" width="6" bestFit="1" customWidth="1"/>
  </cols>
  <sheetData>
    <row r="1" spans="2:120" s="684" customFormat="1" ht="40" customHeight="1" x14ac:dyDescent="0.35">
      <c r="B1" s="683" t="s">
        <v>364</v>
      </c>
      <c r="T1" s="707" t="s">
        <v>961</v>
      </c>
      <c r="U1" s="686">
        <f>'Hảo_R&amp;D'!AK1</f>
        <v>14800</v>
      </c>
      <c r="W1" s="686">
        <f>'Hảo_R&amp;D'!AM1</f>
        <v>16300</v>
      </c>
      <c r="X1" s="717">
        <f>W3-W1-X3</f>
        <v>-847.55675534306283</v>
      </c>
      <c r="Y1" s="686">
        <f>'Hảo_R&amp;D'!AO1</f>
        <v>14800</v>
      </c>
      <c r="AA1" s="686">
        <f>'Hảo_R&amp;D'!AQ1</f>
        <v>13300</v>
      </c>
      <c r="AB1" s="687"/>
      <c r="AC1" s="688">
        <f>'Hảo_R&amp;D'!AS1</f>
        <v>7971.0144927536239</v>
      </c>
      <c r="AD1" s="719">
        <f>'[8]16.1 Rửa vảy B7'!$I$10</f>
        <v>84.555434657824762</v>
      </c>
      <c r="AE1" s="686">
        <f>'Hảo_R&amp;D'!AU1</f>
        <v>13300</v>
      </c>
      <c r="AG1" s="685"/>
      <c r="AH1" s="685"/>
      <c r="AI1" s="685"/>
      <c r="AK1" s="689" t="s">
        <v>823</v>
      </c>
      <c r="AL1" s="1145" t="s">
        <v>466</v>
      </c>
      <c r="AM1" s="690">
        <f t="shared" ref="AM1:AS1" si="0">AM2/$AS$2</f>
        <v>0.3133333333333333</v>
      </c>
      <c r="AN1" s="690">
        <f t="shared" si="0"/>
        <v>0.52</v>
      </c>
      <c r="AO1" s="690">
        <f t="shared" si="0"/>
        <v>2.6666666666666668E-2</v>
      </c>
      <c r="AP1" s="690">
        <f t="shared" si="0"/>
        <v>6.6666666666666666E-2</v>
      </c>
      <c r="AQ1" s="690">
        <f t="shared" si="0"/>
        <v>6.6666666666666671E-3</v>
      </c>
      <c r="AR1" s="690">
        <f>AR2/$AS$2</f>
        <v>6.6666666666666666E-2</v>
      </c>
      <c r="AS1" s="690">
        <f t="shared" si="0"/>
        <v>1</v>
      </c>
      <c r="AU1" s="993">
        <f>AM1</f>
        <v>0.3133333333333333</v>
      </c>
      <c r="AV1" s="993">
        <f t="shared" ref="AV1:AZ1" si="1">AN1</f>
        <v>0.52</v>
      </c>
      <c r="AW1" s="993">
        <f t="shared" si="1"/>
        <v>2.6666666666666668E-2</v>
      </c>
      <c r="AX1" s="993">
        <f t="shared" si="1"/>
        <v>6.6666666666666666E-2</v>
      </c>
      <c r="AY1" s="993">
        <f t="shared" si="1"/>
        <v>6.6666666666666671E-3</v>
      </c>
      <c r="AZ1" s="993">
        <f t="shared" si="1"/>
        <v>6.6666666666666666E-2</v>
      </c>
      <c r="BA1" s="994">
        <f>BA6+BA14+BA24+BA33+BA37</f>
        <v>1</v>
      </c>
      <c r="BB1" s="684" t="s">
        <v>516</v>
      </c>
      <c r="BC1" s="691">
        <v>55000</v>
      </c>
      <c r="BD1" s="691">
        <v>100000</v>
      </c>
      <c r="BE1" s="692" t="s">
        <v>925</v>
      </c>
      <c r="BF1" s="692" t="s">
        <v>540</v>
      </c>
      <c r="BG1" s="693" t="s">
        <v>543</v>
      </c>
      <c r="BH1" s="694" t="s">
        <v>541</v>
      </c>
      <c r="BI1" s="695" t="s">
        <v>474</v>
      </c>
      <c r="BJ1" s="695" t="s">
        <v>674</v>
      </c>
      <c r="BK1" s="695" t="s">
        <v>690</v>
      </c>
      <c r="BL1" s="695" t="s">
        <v>691</v>
      </c>
      <c r="BM1" s="695" t="s">
        <v>474</v>
      </c>
      <c r="BN1" s="695" t="s">
        <v>696</v>
      </c>
      <c r="BO1" s="695" t="s">
        <v>695</v>
      </c>
      <c r="BP1" s="696">
        <f>SUM(BP2:BP9)</f>
        <v>55000</v>
      </c>
      <c r="BQ1" s="696">
        <f>SUM(BQ2:BQ9)</f>
        <v>100000</v>
      </c>
      <c r="BR1" s="697">
        <f t="shared" ref="BR1:BR9" si="2">BP1/$BP$1</f>
        <v>1</v>
      </c>
      <c r="BS1" s="697">
        <f>BQ1/$BQ$1</f>
        <v>1</v>
      </c>
      <c r="BT1" s="692" t="s">
        <v>925</v>
      </c>
      <c r="BU1" s="692" t="s">
        <v>540</v>
      </c>
      <c r="BV1" s="698" t="s">
        <v>517</v>
      </c>
      <c r="BW1" s="698" t="s">
        <v>518</v>
      </c>
      <c r="BX1" s="699" t="s">
        <v>648</v>
      </c>
      <c r="BY1" s="700" t="s">
        <v>517</v>
      </c>
      <c r="BZ1" s="700" t="s">
        <v>518</v>
      </c>
      <c r="CA1" s="725" t="s">
        <v>648</v>
      </c>
      <c r="CB1" s="867" t="s">
        <v>924</v>
      </c>
      <c r="CC1" s="867" t="s">
        <v>923</v>
      </c>
      <c r="CD1" s="699" t="s">
        <v>454</v>
      </c>
      <c r="CE1" s="700" t="s">
        <v>693</v>
      </c>
      <c r="CF1" s="698" t="s">
        <v>676</v>
      </c>
      <c r="CG1" s="698" t="s">
        <v>677</v>
      </c>
      <c r="CH1" s="700" t="s">
        <v>675</v>
      </c>
      <c r="CI1" s="506" t="s">
        <v>843</v>
      </c>
      <c r="CJ1" s="308" t="s">
        <v>842</v>
      </c>
      <c r="CK1" s="724">
        <v>26500</v>
      </c>
      <c r="CL1" s="701">
        <v>10000</v>
      </c>
      <c r="CM1" s="702">
        <v>11300</v>
      </c>
      <c r="CN1" s="703">
        <f>CM1-CL1</f>
        <v>1300</v>
      </c>
      <c r="CO1" s="704">
        <f>CN1/26.5</f>
        <v>49.056603773584904</v>
      </c>
      <c r="CP1" s="705" t="s">
        <v>694</v>
      </c>
      <c r="CQ1" s="706" t="s">
        <v>681</v>
      </c>
      <c r="CR1" s="685" t="s">
        <v>839</v>
      </c>
      <c r="CS1" s="701">
        <v>10000</v>
      </c>
      <c r="CT1" s="702">
        <v>10800</v>
      </c>
      <c r="CU1" s="703">
        <f>CT1-CS1</f>
        <v>800</v>
      </c>
      <c r="CV1" s="704">
        <f>CU1/26.5</f>
        <v>30.188679245283019</v>
      </c>
      <c r="CX1" s="784" t="s">
        <v>875</v>
      </c>
      <c r="CY1" s="700" t="s">
        <v>740</v>
      </c>
      <c r="CZ1" s="726" t="s">
        <v>696</v>
      </c>
      <c r="DA1" s="695" t="s">
        <v>695</v>
      </c>
      <c r="DB1" s="702">
        <v>10000</v>
      </c>
      <c r="DC1" s="702">
        <v>10800</v>
      </c>
      <c r="DD1" s="702">
        <v>11300</v>
      </c>
      <c r="DE1" s="702">
        <v>12000</v>
      </c>
      <c r="DF1" s="702">
        <f>DE1-DD1</f>
        <v>700</v>
      </c>
      <c r="DH1" s="726" t="s">
        <v>696</v>
      </c>
      <c r="DI1" s="695" t="s">
        <v>695</v>
      </c>
      <c r="DJ1" s="701">
        <v>10000</v>
      </c>
      <c r="DK1" s="702">
        <v>11300</v>
      </c>
      <c r="DL1" s="703">
        <f>DK1-DJ1</f>
        <v>1300</v>
      </c>
      <c r="DM1" s="704">
        <f>DL1/26.5</f>
        <v>49.056603773584904</v>
      </c>
      <c r="DN1" s="705" t="s">
        <v>694</v>
      </c>
      <c r="DO1" s="706" t="s">
        <v>681</v>
      </c>
      <c r="DP1" s="685" t="s">
        <v>839</v>
      </c>
    </row>
    <row r="2" spans="2:120" ht="15.5" outlineLevel="1" x14ac:dyDescent="0.35">
      <c r="B2" s="114" t="s">
        <v>365</v>
      </c>
      <c r="T2" s="162" t="s">
        <v>634</v>
      </c>
      <c r="U2" s="157">
        <f>'Hảo_R&amp;D'!AK2</f>
        <v>0.77783045852077959</v>
      </c>
      <c r="W2" s="283">
        <f>'Hảo_R&amp;D'!AM2</f>
        <v>0.8081674874213195</v>
      </c>
      <c r="X2" s="718">
        <f>'[8]12. 100% vảy-&gt;hạt WSS01-iSS01'!$I$10</f>
        <v>1636.9775154230633</v>
      </c>
      <c r="Y2" s="157">
        <f>'Hảo_R&amp;D'!AO2</f>
        <v>0.85501479000000002</v>
      </c>
      <c r="AA2" s="157">
        <f>'Hảo_R&amp;D'!AQ2</f>
        <v>0.85501479000000002</v>
      </c>
      <c r="AE2" s="157">
        <f>'Hảo_R&amp;D'!AU2</f>
        <v>0.773478</v>
      </c>
      <c r="AL2" s="1145"/>
      <c r="AM2" s="69">
        <f t="shared" ref="AM2:AS2" si="3">AM6+AM14+AM24+AM33</f>
        <v>4.6999999999999993</v>
      </c>
      <c r="AN2" s="69">
        <f t="shared" si="3"/>
        <v>7.8000000000000007</v>
      </c>
      <c r="AO2" s="69">
        <f t="shared" si="3"/>
        <v>0.4</v>
      </c>
      <c r="AP2" s="69">
        <f t="shared" si="3"/>
        <v>1</v>
      </c>
      <c r="AQ2" s="69">
        <f t="shared" si="3"/>
        <v>0.1</v>
      </c>
      <c r="AR2" s="69">
        <f t="shared" si="3"/>
        <v>1</v>
      </c>
      <c r="AS2" s="69">
        <f t="shared" si="3"/>
        <v>15</v>
      </c>
      <c r="AU2" s="130">
        <f>AM3*1.25</f>
        <v>29079.280391018197</v>
      </c>
      <c r="AV2" s="130">
        <f t="shared" ref="AV2:AZ2" si="4">AN3*1.25</f>
        <v>46447.674008482718</v>
      </c>
      <c r="AW2" s="130">
        <f t="shared" si="4"/>
        <v>2251.4230426353211</v>
      </c>
      <c r="AX2" s="130">
        <f t="shared" si="4"/>
        <v>5628.5576065883024</v>
      </c>
      <c r="AY2" s="130">
        <f t="shared" si="4"/>
        <v>536.05310538936214</v>
      </c>
      <c r="AZ2" s="130">
        <f t="shared" si="4"/>
        <v>6221.8964211005359</v>
      </c>
      <c r="BA2" s="205">
        <f>SUM(AU2:AZ2)</f>
        <v>90164.884575214441</v>
      </c>
      <c r="BB2" s="200">
        <v>62000</v>
      </c>
      <c r="BF2" s="720">
        <v>26500</v>
      </c>
      <c r="BG2" s="325">
        <f>AK17</f>
        <v>1250</v>
      </c>
      <c r="BH2" s="329">
        <f>BG2/$BG$6</f>
        <v>1.1467889908256881</v>
      </c>
      <c r="BI2" s="332">
        <f>'H_Tỷ lệ HH&amp;PS (-PS)'!EG6</f>
        <v>1072.6138381546739</v>
      </c>
      <c r="BJ2" s="497">
        <f>BI2/$BI$6</f>
        <v>1.1044834013114175</v>
      </c>
      <c r="BK2" s="524">
        <f>BG2-BI2</f>
        <v>177.38616184532611</v>
      </c>
      <c r="BL2" s="166">
        <f>BK2/BG2</f>
        <v>0.14190892947626088</v>
      </c>
      <c r="BM2" s="335">
        <f>'Hảo_R&amp;D (Hạt-Full stage-Mix)'!AO17/BF2*1000</f>
        <v>977.5238396395398</v>
      </c>
      <c r="BN2" s="280" t="str">
        <f>T17</f>
        <v>Hạt iSS01084G</v>
      </c>
      <c r="BO2" s="540">
        <v>1</v>
      </c>
      <c r="BP2" s="279">
        <f>BC17</f>
        <v>3666.6666666666665</v>
      </c>
      <c r="BQ2" s="279">
        <f>BD17</f>
        <v>6666.666666666667</v>
      </c>
      <c r="BR2" s="281">
        <f>BP2/$BP$1</f>
        <v>6.6666666666666666E-2</v>
      </c>
      <c r="BS2" s="281">
        <f t="shared" ref="BS2:BS9" si="5">BQ2/$BQ$1</f>
        <v>6.6666666666666666E-2</v>
      </c>
      <c r="BT2" s="279">
        <f>BP2/12</f>
        <v>305.55555555555554</v>
      </c>
      <c r="BU2" s="279">
        <f>BQ2/12</f>
        <v>555.55555555555554</v>
      </c>
      <c r="BV2" s="504">
        <f>'[10]ZCOR0019-03.26'!$BA$26</f>
        <v>7.882989970244117E-2</v>
      </c>
      <c r="BW2" s="199">
        <f>'[10]ZCOR0019-03.26'!$AZ$26*4/1000</f>
        <v>1764.3173999999999</v>
      </c>
      <c r="BX2" s="199">
        <f>BW2/3</f>
        <v>588.10579999999993</v>
      </c>
      <c r="BY2" s="504">
        <f>BZ2/$BZ$10</f>
        <v>0.1613130582872285</v>
      </c>
      <c r="BZ2" s="199">
        <f>[11]Chart!$AV$4/1000</f>
        <v>2666.4</v>
      </c>
      <c r="CA2" s="199">
        <f>BZ2/4</f>
        <v>666.6</v>
      </c>
      <c r="CB2" s="199">
        <f>CA2-BT2</f>
        <v>361.04444444444448</v>
      </c>
      <c r="CC2" s="199">
        <f>CB2/'Hảo_R&amp;D (Hạt) (full stage)-MN'!$V$2</f>
        <v>396.75213675213678</v>
      </c>
      <c r="CD2" s="199">
        <f>CH2-BI2</f>
        <v>240</v>
      </c>
      <c r="CE2" s="525">
        <f>(CG2+CF2)/CH2</f>
        <v>0.18284128433188074</v>
      </c>
      <c r="CF2" s="280">
        <v>140</v>
      </c>
      <c r="CG2" s="280">
        <v>100</v>
      </c>
      <c r="CH2" s="279">
        <f>BI2+CF2+CG2</f>
        <v>1312.6138381546739</v>
      </c>
      <c r="CI2" s="199">
        <f>CG2*BT2</f>
        <v>30555.555555555555</v>
      </c>
      <c r="CJ2" s="279">
        <f t="shared" ref="CJ2:CJ10" si="6">CI2*$CK$1</f>
        <v>809722222.22222221</v>
      </c>
      <c r="CL2" s="513">
        <v>1211.3963108001421</v>
      </c>
      <c r="CM2" s="513">
        <f>CH2</f>
        <v>1312.6138381546739</v>
      </c>
      <c r="CN2" s="513">
        <f>CM2-CL2</f>
        <v>101.21752735453174</v>
      </c>
      <c r="CO2" s="514"/>
      <c r="CP2" s="512">
        <f>CP4+90</f>
        <v>1470</v>
      </c>
      <c r="CQ2" s="513">
        <f>CP2-CM2</f>
        <v>157.38616184532611</v>
      </c>
      <c r="CR2" s="296">
        <f t="shared" ref="CR2:CR9" si="7">CQ2/CP2</f>
        <v>0.10706541622131029</v>
      </c>
      <c r="CS2" s="513">
        <v>1299.3674300717448</v>
      </c>
      <c r="CT2" s="513">
        <v>1349.4282238420415</v>
      </c>
      <c r="CU2" s="513">
        <f>CT2-CS2</f>
        <v>50.060793770296641</v>
      </c>
      <c r="CV2" s="514"/>
      <c r="CX2" s="783">
        <f>(CP2-BI2-CF2)/CP2</f>
        <v>0.17509262710566403</v>
      </c>
      <c r="CY2" s="525">
        <f>(CP2-BI2)/CP2</f>
        <v>0.27033072234375927</v>
      </c>
      <c r="CZ2" s="280" t="s">
        <v>379</v>
      </c>
      <c r="DA2" s="540">
        <v>1</v>
      </c>
      <c r="DB2" s="513">
        <v>1211.3963108001421</v>
      </c>
      <c r="DC2" s="513">
        <v>1256.3818785132676</v>
      </c>
      <c r="DD2" s="513">
        <v>1284.4978583339707</v>
      </c>
      <c r="DE2" s="513">
        <v>1323.8602300829548</v>
      </c>
      <c r="DF2" s="513">
        <f t="shared" ref="DF2:DF9" si="8">DE2-DD2</f>
        <v>39.36237174898406</v>
      </c>
      <c r="DH2" s="280" t="s">
        <v>379</v>
      </c>
      <c r="DI2" s="540">
        <v>1</v>
      </c>
      <c r="DJ2" s="513">
        <v>1211.3963108001421</v>
      </c>
      <c r="DK2" s="513">
        <v>1284.4978583339707</v>
      </c>
      <c r="DL2" s="513">
        <f>DK2-DJ2</f>
        <v>73.10154753382858</v>
      </c>
      <c r="DM2" s="514"/>
      <c r="DN2" s="512">
        <f>DN4+90</f>
        <v>1470</v>
      </c>
      <c r="DO2" s="513">
        <f>DN2-DK2</f>
        <v>185.50214166602927</v>
      </c>
      <c r="DP2" s="296">
        <f>DO2/DN2</f>
        <v>0.12619193310614235</v>
      </c>
    </row>
    <row r="3" spans="2:120" outlineLevel="1" x14ac:dyDescent="0.35">
      <c r="T3" s="162" t="s">
        <v>958</v>
      </c>
      <c r="U3" s="395">
        <f>U1/U2</f>
        <v>19027.282665358136</v>
      </c>
      <c r="W3" s="131">
        <f>W1/W2</f>
        <v>20169.086549138014</v>
      </c>
      <c r="X3" s="718">
        <f>'[8]10. 100% chai-&gt;hạt WSS01-iSS01'!$I$21+'[8]10. 100% chai-&gt;hạt WSS01-iSS01'!$I$37</f>
        <v>4716.6433044810765</v>
      </c>
      <c r="Y3" s="131">
        <f>Y1/Y2</f>
        <v>17309.642094027404</v>
      </c>
      <c r="AA3" s="131">
        <f>AA1/AA2</f>
        <v>15555.28647638949</v>
      </c>
      <c r="AC3" s="169">
        <f>'[8]16.1 Rửa vảy B7'!$I$48</f>
        <v>14341.250211551116</v>
      </c>
      <c r="AE3" s="131">
        <f>AE1/AE2</f>
        <v>17195.059200132389</v>
      </c>
      <c r="AG3" s="121" t="s">
        <v>636</v>
      </c>
      <c r="AH3" s="121" t="s">
        <v>718</v>
      </c>
      <c r="AI3" s="173"/>
      <c r="AJ3" t="s">
        <v>391</v>
      </c>
      <c r="AK3" t="s">
        <v>393</v>
      </c>
      <c r="AL3" s="1145"/>
      <c r="AM3" s="109">
        <f>(AM4/U2)*1.05</f>
        <v>23263.424312814557</v>
      </c>
      <c r="AN3" s="109">
        <f>(AN4/W2)*1.05</f>
        <v>37158.139206786174</v>
      </c>
      <c r="AO3" s="109">
        <f>(AO4/Y2)*1.05</f>
        <v>1801.1384341082569</v>
      </c>
      <c r="AP3" s="109">
        <f>(AP4/AA2)*1.05</f>
        <v>4502.8460852706421</v>
      </c>
      <c r="AQ3" s="109">
        <f>AQ4/AA2</f>
        <v>428.84248431148973</v>
      </c>
      <c r="AR3" s="109">
        <f>(AR4/AE2)*1.05</f>
        <v>4977.5171368804286</v>
      </c>
      <c r="AS3" s="205">
        <f>SUM(AM3:AR3)</f>
        <v>72131.907660171564</v>
      </c>
      <c r="AU3" s="109">
        <f>(AU4/U2)*1.05</f>
        <v>42297.135114208279</v>
      </c>
      <c r="AV3" s="109">
        <f>(AV4/W2)*1.05</f>
        <v>67560.253103247582</v>
      </c>
      <c r="AW3" s="109">
        <f>(AW4/Y2)*1.05</f>
        <v>3274.7971529241036</v>
      </c>
      <c r="AX3" s="109">
        <f>(AX4/AA2)*1.05</f>
        <v>8186.9928823102582</v>
      </c>
      <c r="AY3" s="109">
        <f>AY4/AA2</f>
        <v>779.71360783907221</v>
      </c>
      <c r="AZ3" s="109">
        <f>(AZ4/AE2)*1.05</f>
        <v>9050.0311579644167</v>
      </c>
      <c r="BA3" s="205">
        <f>SUM(AU3:AZ3)</f>
        <v>131148.92301849369</v>
      </c>
      <c r="BB3" s="996">
        <f>BB2/BA2</f>
        <v>0.68762911738971244</v>
      </c>
      <c r="BG3" s="325">
        <f>AK8</f>
        <v>1190</v>
      </c>
      <c r="BH3" s="330">
        <f>BG3/$BG$6</f>
        <v>1.0917431192660549</v>
      </c>
      <c r="BI3" s="332">
        <f>'H_Tỷ lệ HH&amp;PS (-PS)'!EG8</f>
        <v>1052.6620277764632</v>
      </c>
      <c r="BJ3" s="497">
        <f t="shared" ref="BJ3:BJ9" si="9">BI3/$BI$6</f>
        <v>1.0839387816123487</v>
      </c>
      <c r="BK3" s="524">
        <f t="shared" ref="BK3:BK5" si="10">BG3-BI3</f>
        <v>137.33797222353678</v>
      </c>
      <c r="BL3" s="166">
        <f t="shared" ref="BL3:BL9" si="11">BK3/BG3</f>
        <v>0.11541006069204772</v>
      </c>
      <c r="BM3" s="335">
        <f>'Hảo_R&amp;D (Hạt-Full stage-Mix)'!AO16/BF2*1000</f>
        <v>977.5238396395398</v>
      </c>
      <c r="BN3" s="1" t="str">
        <f>T16</f>
        <v>Hạt iSS01G</v>
      </c>
      <c r="BO3" s="3">
        <v>2</v>
      </c>
      <c r="BP3" s="300">
        <f>BC8+BC16</f>
        <v>7333.333333333333</v>
      </c>
      <c r="BQ3" s="300">
        <f>BD8+BD16</f>
        <v>13333.333333333334</v>
      </c>
      <c r="BR3" s="301">
        <f t="shared" si="2"/>
        <v>0.13333333333333333</v>
      </c>
      <c r="BS3" s="301">
        <f t="shared" si="5"/>
        <v>0.13333333333333333</v>
      </c>
      <c r="BT3" s="300">
        <f t="shared" ref="BT3:BU9" si="12">BP3/12</f>
        <v>611.11111111111109</v>
      </c>
      <c r="BU3" s="300">
        <f t="shared" si="12"/>
        <v>1111.1111111111111</v>
      </c>
      <c r="BV3" s="153">
        <f>'[10]ZCOR0019-03.26'!$BA$27</f>
        <v>0.23350233317759631</v>
      </c>
      <c r="BW3" s="109">
        <f>'[10]ZCOR0019-03.26'!$AZ$27/3*12/1000</f>
        <v>5226.0910000000003</v>
      </c>
      <c r="BX3" s="109">
        <f>BW3/3</f>
        <v>1742.0303333333334</v>
      </c>
      <c r="BY3" s="153">
        <f t="shared" ref="BY3:BY10" si="13">BZ3/$BZ$10</f>
        <v>0.1020911288102678</v>
      </c>
      <c r="BZ3" s="109">
        <f>[11]Chart!$AV$5/1000</f>
        <v>1687.5</v>
      </c>
      <c r="CA3" s="109">
        <f t="shared" ref="CA3:CA9" si="14">BZ3/4</f>
        <v>421.875</v>
      </c>
      <c r="CB3" s="199">
        <f t="shared" ref="CB3:CB4" si="15">CA3-BT3</f>
        <v>-189.23611111111109</v>
      </c>
      <c r="CC3" s="199">
        <f>CB3/'Hảo_R&amp;D (Hạt) (full stage)-MN'!$V$2</f>
        <v>-207.95177045177041</v>
      </c>
      <c r="CD3" s="199">
        <f t="shared" ref="CD3:CD9" si="16">CH3-BI3</f>
        <v>210</v>
      </c>
      <c r="CE3" s="525">
        <f t="shared" ref="CE3:CE9" si="17">(CG3+CF3)/CH3</f>
        <v>0.16631528895329825</v>
      </c>
      <c r="CF3">
        <f>CF2</f>
        <v>140</v>
      </c>
      <c r="CG3">
        <f>CG2-30</f>
        <v>70</v>
      </c>
      <c r="CH3" s="130">
        <f t="shared" ref="CH3:CH9" si="18">BI3+CF3+CG3</f>
        <v>1262.6620277764632</v>
      </c>
      <c r="CI3" s="109">
        <f t="shared" ref="CI3:CI9" si="19">CG3*BT3</f>
        <v>42777.777777777774</v>
      </c>
      <c r="CJ3" s="130">
        <f t="shared" si="6"/>
        <v>1133611111.1111109</v>
      </c>
      <c r="CL3" s="130">
        <v>1161.9743663399859</v>
      </c>
      <c r="CM3" s="130">
        <f>CH3</f>
        <v>1262.6620277764632</v>
      </c>
      <c r="CN3" s="130">
        <f t="shared" ref="CN3:CN9" si="20">CM3-CL3</f>
        <v>100.68766143647736</v>
      </c>
      <c r="CP3" s="512">
        <f>CP4+30</f>
        <v>1410</v>
      </c>
      <c r="CQ3" s="130">
        <f t="shared" ref="CQ3:CQ9" si="21">CP3-CM3</f>
        <v>147.33797222353678</v>
      </c>
      <c r="CR3" s="296">
        <f t="shared" si="7"/>
        <v>0.1044950157613736</v>
      </c>
      <c r="CS3" s="130">
        <v>1230.3200109309132</v>
      </c>
      <c r="CT3" s="130">
        <v>1277.9778866002357</v>
      </c>
      <c r="CU3" s="130">
        <f t="shared" ref="CU3:CU9" si="22">CT3-CS3</f>
        <v>47.657875669322493</v>
      </c>
      <c r="CX3" s="783">
        <f t="shared" ref="CX3:CX9" si="23">(CP3-BI3-CF3)/CP3</f>
        <v>0.1541404058322956</v>
      </c>
      <c r="CY3" s="525">
        <f t="shared" ref="CY3:CY9" si="24">(CP3-BI3)/CP3</f>
        <v>0.25343118597413955</v>
      </c>
      <c r="CZ3" s="1" t="s">
        <v>378</v>
      </c>
      <c r="DA3" s="3">
        <v>2</v>
      </c>
      <c r="DB3" s="130">
        <v>1161.9743663399859</v>
      </c>
      <c r="DC3" s="130">
        <v>1206.7302494070848</v>
      </c>
      <c r="DD3" s="130">
        <v>1234.6977895342607</v>
      </c>
      <c r="DE3" s="130">
        <v>1273.8468725077751</v>
      </c>
      <c r="DF3" s="130">
        <f t="shared" si="8"/>
        <v>39.149082973514396</v>
      </c>
      <c r="DH3" s="1" t="s">
        <v>378</v>
      </c>
      <c r="DI3" s="3">
        <v>2</v>
      </c>
      <c r="DJ3" s="130">
        <v>1161.9743663399859</v>
      </c>
      <c r="DK3" s="130">
        <v>1234.6977895342607</v>
      </c>
      <c r="DL3" s="130">
        <f t="shared" ref="DL3:DL9" si="25">DK3-DJ3</f>
        <v>72.723423194274801</v>
      </c>
      <c r="DN3" s="512">
        <f>DN4+30</f>
        <v>1410</v>
      </c>
      <c r="DO3" s="130">
        <f t="shared" ref="DO3:DO4" si="26">DN3-DK3</f>
        <v>175.30221046573934</v>
      </c>
      <c r="DP3" s="296">
        <f t="shared" ref="DP3:DP9" si="27">DO3/DN3</f>
        <v>0.12432780884094988</v>
      </c>
    </row>
    <row r="4" spans="2:120" x14ac:dyDescent="0.35">
      <c r="T4" s="120" t="s">
        <v>957</v>
      </c>
      <c r="U4" s="115" t="s">
        <v>367</v>
      </c>
      <c r="W4" s="115" t="s">
        <v>374</v>
      </c>
      <c r="Y4" s="115" t="s">
        <v>375</v>
      </c>
      <c r="AA4" s="115" t="s">
        <v>382</v>
      </c>
      <c r="AC4" s="115" t="s">
        <v>384</v>
      </c>
      <c r="AE4" s="115" t="s">
        <v>385</v>
      </c>
      <c r="AG4" s="127" t="s">
        <v>376</v>
      </c>
      <c r="AH4" s="127"/>
      <c r="AJ4" s="129">
        <v>26500</v>
      </c>
      <c r="AL4" s="1145"/>
      <c r="AM4" s="195">
        <f>AM1*$BC$1</f>
        <v>17233.333333333332</v>
      </c>
      <c r="AN4" s="195">
        <f>AN1*$BC$1</f>
        <v>28600</v>
      </c>
      <c r="AO4" s="195">
        <f t="shared" ref="AO4:AS4" si="28">AO1*$BC$1</f>
        <v>1466.6666666666667</v>
      </c>
      <c r="AP4" s="195">
        <f t="shared" si="28"/>
        <v>3666.6666666666665</v>
      </c>
      <c r="AQ4" s="195">
        <f t="shared" si="28"/>
        <v>366.66666666666669</v>
      </c>
      <c r="AR4" s="195">
        <f t="shared" si="28"/>
        <v>3666.6666666666665</v>
      </c>
      <c r="AS4" s="990">
        <f t="shared" si="28"/>
        <v>55000</v>
      </c>
      <c r="AU4" s="195">
        <f>AM1*$BD$1</f>
        <v>31333.333333333328</v>
      </c>
      <c r="AV4" s="195">
        <f t="shared" ref="AV4:BA4" si="29">AN1*$BD$1</f>
        <v>52000</v>
      </c>
      <c r="AW4" s="195">
        <f t="shared" si="29"/>
        <v>2666.666666666667</v>
      </c>
      <c r="AX4" s="195">
        <f t="shared" si="29"/>
        <v>6666.666666666667</v>
      </c>
      <c r="AY4" s="195">
        <f t="shared" si="29"/>
        <v>666.66666666666674</v>
      </c>
      <c r="AZ4" s="195">
        <f t="shared" si="29"/>
        <v>6666.666666666667</v>
      </c>
      <c r="BA4" s="990">
        <f t="shared" si="29"/>
        <v>100000</v>
      </c>
      <c r="BB4" s="721">
        <f>AS4/BA2</f>
        <v>0.60999357187797065</v>
      </c>
      <c r="BE4" s="990">
        <f>AS4/12</f>
        <v>4583.333333333333</v>
      </c>
      <c r="BF4" s="991">
        <f>BA4/12</f>
        <v>8333.3333333333339</v>
      </c>
      <c r="BG4" s="325">
        <f>AK7</f>
        <v>1160</v>
      </c>
      <c r="BH4" s="330">
        <f>BG4/$BG$6</f>
        <v>1.0642201834862386</v>
      </c>
      <c r="BI4" s="403">
        <f>'H_Tỷ lệ HH&amp;PS (-PS)'!EG10</f>
        <v>993.86709255539631</v>
      </c>
      <c r="BJ4" s="497">
        <f t="shared" si="9"/>
        <v>1.023396927943401</v>
      </c>
      <c r="BK4" s="524">
        <f t="shared" si="10"/>
        <v>166.13290744460369</v>
      </c>
      <c r="BL4" s="166">
        <f t="shared" si="11"/>
        <v>0.1432180236591411</v>
      </c>
      <c r="BM4" s="335">
        <f>'Hảo_R&amp;D (Hạt-Full stage-Mix)'!AO15/26500*1000</f>
        <v>977.5238396395398</v>
      </c>
      <c r="BN4" s="179" t="str">
        <f>T15</f>
        <v>Hạt WSS01G</v>
      </c>
      <c r="BO4" s="541">
        <v>3</v>
      </c>
      <c r="BP4" s="273">
        <f>BC7+BC15+BC25+BC27</f>
        <v>14666.666666666666</v>
      </c>
      <c r="BQ4" s="183">
        <f>BD7+BD15+BD25+BD27</f>
        <v>26666.666666666668</v>
      </c>
      <c r="BR4" s="570">
        <f t="shared" si="2"/>
        <v>0.26666666666666666</v>
      </c>
      <c r="BS4" s="283">
        <f t="shared" si="5"/>
        <v>0.26666666666666666</v>
      </c>
      <c r="BT4" s="183">
        <f t="shared" si="12"/>
        <v>1222.2222222222222</v>
      </c>
      <c r="BU4" s="183">
        <f t="shared" si="12"/>
        <v>2222.2222222222222</v>
      </c>
      <c r="BV4" s="157">
        <f>'[10]ZCOR0019-03.26'!$BA$25</f>
        <v>0.12892607275073253</v>
      </c>
      <c r="BW4" s="147">
        <f>'[10]ZCOR0019-03.26'!$AZ$25/3*12/1000</f>
        <v>2885.5360000000001</v>
      </c>
      <c r="BX4" s="147">
        <f>BW4/3</f>
        <v>961.84533333333331</v>
      </c>
      <c r="BY4" s="157">
        <f>BZ4/$BZ$10</f>
        <v>0.51602755099262831</v>
      </c>
      <c r="BZ4" s="147">
        <f>[11]Chart!$AV$6/1000</f>
        <v>8529.6</v>
      </c>
      <c r="CA4" s="147">
        <f t="shared" si="14"/>
        <v>2132.4</v>
      </c>
      <c r="CB4" s="199">
        <f t="shared" si="15"/>
        <v>910.17777777777792</v>
      </c>
      <c r="CC4" s="199">
        <f>CB4/'Hảo_R&amp;D (Hạt) (full stage)-MN'!$V$2</f>
        <v>1000.1953601953603</v>
      </c>
      <c r="CD4" s="199">
        <f t="shared" si="16"/>
        <v>190</v>
      </c>
      <c r="CE4" s="525">
        <f>(CG4+CF4)/CH4</f>
        <v>0.1604909885533535</v>
      </c>
      <c r="CF4" s="181">
        <f>CF2</f>
        <v>140</v>
      </c>
      <c r="CG4" s="181">
        <v>50</v>
      </c>
      <c r="CH4" s="183">
        <f>BI4+CF4+CG4</f>
        <v>1183.8670925553963</v>
      </c>
      <c r="CI4" s="147">
        <f>CG4*BT4</f>
        <v>61111.111111111109</v>
      </c>
      <c r="CJ4" s="183">
        <f t="shared" si="6"/>
        <v>1619444444.4444444</v>
      </c>
      <c r="CL4" s="183">
        <v>1085.7177755248804</v>
      </c>
      <c r="CM4" s="183">
        <f>CH4</f>
        <v>1183.8670925553963</v>
      </c>
      <c r="CN4" s="183">
        <f>CM4-CL4</f>
        <v>98.149317030515931</v>
      </c>
      <c r="CO4" s="181"/>
      <c r="CP4" s="147">
        <v>1380</v>
      </c>
      <c r="CQ4" s="183">
        <f t="shared" si="21"/>
        <v>196.13290744460369</v>
      </c>
      <c r="CR4" s="296">
        <f>CQ4/CP4</f>
        <v>0.14212529524971282</v>
      </c>
      <c r="CS4" s="183">
        <v>1190.7963013604976</v>
      </c>
      <c r="CT4" s="183">
        <v>1237.2527179793328</v>
      </c>
      <c r="CU4" s="183">
        <f>CT4-CS4</f>
        <v>46.456416618835192</v>
      </c>
      <c r="CV4" s="181"/>
      <c r="CX4" s="783">
        <f t="shared" si="23"/>
        <v>0.17835717930768383</v>
      </c>
      <c r="CY4" s="525">
        <f>(CP4-BI4)/CP4</f>
        <v>0.27980645467000265</v>
      </c>
      <c r="CZ4" s="179" t="s">
        <v>377</v>
      </c>
      <c r="DA4" s="541">
        <v>3</v>
      </c>
      <c r="DB4" s="183">
        <v>1085.7177755248804</v>
      </c>
      <c r="DC4" s="183">
        <v>1129.3453590188592</v>
      </c>
      <c r="DD4" s="183">
        <v>1156.6078351092156</v>
      </c>
      <c r="DE4" s="183">
        <v>1194.7699664111287</v>
      </c>
      <c r="DF4" s="183">
        <f t="shared" si="8"/>
        <v>38.162131301913178</v>
      </c>
      <c r="DG4" s="130">
        <f>DD4-CM4</f>
        <v>-27.259257446180754</v>
      </c>
      <c r="DH4" s="179" t="s">
        <v>377</v>
      </c>
      <c r="DI4" s="541">
        <v>3</v>
      </c>
      <c r="DJ4" s="183">
        <v>1085.7177755248804</v>
      </c>
      <c r="DK4" s="183">
        <v>1156.6078351092156</v>
      </c>
      <c r="DL4" s="183">
        <f t="shared" si="25"/>
        <v>70.890059584335177</v>
      </c>
      <c r="DM4" s="181"/>
      <c r="DN4" s="147">
        <v>1380</v>
      </c>
      <c r="DO4" s="183">
        <f t="shared" si="26"/>
        <v>223.39216489078444</v>
      </c>
      <c r="DP4" s="296">
        <f t="shared" si="27"/>
        <v>0.16187838035564089</v>
      </c>
    </row>
    <row r="5" spans="2:120" x14ac:dyDescent="0.35">
      <c r="T5" s="120" t="s">
        <v>956</v>
      </c>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c r="AI5" s="123" t="s">
        <v>372</v>
      </c>
      <c r="AJ5" s="123" t="s">
        <v>372</v>
      </c>
      <c r="AK5" t="s">
        <v>392</v>
      </c>
      <c r="AL5" s="1145"/>
      <c r="AM5" s="189" t="str">
        <f>U5</f>
        <v>B6.2</v>
      </c>
      <c r="AN5" s="189" t="str">
        <f>W5</f>
        <v>B1</v>
      </c>
      <c r="AO5" s="189" t="str">
        <f>Y5</f>
        <v>B2.2</v>
      </c>
      <c r="AP5" s="189" t="str">
        <f>AA5</f>
        <v>B5</v>
      </c>
      <c r="AQ5" s="189" t="str">
        <f>AC5</f>
        <v>B7</v>
      </c>
      <c r="AR5" s="189" t="str">
        <f>AE5</f>
        <v>B4</v>
      </c>
      <c r="AS5" s="995" t="s">
        <v>47</v>
      </c>
      <c r="AU5" s="992" t="str">
        <f t="shared" ref="AU5:AZ5" si="30">AM5</f>
        <v>B6.2</v>
      </c>
      <c r="AV5" s="992" t="str">
        <f t="shared" si="30"/>
        <v>B1</v>
      </c>
      <c r="AW5" s="992" t="str">
        <f t="shared" si="30"/>
        <v>B2.2</v>
      </c>
      <c r="AX5" s="992" t="str">
        <f t="shared" si="30"/>
        <v>B5</v>
      </c>
      <c r="AY5" s="992" t="str">
        <f t="shared" si="30"/>
        <v>B7</v>
      </c>
      <c r="AZ5" s="992" t="str">
        <f t="shared" si="30"/>
        <v>B4</v>
      </c>
      <c r="BA5" s="995" t="s">
        <v>47</v>
      </c>
      <c r="BE5" s="189" t="s">
        <v>47</v>
      </c>
      <c r="BF5" s="189" t="s">
        <v>47</v>
      </c>
      <c r="BG5" s="325">
        <f>AK18</f>
        <v>1130</v>
      </c>
      <c r="BH5" s="330">
        <f>BG5/$BG$6</f>
        <v>1.036697247706422</v>
      </c>
      <c r="BI5" s="332">
        <f>'H_Tỷ lệ HH&amp;PS (-PS)'!EG12</f>
        <v>971.14527649858462</v>
      </c>
      <c r="BJ5" s="497">
        <f t="shared" si="9"/>
        <v>1</v>
      </c>
      <c r="BK5" s="524">
        <f t="shared" si="10"/>
        <v>158.85472350141538</v>
      </c>
      <c r="BL5" s="166">
        <f t="shared" si="11"/>
        <v>0.14057940132868618</v>
      </c>
      <c r="BM5" s="335">
        <f>'Hảo_R&amp;D (Hạt-Full stage-Mix)'!AO18/26500*1000</f>
        <v>977.5238396395398</v>
      </c>
      <c r="BN5" s="294" t="str">
        <f>T18</f>
        <v>Hạt WSS03G</v>
      </c>
      <c r="BO5" s="542">
        <v>4</v>
      </c>
      <c r="BP5" s="295">
        <f>BC18</f>
        <v>3666.6666666666665</v>
      </c>
      <c r="BQ5" s="295">
        <f>BD18</f>
        <v>6666.666666666667</v>
      </c>
      <c r="BR5" s="296">
        <f t="shared" si="2"/>
        <v>6.6666666666666666E-2</v>
      </c>
      <c r="BS5" s="296">
        <f t="shared" si="5"/>
        <v>6.6666666666666666E-2</v>
      </c>
      <c r="BT5" s="295">
        <f t="shared" si="12"/>
        <v>305.55555555555554</v>
      </c>
      <c r="BU5" s="295">
        <f>BQ5/12</f>
        <v>555.55555555555554</v>
      </c>
      <c r="BV5" s="303">
        <f>'[10]ZCOR0019-03.26'!$BA$28</f>
        <v>0.30327623536668236</v>
      </c>
      <c r="BW5" s="304">
        <f>'[10]ZCOR0019-03.26'!$AZ$28/3*12/1000</f>
        <v>6787.7231999999995</v>
      </c>
      <c r="BX5" s="304">
        <f>BW5/3</f>
        <v>2262.5744</v>
      </c>
      <c r="BY5" s="722">
        <f t="shared" si="13"/>
        <v>7.5408288892182707E-2</v>
      </c>
      <c r="BZ5" s="304">
        <f>[11]Chart!$AV$7/1000</f>
        <v>1246.45</v>
      </c>
      <c r="CA5" s="304">
        <f t="shared" si="14"/>
        <v>311.61250000000001</v>
      </c>
      <c r="CB5" s="199"/>
      <c r="CC5" s="304"/>
      <c r="CD5" s="199">
        <f t="shared" si="16"/>
        <v>190.00000000000011</v>
      </c>
      <c r="CE5" s="525">
        <f t="shared" si="17"/>
        <v>0.16363154882129996</v>
      </c>
      <c r="CF5" s="294">
        <f>CF2</f>
        <v>140</v>
      </c>
      <c r="CG5" s="294">
        <f>CG4</f>
        <v>50</v>
      </c>
      <c r="CH5" s="295">
        <f t="shared" si="18"/>
        <v>1161.1452764985847</v>
      </c>
      <c r="CI5" s="304">
        <f t="shared" si="19"/>
        <v>15277.777777777777</v>
      </c>
      <c r="CJ5" s="295">
        <f t="shared" si="6"/>
        <v>404861111.1111111</v>
      </c>
      <c r="CL5" s="295">
        <v>1065.5343038740307</v>
      </c>
      <c r="CM5" s="295">
        <f>CH5</f>
        <v>1161.1452764985847</v>
      </c>
      <c r="CN5" s="295">
        <f>CM5-CL5</f>
        <v>95.610972624554051</v>
      </c>
      <c r="CO5" s="294"/>
      <c r="CP5" s="304">
        <f>CP4-70</f>
        <v>1310</v>
      </c>
      <c r="CQ5" s="295">
        <f>CP5-CM5</f>
        <v>148.85472350141526</v>
      </c>
      <c r="CR5" s="296">
        <f t="shared" si="7"/>
        <v>0.11362955992474448</v>
      </c>
      <c r="CS5" s="295">
        <v>1171.2725917900818</v>
      </c>
      <c r="CT5" s="295">
        <v>1216.52754935843</v>
      </c>
      <c r="CU5" s="295">
        <f t="shared" si="22"/>
        <v>45.254957568348118</v>
      </c>
      <c r="CV5" s="294"/>
      <c r="CX5" s="783">
        <f t="shared" si="23"/>
        <v>0.15179749885604227</v>
      </c>
      <c r="CY5" s="525">
        <f t="shared" si="24"/>
        <v>0.25866772786367587</v>
      </c>
      <c r="CZ5" s="294" t="s">
        <v>380</v>
      </c>
      <c r="DA5" s="542">
        <v>4</v>
      </c>
      <c r="DB5" s="295">
        <v>1065.5343038740307</v>
      </c>
      <c r="DC5" s="295">
        <v>1108.0335877948892</v>
      </c>
      <c r="DD5" s="295">
        <v>1134.590999848426</v>
      </c>
      <c r="DE5" s="295">
        <v>1171.7661794787377</v>
      </c>
      <c r="DF5" s="295">
        <f t="shared" si="8"/>
        <v>37.175179630311732</v>
      </c>
      <c r="DG5" s="316"/>
      <c r="DH5" s="294" t="s">
        <v>380</v>
      </c>
      <c r="DI5" s="542">
        <v>4</v>
      </c>
      <c r="DJ5" s="295">
        <v>1065.5343038740307</v>
      </c>
      <c r="DK5" s="295">
        <v>1134.590999848426</v>
      </c>
      <c r="DL5" s="295">
        <f t="shared" si="25"/>
        <v>69.056695974395325</v>
      </c>
      <c r="DM5" s="294"/>
      <c r="DN5" s="304">
        <f>DN4-70</f>
        <v>1310</v>
      </c>
      <c r="DO5" s="295">
        <f>DN5-DK5</f>
        <v>175.40900015157399</v>
      </c>
      <c r="DP5" s="296">
        <f t="shared" si="27"/>
        <v>0.13390000011570533</v>
      </c>
    </row>
    <row r="6" spans="2:120" x14ac:dyDescent="0.35">
      <c r="T6" s="119" t="s">
        <v>390</v>
      </c>
      <c r="AG6" s="277">
        <v>0.3</v>
      </c>
      <c r="AH6" s="277"/>
      <c r="AM6" s="188">
        <f>SUM(AM7:AM11)</f>
        <v>2.5499999999999998</v>
      </c>
      <c r="AN6" s="188">
        <f t="shared" ref="AN6:AS6" si="31">SUM(AN7:AN11)</f>
        <v>2.0500000000000003</v>
      </c>
      <c r="AO6" s="188">
        <f t="shared" si="31"/>
        <v>0.15</v>
      </c>
      <c r="AP6" s="188">
        <f t="shared" si="31"/>
        <v>0.25</v>
      </c>
      <c r="AQ6" s="188">
        <f t="shared" si="31"/>
        <v>0</v>
      </c>
      <c r="AR6" s="188">
        <f t="shared" si="31"/>
        <v>0</v>
      </c>
      <c r="AS6" s="188">
        <f t="shared" si="31"/>
        <v>5</v>
      </c>
      <c r="AU6" s="188">
        <f>AM6/AM$2</f>
        <v>0.54255319148936176</v>
      </c>
      <c r="AV6" s="188">
        <f>AN6/AN$2</f>
        <v>0.26282051282051283</v>
      </c>
      <c r="AW6" s="188">
        <f t="shared" ref="AV6:BA11" si="32">AO6/AO$2</f>
        <v>0.37499999999999994</v>
      </c>
      <c r="AX6" s="188">
        <f t="shared" si="32"/>
        <v>0.25</v>
      </c>
      <c r="AY6" s="188">
        <f t="shared" si="32"/>
        <v>0</v>
      </c>
      <c r="AZ6" s="188">
        <f t="shared" si="32"/>
        <v>0</v>
      </c>
      <c r="BA6" s="188">
        <f t="shared" si="32"/>
        <v>0.33333333333333331</v>
      </c>
      <c r="BC6" s="275">
        <f>$BC$1*BA6</f>
        <v>18333.333333333332</v>
      </c>
      <c r="BD6" s="275">
        <f t="shared" ref="BD6:BD11" si="33">$BD$1*BA6</f>
        <v>33333.333333333328</v>
      </c>
      <c r="BE6" s="196">
        <f t="shared" ref="BE6:BF11" si="34">BC6/12</f>
        <v>1527.7777777777776</v>
      </c>
      <c r="BF6" s="196">
        <f t="shared" si="34"/>
        <v>2777.7777777777774</v>
      </c>
      <c r="BG6" s="326">
        <f>AK9</f>
        <v>1090</v>
      </c>
      <c r="BH6" s="331">
        <f>BG6/$BG$6</f>
        <v>1</v>
      </c>
      <c r="BI6" s="496">
        <f>BI5</f>
        <v>971.14527649858462</v>
      </c>
      <c r="BJ6" s="497">
        <f t="shared" si="9"/>
        <v>1</v>
      </c>
      <c r="BK6" s="524">
        <f>BG6-BI6</f>
        <v>118.85472350141538</v>
      </c>
      <c r="BL6" s="166">
        <f t="shared" si="11"/>
        <v>0.10904103073524346</v>
      </c>
      <c r="BM6" s="334"/>
      <c r="BN6" s="294" t="str">
        <f>T9</f>
        <v>Hạt WSS03G-PW</v>
      </c>
      <c r="BO6" s="542">
        <v>5</v>
      </c>
      <c r="BP6" s="295">
        <f>BC9+BC26</f>
        <v>7333.333333333333</v>
      </c>
      <c r="BQ6" s="295">
        <f>BD9+BD26</f>
        <v>13333.333333333334</v>
      </c>
      <c r="BR6" s="296">
        <f t="shared" si="2"/>
        <v>0.13333333333333333</v>
      </c>
      <c r="BS6" s="296">
        <f t="shared" si="5"/>
        <v>0.13333333333333333</v>
      </c>
      <c r="BT6" s="295">
        <f t="shared" si="12"/>
        <v>611.11111111111109</v>
      </c>
      <c r="BU6" s="295">
        <f t="shared" si="12"/>
        <v>1111.1111111111111</v>
      </c>
      <c r="BV6" s="294"/>
      <c r="BW6" s="304"/>
      <c r="BX6" s="294"/>
      <c r="BY6" s="722">
        <f t="shared" si="13"/>
        <v>5.4569598925547594E-2</v>
      </c>
      <c r="BZ6" s="304">
        <f>[11]Chart!$AV$8/1000</f>
        <v>902</v>
      </c>
      <c r="CA6" s="304">
        <f t="shared" si="14"/>
        <v>225.5</v>
      </c>
      <c r="CB6" s="199"/>
      <c r="CC6" s="304"/>
      <c r="CD6" s="199">
        <f t="shared" si="16"/>
        <v>190.00000000000011</v>
      </c>
      <c r="CE6" s="525">
        <f t="shared" si="17"/>
        <v>0.16363154882129996</v>
      </c>
      <c r="CF6" s="294">
        <f>CF2</f>
        <v>140</v>
      </c>
      <c r="CG6" s="294">
        <f>CG5</f>
        <v>50</v>
      </c>
      <c r="CH6" s="295">
        <f t="shared" si="18"/>
        <v>1161.1452764985847</v>
      </c>
      <c r="CI6" s="304">
        <f t="shared" si="19"/>
        <v>30555.555555555555</v>
      </c>
      <c r="CJ6" s="295">
        <f t="shared" si="6"/>
        <v>809722222.22222221</v>
      </c>
      <c r="CL6" s="295">
        <v>1065.5343038740307</v>
      </c>
      <c r="CM6" s="295">
        <f>CH6</f>
        <v>1161.1452764985847</v>
      </c>
      <c r="CN6" s="295">
        <f t="shared" si="20"/>
        <v>95.610972624554051</v>
      </c>
      <c r="CO6" s="294"/>
      <c r="CP6" s="304">
        <f>CP4-130</f>
        <v>1250</v>
      </c>
      <c r="CQ6" s="295">
        <f t="shared" si="21"/>
        <v>88.854723501415265</v>
      </c>
      <c r="CR6" s="296">
        <f t="shared" si="7"/>
        <v>7.1083778801132216E-2</v>
      </c>
      <c r="CS6" s="295">
        <v>1171.2725917900818</v>
      </c>
      <c r="CT6" s="295">
        <v>1216.52754935843</v>
      </c>
      <c r="CU6" s="295">
        <f t="shared" si="22"/>
        <v>45.254957568348118</v>
      </c>
      <c r="CV6" s="294"/>
      <c r="CX6" s="783">
        <f t="shared" si="23"/>
        <v>0.11108377880113231</v>
      </c>
      <c r="CY6" s="525">
        <f t="shared" si="24"/>
        <v>0.22308377880113231</v>
      </c>
      <c r="CZ6" s="294" t="s">
        <v>370</v>
      </c>
      <c r="DA6" s="542">
        <v>5</v>
      </c>
      <c r="DB6" s="295">
        <v>1065.5343038740307</v>
      </c>
      <c r="DC6" s="295">
        <v>1108.0335877948892</v>
      </c>
      <c r="DD6" s="295">
        <v>1134.590999848426</v>
      </c>
      <c r="DE6" s="295">
        <v>1171.7661794787377</v>
      </c>
      <c r="DF6" s="295">
        <f t="shared" si="8"/>
        <v>37.175179630311732</v>
      </c>
      <c r="DH6" s="294" t="s">
        <v>370</v>
      </c>
      <c r="DI6" s="542">
        <v>5</v>
      </c>
      <c r="DJ6" s="295">
        <v>1065.5343038740307</v>
      </c>
      <c r="DK6" s="295">
        <v>1134.590999848426</v>
      </c>
      <c r="DL6" s="295">
        <f t="shared" si="25"/>
        <v>69.056695974395325</v>
      </c>
      <c r="DM6" s="294"/>
      <c r="DN6" s="304">
        <f>DN4-130</f>
        <v>1250</v>
      </c>
      <c r="DO6" s="295">
        <f t="shared" ref="DO6:DO9" si="35">DN6-DK6</f>
        <v>115.40900015157399</v>
      </c>
      <c r="DP6" s="296">
        <f t="shared" si="27"/>
        <v>9.2327200121259195E-2</v>
      </c>
    </row>
    <row r="7" spans="2:120" s="284" customFormat="1" x14ac:dyDescent="0.35">
      <c r="S7" s="284">
        <v>3</v>
      </c>
      <c r="T7" s="285" t="s">
        <v>368</v>
      </c>
      <c r="U7" s="286">
        <v>0.1</v>
      </c>
      <c r="V7" s="287">
        <f>U7*$U$3</f>
        <v>1902.7282665358136</v>
      </c>
      <c r="W7" s="286">
        <v>0.9</v>
      </c>
      <c r="X7" s="287">
        <f>W7*$W$3</f>
        <v>18152.177894224213</v>
      </c>
      <c r="Y7" s="285"/>
      <c r="Z7" s="287">
        <f>Y7*$Y$3</f>
        <v>0</v>
      </c>
      <c r="AA7" s="285"/>
      <c r="AB7" s="285">
        <f>AA7*$AA$3</f>
        <v>0</v>
      </c>
      <c r="AC7" s="285"/>
      <c r="AD7" s="285">
        <f>AC7*$AC$3</f>
        <v>0</v>
      </c>
      <c r="AE7" s="285"/>
      <c r="AF7" s="285">
        <f>AE7*$AE$3</f>
        <v>0</v>
      </c>
      <c r="AG7" s="288">
        <f>U7+W7+Y7+AA7+AC7+AE7</f>
        <v>1</v>
      </c>
      <c r="AH7" s="288">
        <f>$U7*$U2*$W7*$W2+$Y7*$Y2+$AA7*$AA2+$AC7*$AC2+$AE7*$AE2</f>
        <v>5.6575555857226019E-2</v>
      </c>
      <c r="AI7" s="289">
        <f>V7+X7+Z7+AB7+AD7+AF7</f>
        <v>20054.906160760027</v>
      </c>
      <c r="AJ7" s="290">
        <f>$AJ$4*AK7</f>
        <v>30740000</v>
      </c>
      <c r="AK7" s="291">
        <v>1160</v>
      </c>
      <c r="AL7" s="284">
        <v>3</v>
      </c>
      <c r="AM7" s="292">
        <f>U7</f>
        <v>0.1</v>
      </c>
      <c r="AN7" s="292">
        <f>W7</f>
        <v>0.9</v>
      </c>
      <c r="AO7" s="293">
        <f>Y7</f>
        <v>0</v>
      </c>
      <c r="AP7" s="293">
        <f>AA7</f>
        <v>0</v>
      </c>
      <c r="AQ7" s="293">
        <f>AC7</f>
        <v>0</v>
      </c>
      <c r="AR7" s="293">
        <f>AE7</f>
        <v>0</v>
      </c>
      <c r="AS7" s="292">
        <f>SUM(AM7:AR7)</f>
        <v>1</v>
      </c>
      <c r="AU7" s="293">
        <f>AM7/AM$2</f>
        <v>2.1276595744680854E-2</v>
      </c>
      <c r="AV7" s="293">
        <f t="shared" si="32"/>
        <v>0.11538461538461538</v>
      </c>
      <c r="AW7" s="293">
        <f t="shared" si="32"/>
        <v>0</v>
      </c>
      <c r="AX7" s="293">
        <f t="shared" si="32"/>
        <v>0</v>
      </c>
      <c r="AY7" s="293">
        <f t="shared" si="32"/>
        <v>0</v>
      </c>
      <c r="AZ7" s="293">
        <f t="shared" si="32"/>
        <v>0</v>
      </c>
      <c r="BA7" s="293">
        <f>AS7/AS$2</f>
        <v>6.6666666666666666E-2</v>
      </c>
      <c r="BC7" s="291">
        <f t="shared" ref="BC7:BC11" si="36">$BC$1*BA7</f>
        <v>3666.6666666666665</v>
      </c>
      <c r="BD7" s="291">
        <f t="shared" si="33"/>
        <v>6666.666666666667</v>
      </c>
      <c r="BE7" s="291">
        <f t="shared" si="34"/>
        <v>305.55555555555554</v>
      </c>
      <c r="BF7" s="291">
        <f t="shared" si="34"/>
        <v>555.55555555555554</v>
      </c>
      <c r="BG7" s="291">
        <f>'H_Tỷ lệ HH&amp;PS'!CJ42</f>
        <v>1113.1088906437303</v>
      </c>
      <c r="BH7" s="448">
        <f t="shared" ref="BH7:BH9" si="37">BG7/$BG$6</f>
        <v>1.0212008171043399</v>
      </c>
      <c r="BI7" s="147">
        <f>'H_Tỷ lệ HH&amp;PS (-PS)'!EG54</f>
        <v>976.91279851399463</v>
      </c>
      <c r="BJ7" s="505">
        <f t="shared" si="9"/>
        <v>1.0059388869564443</v>
      </c>
      <c r="BK7" s="524">
        <f>BG7-BI7</f>
        <v>136.19609212973569</v>
      </c>
      <c r="BL7" s="166">
        <f t="shared" si="11"/>
        <v>0.12235648576211723</v>
      </c>
      <c r="BM7" s="291"/>
      <c r="BN7" s="284" t="str">
        <f>T10</f>
        <v>Hạt WSS04SB (sợi ngắn)</v>
      </c>
      <c r="BO7" s="543">
        <v>6</v>
      </c>
      <c r="BP7" s="290">
        <f>BC10+BC28</f>
        <v>7333.333333333333</v>
      </c>
      <c r="BQ7" s="290">
        <f>BD10+BD28</f>
        <v>13333.333333333334</v>
      </c>
      <c r="BR7" s="293">
        <f t="shared" si="2"/>
        <v>0.13333333333333333</v>
      </c>
      <c r="BS7" s="293">
        <f t="shared" si="5"/>
        <v>0.13333333333333333</v>
      </c>
      <c r="BT7" s="290">
        <f t="shared" si="12"/>
        <v>611.11111111111109</v>
      </c>
      <c r="BU7" s="290">
        <f t="shared" si="12"/>
        <v>1111.1111111111111</v>
      </c>
      <c r="BV7" s="302">
        <f>'[10]ZCOR0019-03.26'!$BA$66</f>
        <v>8.0272039689665509E-2</v>
      </c>
      <c r="BW7" s="109">
        <f>'[10]ZCOR0019-03.26'!$AZ$66/3*12/1000</f>
        <v>1796.5944</v>
      </c>
      <c r="BX7" s="109">
        <f>BW7/3</f>
        <v>598.86479999999995</v>
      </c>
      <c r="BY7" s="153">
        <f t="shared" si="13"/>
        <v>4.124784096168331E-2</v>
      </c>
      <c r="BZ7" s="109">
        <f>[11]Chart!$AV$9/1000</f>
        <v>681.8</v>
      </c>
      <c r="CA7" s="109">
        <f t="shared" si="14"/>
        <v>170.45</v>
      </c>
      <c r="CB7" s="199"/>
      <c r="CC7" s="109"/>
      <c r="CD7" s="199">
        <f t="shared" si="16"/>
        <v>190</v>
      </c>
      <c r="CE7" s="525">
        <f t="shared" si="17"/>
        <v>0.16282279210747841</v>
      </c>
      <c r="CF7" s="284">
        <f>CF2</f>
        <v>140</v>
      </c>
      <c r="CG7" s="284">
        <f>CG6</f>
        <v>50</v>
      </c>
      <c r="CH7" s="130">
        <f t="shared" si="18"/>
        <v>1166.9127985139946</v>
      </c>
      <c r="CI7" s="109">
        <f t="shared" si="19"/>
        <v>30555.555555555555</v>
      </c>
      <c r="CJ7" s="290">
        <f t="shared" si="6"/>
        <v>809722222.22222221</v>
      </c>
      <c r="CL7" s="290">
        <v>1066.3975545476119</v>
      </c>
      <c r="CM7" s="290">
        <f t="shared" ref="CM7:CM9" si="38">CH7</f>
        <v>1166.9127985139946</v>
      </c>
      <c r="CN7" s="290">
        <f t="shared" si="20"/>
        <v>100.51524396638274</v>
      </c>
      <c r="CP7" s="291">
        <f>CP4-130</f>
        <v>1250</v>
      </c>
      <c r="CQ7" s="290">
        <f t="shared" si="21"/>
        <v>83.08720148600537</v>
      </c>
      <c r="CR7" s="296">
        <f t="shared" si="7"/>
        <v>6.6469761188804294E-2</v>
      </c>
      <c r="CS7" s="290">
        <v>1090.8603314552352</v>
      </c>
      <c r="CT7" s="290">
        <v>1131.1668422337466</v>
      </c>
      <c r="CU7" s="290">
        <f t="shared" si="22"/>
        <v>40.306510778511438</v>
      </c>
      <c r="CX7" s="783">
        <f t="shared" si="23"/>
        <v>0.1064697611888043</v>
      </c>
      <c r="CY7" s="525">
        <f t="shared" si="24"/>
        <v>0.21846976118880429</v>
      </c>
      <c r="CZ7" s="284" t="s">
        <v>371</v>
      </c>
      <c r="DA7" s="543">
        <v>6</v>
      </c>
      <c r="DB7" s="290">
        <v>1066.3975545476119</v>
      </c>
      <c r="DC7" s="290">
        <v>1111.0709963104487</v>
      </c>
      <c r="DD7" s="290">
        <v>1138.991897412222</v>
      </c>
      <c r="DE7" s="290">
        <v>1178.0811589547038</v>
      </c>
      <c r="DF7" s="290">
        <f t="shared" si="8"/>
        <v>39.089261542481836</v>
      </c>
      <c r="DH7" s="284" t="s">
        <v>371</v>
      </c>
      <c r="DI7" s="543">
        <v>6</v>
      </c>
      <c r="DJ7" s="290">
        <v>1066.3975545476119</v>
      </c>
      <c r="DK7" s="290">
        <v>1138.991897412222</v>
      </c>
      <c r="DL7" s="290">
        <f t="shared" si="25"/>
        <v>72.594342864610098</v>
      </c>
      <c r="DN7" s="291">
        <f>DN4-130</f>
        <v>1250</v>
      </c>
      <c r="DO7" s="290">
        <f t="shared" si="35"/>
        <v>111.00810258777801</v>
      </c>
      <c r="DP7" s="296">
        <f t="shared" si="27"/>
        <v>8.8806482070222403E-2</v>
      </c>
    </row>
    <row r="8" spans="2:120" x14ac:dyDescent="0.35">
      <c r="S8">
        <v>2</v>
      </c>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2">
        <f t="shared" ref="AG8:AG11" si="39">U8+W8+Y8+AA8+AC8+AE8</f>
        <v>1</v>
      </c>
      <c r="AH8" s="122"/>
      <c r="AI8" s="167">
        <f>V8+X8+Z8+AB8+AD8+AF8</f>
        <v>19826.54538400405</v>
      </c>
      <c r="AJ8" s="130">
        <f>$AJ$4*AK8</f>
        <v>31535000</v>
      </c>
      <c r="AK8" s="130">
        <f>AK7+30</f>
        <v>1190</v>
      </c>
      <c r="AL8">
        <v>2</v>
      </c>
      <c r="AM8" s="69">
        <f>U8</f>
        <v>0.3</v>
      </c>
      <c r="AN8" s="69">
        <f>W8</f>
        <v>0.7</v>
      </c>
      <c r="AO8" s="110">
        <f>Y8</f>
        <v>0</v>
      </c>
      <c r="AP8" s="110">
        <f>AA8</f>
        <v>0</v>
      </c>
      <c r="AQ8" s="110">
        <f>AC8</f>
        <v>0</v>
      </c>
      <c r="AR8" s="110">
        <f>AE8</f>
        <v>0</v>
      </c>
      <c r="AS8" s="69">
        <f>SUM(AM8:AR8)</f>
        <v>1</v>
      </c>
      <c r="AU8" s="110">
        <f>AM8/AM$2</f>
        <v>6.3829787234042562E-2</v>
      </c>
      <c r="AV8" s="110">
        <f t="shared" si="32"/>
        <v>8.974358974358973E-2</v>
      </c>
      <c r="AW8" s="110">
        <f t="shared" si="32"/>
        <v>0</v>
      </c>
      <c r="AX8" s="110">
        <f t="shared" si="32"/>
        <v>0</v>
      </c>
      <c r="AY8" s="110">
        <f t="shared" si="32"/>
        <v>0</v>
      </c>
      <c r="AZ8" s="110">
        <f t="shared" si="32"/>
        <v>0</v>
      </c>
      <c r="BA8" s="110">
        <f>AS8/AS$2</f>
        <v>6.6666666666666666E-2</v>
      </c>
      <c r="BC8" s="109">
        <f t="shared" si="36"/>
        <v>3666.6666666666665</v>
      </c>
      <c r="BD8" s="109">
        <f t="shared" si="33"/>
        <v>6666.666666666667</v>
      </c>
      <c r="BE8" s="109">
        <f t="shared" si="34"/>
        <v>305.55555555555554</v>
      </c>
      <c r="BF8" s="109">
        <f t="shared" si="34"/>
        <v>555.55555555555554</v>
      </c>
      <c r="BG8" s="109">
        <f>'H_Tỷ lệ HH&amp;PS'!CJ44</f>
        <v>912.35859229517871</v>
      </c>
      <c r="BH8" s="448">
        <f t="shared" si="37"/>
        <v>0.83702623146346666</v>
      </c>
      <c r="BI8" s="147">
        <f>'H_Tỷ lệ HH&amp;PS (-PS)'!EG68</f>
        <v>854.10720643687739</v>
      </c>
      <c r="BJ8" s="505">
        <f t="shared" si="9"/>
        <v>0.87948448816671165</v>
      </c>
      <c r="BK8" s="524">
        <f>BG8-BI8</f>
        <v>58.251385858301319</v>
      </c>
      <c r="BL8" s="166">
        <f t="shared" si="11"/>
        <v>6.3847029391986082E-2</v>
      </c>
      <c r="BM8" s="109"/>
      <c r="BN8" s="297" t="str">
        <f>T11</f>
        <v>Vảy FPET201-Out</v>
      </c>
      <c r="BO8" s="544">
        <v>7</v>
      </c>
      <c r="BP8" s="298">
        <f>BC11+BC29</f>
        <v>7333.333333333333</v>
      </c>
      <c r="BQ8" s="298">
        <f>BD11+BD29</f>
        <v>13333.333333333334</v>
      </c>
      <c r="BR8" s="299">
        <f t="shared" si="2"/>
        <v>0.13333333333333333</v>
      </c>
      <c r="BS8" s="299">
        <f t="shared" si="5"/>
        <v>0.13333333333333333</v>
      </c>
      <c r="BT8" s="298">
        <f t="shared" si="12"/>
        <v>611.11111111111109</v>
      </c>
      <c r="BU8" s="298">
        <f t="shared" si="12"/>
        <v>1111.1111111111111</v>
      </c>
      <c r="BV8" s="297"/>
      <c r="BW8" s="503"/>
      <c r="BX8" s="297"/>
      <c r="BY8" s="723">
        <f t="shared" si="13"/>
        <v>3.9928974823571411E-2</v>
      </c>
      <c r="BZ8" s="503">
        <f>[11]Chart!$AV$10/1000</f>
        <v>660</v>
      </c>
      <c r="CA8" s="503">
        <f t="shared" si="14"/>
        <v>165</v>
      </c>
      <c r="CB8" s="199"/>
      <c r="CC8" s="503"/>
      <c r="CD8" s="199">
        <f t="shared" si="16"/>
        <v>189.99999999999989</v>
      </c>
      <c r="CE8" s="525">
        <f t="shared" si="17"/>
        <v>0.1819736506257767</v>
      </c>
      <c r="CF8" s="297">
        <f>CF2</f>
        <v>140</v>
      </c>
      <c r="CG8" s="297">
        <f>CG7</f>
        <v>50</v>
      </c>
      <c r="CH8" s="298">
        <f t="shared" si="18"/>
        <v>1044.1072064368773</v>
      </c>
      <c r="CI8" s="503">
        <f t="shared" si="19"/>
        <v>30555.555555555555</v>
      </c>
      <c r="CJ8" s="298">
        <f t="shared" si="6"/>
        <v>809722222.22222221</v>
      </c>
      <c r="CL8" s="298">
        <v>950.59037140960697</v>
      </c>
      <c r="CM8" s="298">
        <f t="shared" si="38"/>
        <v>1044.1072064368773</v>
      </c>
      <c r="CN8" s="298">
        <f t="shared" si="20"/>
        <v>93.516835027270304</v>
      </c>
      <c r="CO8" s="297"/>
      <c r="CP8" s="503">
        <f>CP4-130-CF2/2-127</f>
        <v>1053</v>
      </c>
      <c r="CQ8" s="298">
        <f t="shared" si="21"/>
        <v>8.8927935631227228</v>
      </c>
      <c r="CR8" s="296">
        <f t="shared" si="7"/>
        <v>8.4451980656436113E-3</v>
      </c>
      <c r="CS8" s="298">
        <v>957.61638694600788</v>
      </c>
      <c r="CT8" s="298">
        <v>997.56536441220032</v>
      </c>
      <c r="CU8" s="298">
        <f t="shared" si="22"/>
        <v>39.948977466192446</v>
      </c>
      <c r="CV8" s="297"/>
      <c r="CX8" s="783">
        <f t="shared" si="23"/>
        <v>5.5928578882357652E-2</v>
      </c>
      <c r="CY8" s="525">
        <f t="shared" si="24"/>
        <v>0.18888204516915727</v>
      </c>
      <c r="CZ8" s="297" t="s">
        <v>373</v>
      </c>
      <c r="DA8" s="544">
        <v>7</v>
      </c>
      <c r="DB8" s="298">
        <v>950.59037140960697</v>
      </c>
      <c r="DC8" s="298">
        <v>992.15340919950495</v>
      </c>
      <c r="DD8" s="298">
        <v>1018.1303078181913</v>
      </c>
      <c r="DE8" s="298">
        <v>1054.4979658843517</v>
      </c>
      <c r="DF8" s="298">
        <f t="shared" si="8"/>
        <v>36.367658066160402</v>
      </c>
      <c r="DH8" s="297" t="s">
        <v>373</v>
      </c>
      <c r="DI8" s="544">
        <v>7</v>
      </c>
      <c r="DJ8" s="298">
        <v>950.59037140960697</v>
      </c>
      <c r="DK8" s="298">
        <v>1018.1303078181913</v>
      </c>
      <c r="DL8" s="298">
        <f t="shared" si="25"/>
        <v>67.539936408584367</v>
      </c>
      <c r="DM8" s="297"/>
      <c r="DN8" s="503">
        <f>CP8</f>
        <v>1053</v>
      </c>
      <c r="DO8" s="298">
        <f>DN8-DK8</f>
        <v>34.869692181808659</v>
      </c>
      <c r="DP8" s="296">
        <f t="shared" si="27"/>
        <v>3.3114617456608417E-2</v>
      </c>
    </row>
    <row r="9" spans="2:120" x14ac:dyDescent="0.35">
      <c r="S9">
        <v>5</v>
      </c>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39"/>
        <v>1</v>
      </c>
      <c r="AH9" s="122"/>
      <c r="AI9" s="167">
        <f>V9+X9+Z9+AB9+AD9+AF9</f>
        <v>19112.177744792491</v>
      </c>
      <c r="AJ9" s="130">
        <f>$AJ$4*AK9</f>
        <v>28885000</v>
      </c>
      <c r="AK9" s="130">
        <f>AK7-70</f>
        <v>1090</v>
      </c>
      <c r="AL9">
        <v>5</v>
      </c>
      <c r="AM9" s="69">
        <f>U9</f>
        <v>0.55000000000000004</v>
      </c>
      <c r="AN9" s="69">
        <f>W9</f>
        <v>0.3</v>
      </c>
      <c r="AO9" s="110">
        <f>Y9</f>
        <v>0.15</v>
      </c>
      <c r="AP9" s="110">
        <f>AA9</f>
        <v>0</v>
      </c>
      <c r="AQ9" s="110">
        <f>AC9</f>
        <v>0</v>
      </c>
      <c r="AR9" s="110">
        <f>AE9</f>
        <v>0</v>
      </c>
      <c r="AS9" s="69">
        <f>SUM(AM9:AR9)</f>
        <v>1</v>
      </c>
      <c r="AU9" s="110">
        <f>AM9/AM$2</f>
        <v>0.11702127659574471</v>
      </c>
      <c r="AV9" s="110">
        <f t="shared" si="32"/>
        <v>3.8461538461538457E-2</v>
      </c>
      <c r="AW9" s="110">
        <f t="shared" si="32"/>
        <v>0.37499999999999994</v>
      </c>
      <c r="AX9" s="110">
        <f t="shared" si="32"/>
        <v>0</v>
      </c>
      <c r="AY9" s="110">
        <f t="shared" si="32"/>
        <v>0</v>
      </c>
      <c r="AZ9" s="110">
        <f t="shared" si="32"/>
        <v>0</v>
      </c>
      <c r="BA9" s="110">
        <f t="shared" si="32"/>
        <v>6.6666666666666666E-2</v>
      </c>
      <c r="BC9" s="109">
        <f t="shared" si="36"/>
        <v>3666.6666666666665</v>
      </c>
      <c r="BD9" s="109">
        <f t="shared" si="33"/>
        <v>6666.666666666667</v>
      </c>
      <c r="BE9" s="109">
        <f t="shared" si="34"/>
        <v>305.55555555555554</v>
      </c>
      <c r="BF9" s="109">
        <f t="shared" si="34"/>
        <v>555.55555555555554</v>
      </c>
      <c r="BG9" s="109">
        <v>800</v>
      </c>
      <c r="BH9" s="448">
        <f t="shared" si="37"/>
        <v>0.73394495412844041</v>
      </c>
      <c r="BI9" s="147">
        <f>'H_Tỷ lệ HH&amp;PS (-PS)'!AQ69</f>
        <v>909.67929538795534</v>
      </c>
      <c r="BJ9" s="505">
        <f t="shared" si="9"/>
        <v>0.93670773817462016</v>
      </c>
      <c r="BK9" s="524">
        <f>BG9-BI9</f>
        <v>-109.67929538795534</v>
      </c>
      <c r="BL9" s="166">
        <f t="shared" si="11"/>
        <v>-0.13709911923494417</v>
      </c>
      <c r="BM9" s="109"/>
      <c r="BN9" t="str">
        <f>T33</f>
        <v>Dây Đai</v>
      </c>
      <c r="BO9" s="65">
        <v>8</v>
      </c>
      <c r="BP9" s="130">
        <f>BC33</f>
        <v>3666.6666666666665</v>
      </c>
      <c r="BQ9" s="130">
        <f>BD33</f>
        <v>6666.666666666667</v>
      </c>
      <c r="BR9" s="110">
        <f t="shared" si="2"/>
        <v>6.6666666666666666E-2</v>
      </c>
      <c r="BS9" s="110">
        <f t="shared" si="5"/>
        <v>6.6666666666666666E-2</v>
      </c>
      <c r="BT9" s="130">
        <f t="shared" si="12"/>
        <v>305.55555555555554</v>
      </c>
      <c r="BU9" s="130">
        <f t="shared" si="12"/>
        <v>555.55555555555554</v>
      </c>
      <c r="BW9" s="109"/>
      <c r="BY9" s="153">
        <f t="shared" si="13"/>
        <v>9.4135583068904703E-3</v>
      </c>
      <c r="BZ9" s="109">
        <f>[11]Chart!$AV$11/1000</f>
        <v>155.6</v>
      </c>
      <c r="CA9" s="109">
        <f t="shared" si="14"/>
        <v>38.9</v>
      </c>
      <c r="CB9" s="199"/>
      <c r="CC9" s="109"/>
      <c r="CD9" s="199">
        <f t="shared" si="16"/>
        <v>190</v>
      </c>
      <c r="CE9" s="525">
        <f t="shared" si="17"/>
        <v>0.17277764598902445</v>
      </c>
      <c r="CF9">
        <f>CF2</f>
        <v>140</v>
      </c>
      <c r="CG9">
        <v>50</v>
      </c>
      <c r="CH9" s="130">
        <f t="shared" si="18"/>
        <v>1099.6792953879553</v>
      </c>
      <c r="CI9" s="109">
        <f t="shared" si="19"/>
        <v>15277.777777777777</v>
      </c>
      <c r="CJ9" s="130">
        <f t="shared" si="6"/>
        <v>404861111.1111111</v>
      </c>
      <c r="CL9" s="290">
        <v>1016.5795952604556</v>
      </c>
      <c r="CM9" s="290">
        <f t="shared" si="38"/>
        <v>1099.6792953879553</v>
      </c>
      <c r="CN9" s="290">
        <f t="shared" si="20"/>
        <v>83.099700127499773</v>
      </c>
      <c r="CO9" s="284"/>
      <c r="CP9" s="291">
        <f>CP4-130</f>
        <v>1250</v>
      </c>
      <c r="CQ9" s="290">
        <f t="shared" si="21"/>
        <v>150.32070461204466</v>
      </c>
      <c r="CR9" s="296">
        <f t="shared" si="7"/>
        <v>0.12025656368963573</v>
      </c>
      <c r="CS9" s="290">
        <v>893.61542527672191</v>
      </c>
      <c r="CT9" s="290">
        <v>922.98159948823559</v>
      </c>
      <c r="CU9" s="290">
        <f t="shared" si="22"/>
        <v>29.36617421151368</v>
      </c>
      <c r="CV9" s="284"/>
      <c r="CX9" s="783">
        <f t="shared" si="23"/>
        <v>0.16025656368963573</v>
      </c>
      <c r="CY9" s="525">
        <f t="shared" si="24"/>
        <v>0.27225656368963574</v>
      </c>
      <c r="CZ9" t="s">
        <v>381</v>
      </c>
      <c r="DA9" s="65">
        <v>8</v>
      </c>
      <c r="DB9" s="290">
        <v>1016.5795952604556</v>
      </c>
      <c r="DC9" s="290">
        <v>1053.5127953171223</v>
      </c>
      <c r="DD9" s="290">
        <v>1076.5960453525388</v>
      </c>
      <c r="DE9" s="290">
        <v>1108.912595402122</v>
      </c>
      <c r="DF9" s="290">
        <f t="shared" si="8"/>
        <v>32.316550049583157</v>
      </c>
      <c r="DH9" t="s">
        <v>381</v>
      </c>
      <c r="DI9" s="65">
        <v>8</v>
      </c>
      <c r="DJ9" s="290">
        <v>1016.5795952604556</v>
      </c>
      <c r="DK9" s="290">
        <v>1076.5960453525388</v>
      </c>
      <c r="DL9" s="290">
        <f t="shared" si="25"/>
        <v>60.016450092083232</v>
      </c>
      <c r="DM9" s="284"/>
      <c r="DN9" s="291">
        <f>DN4-130</f>
        <v>1250</v>
      </c>
      <c r="DO9" s="290">
        <f t="shared" si="35"/>
        <v>173.40395464746121</v>
      </c>
      <c r="DP9" s="296">
        <f t="shared" si="27"/>
        <v>0.13872316371796897</v>
      </c>
    </row>
    <row r="10" spans="2:120" x14ac:dyDescent="0.35">
      <c r="S10">
        <v>6</v>
      </c>
      <c r="T10" s="117" t="s">
        <v>962</v>
      </c>
      <c r="U10" s="118">
        <v>0.95</v>
      </c>
      <c r="V10" s="134">
        <f>U10*$U$3</f>
        <v>18075.918532090229</v>
      </c>
      <c r="W10" s="261"/>
      <c r="X10" s="263">
        <f>W10*$W$3</f>
        <v>0</v>
      </c>
      <c r="Y10" s="117"/>
      <c r="Z10" s="134">
        <f>Y10*$Y$3</f>
        <v>0</v>
      </c>
      <c r="AA10" s="261">
        <v>0.05</v>
      </c>
      <c r="AB10" s="262">
        <f>AA10*$AA$3</f>
        <v>777.76432381947461</v>
      </c>
      <c r="AC10" s="117"/>
      <c r="AD10" s="117">
        <f>AC10*$AC$3</f>
        <v>0</v>
      </c>
      <c r="AE10" s="117"/>
      <c r="AF10" s="117">
        <f>AE10*$AE$3</f>
        <v>0</v>
      </c>
      <c r="AG10" s="122">
        <f t="shared" si="39"/>
        <v>1</v>
      </c>
      <c r="AH10" s="122"/>
      <c r="AI10" s="167">
        <f>V10+X10+Z10+AB10+AD10+AF10</f>
        <v>18853.682855909705</v>
      </c>
      <c r="AJ10" s="130">
        <f>$AJ$4*AK10</f>
        <v>19080000</v>
      </c>
      <c r="AK10" s="130">
        <v>720</v>
      </c>
      <c r="AL10">
        <v>6</v>
      </c>
      <c r="AM10" s="69">
        <f>U10</f>
        <v>0.95</v>
      </c>
      <c r="AN10" s="69">
        <f>W10</f>
        <v>0</v>
      </c>
      <c r="AO10" s="110">
        <f>Y10</f>
        <v>0</v>
      </c>
      <c r="AP10" s="110">
        <f>AA10</f>
        <v>0.05</v>
      </c>
      <c r="AQ10" s="110">
        <f>AC10</f>
        <v>0</v>
      </c>
      <c r="AR10" s="110">
        <f>AE10</f>
        <v>0</v>
      </c>
      <c r="AS10" s="69">
        <f>SUM(AM10:AR10)</f>
        <v>1</v>
      </c>
      <c r="AU10" s="110">
        <f>AM10/AM$2</f>
        <v>0.2021276595744681</v>
      </c>
      <c r="AV10" s="110">
        <f t="shared" si="32"/>
        <v>0</v>
      </c>
      <c r="AW10" s="110">
        <f t="shared" si="32"/>
        <v>0</v>
      </c>
      <c r="AX10" s="110">
        <f t="shared" si="32"/>
        <v>0.05</v>
      </c>
      <c r="AY10" s="110">
        <f t="shared" si="32"/>
        <v>0</v>
      </c>
      <c r="AZ10" s="110">
        <f t="shared" si="32"/>
        <v>0</v>
      </c>
      <c r="BA10" s="110">
        <f t="shared" si="32"/>
        <v>6.6666666666666666E-2</v>
      </c>
      <c r="BC10" s="109">
        <f t="shared" si="36"/>
        <v>3666.6666666666665</v>
      </c>
      <c r="BD10" s="109">
        <f t="shared" si="33"/>
        <v>6666.666666666667</v>
      </c>
      <c r="BE10" s="109">
        <f t="shared" si="34"/>
        <v>305.55555555555554</v>
      </c>
      <c r="BF10" s="109">
        <f t="shared" si="34"/>
        <v>555.55555555555554</v>
      </c>
      <c r="BG10" s="109"/>
      <c r="BH10" s="109"/>
      <c r="BI10" s="109"/>
      <c r="BJ10" s="109"/>
      <c r="BK10" s="526">
        <f>AVERAGE(BK2:BK9)</f>
        <v>105.41683388954738</v>
      </c>
      <c r="BL10" s="527">
        <f>AVERAGE(BL2:BL9)</f>
        <v>8.7407730226317287E-2</v>
      </c>
      <c r="BM10" s="109"/>
      <c r="BP10" s="205">
        <f t="shared" ref="BP10:BQ10" si="40">SUM(BP2:BP9)</f>
        <v>55000</v>
      </c>
      <c r="BQ10" s="205">
        <f t="shared" si="40"/>
        <v>100000</v>
      </c>
      <c r="BT10" s="205">
        <f>SUM(BT2:BT9)</f>
        <v>4583.3333333333339</v>
      </c>
      <c r="BU10" s="205">
        <f>SUM(BU2:BU9)</f>
        <v>8333.3333333333339</v>
      </c>
      <c r="BW10" s="205">
        <f>SUM(BW2:BW9)</f>
        <v>18460.262000000002</v>
      </c>
      <c r="BX10" s="205">
        <f>SUM(BX2:BX9)</f>
        <v>6153.4206666666669</v>
      </c>
      <c r="BY10" s="721">
        <f t="shared" si="13"/>
        <v>1</v>
      </c>
      <c r="BZ10" s="205">
        <f t="shared" ref="BZ10:CC10" si="41">SUM(BZ2:BZ9)</f>
        <v>16529.349999999999</v>
      </c>
      <c r="CA10" s="205">
        <f t="shared" si="41"/>
        <v>4132.3374999999996</v>
      </c>
      <c r="CB10" s="205">
        <f t="shared" si="41"/>
        <v>1081.9861111111113</v>
      </c>
      <c r="CC10" s="205">
        <f t="shared" si="41"/>
        <v>1188.9957264957266</v>
      </c>
      <c r="CD10" s="205"/>
      <c r="CE10" s="547">
        <f>AVERAGE(CE2:CE9)</f>
        <v>0.16931059352542649</v>
      </c>
      <c r="CF10" s="552">
        <f>CG10/CH10</f>
        <v>5.0041881797963747E-2</v>
      </c>
      <c r="CG10" s="523">
        <f>AVERAGE(CG2:CG9)</f>
        <v>58.75</v>
      </c>
      <c r="CH10" s="523">
        <f>AVERAGE(CH2:CH9)</f>
        <v>1174.0166014778165</v>
      </c>
      <c r="CI10" s="523">
        <f>SUM(CI2:CI9)</f>
        <v>256666.66666666669</v>
      </c>
      <c r="CJ10" s="523">
        <f t="shared" si="6"/>
        <v>6801666666.666667</v>
      </c>
      <c r="CX10" s="782">
        <f>AVERAGE(CX2:CX9)</f>
        <v>0.13664079920795197</v>
      </c>
      <c r="CY10" s="547">
        <f>AVERAGE(CY2:CY9)</f>
        <v>0.24561602996253837</v>
      </c>
    </row>
    <row r="11" spans="2:120" x14ac:dyDescent="0.35">
      <c r="S11">
        <v>7</v>
      </c>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39"/>
        <v>1</v>
      </c>
      <c r="AH11" s="122"/>
      <c r="AI11" s="167">
        <f>V11+X11+Z11+AB11+AD11+AF11</f>
        <v>18504.154010131388</v>
      </c>
      <c r="AJ11" s="130">
        <f>$AJ$4*AK11</f>
        <v>20140000</v>
      </c>
      <c r="AK11" s="130">
        <v>760</v>
      </c>
      <c r="AL11">
        <v>7</v>
      </c>
      <c r="AM11" s="69">
        <f>U11</f>
        <v>0.65</v>
      </c>
      <c r="AN11" s="69">
        <f>W11</f>
        <v>0.15</v>
      </c>
      <c r="AO11" s="110">
        <f>Y11</f>
        <v>0</v>
      </c>
      <c r="AP11" s="110">
        <f>AA11</f>
        <v>0.2</v>
      </c>
      <c r="AQ11" s="110">
        <f>AC11</f>
        <v>0</v>
      </c>
      <c r="AR11" s="110">
        <f>AE11</f>
        <v>0</v>
      </c>
      <c r="AS11" s="69">
        <f>SUM(AM11:AR11)</f>
        <v>1</v>
      </c>
      <c r="AU11" s="110">
        <f>AM11/AM$2</f>
        <v>0.13829787234042556</v>
      </c>
      <c r="AV11" s="110">
        <f t="shared" si="32"/>
        <v>1.9230769230769228E-2</v>
      </c>
      <c r="AW11" s="110">
        <f t="shared" si="32"/>
        <v>0</v>
      </c>
      <c r="AX11" s="110">
        <f t="shared" si="32"/>
        <v>0.2</v>
      </c>
      <c r="AY11" s="110">
        <f t="shared" si="32"/>
        <v>0</v>
      </c>
      <c r="AZ11" s="110">
        <f t="shared" si="32"/>
        <v>0</v>
      </c>
      <c r="BA11" s="110">
        <f t="shared" si="32"/>
        <v>6.6666666666666666E-2</v>
      </c>
      <c r="BC11" s="109">
        <f t="shared" si="36"/>
        <v>3666.6666666666665</v>
      </c>
      <c r="BD11" s="109">
        <f t="shared" si="33"/>
        <v>6666.666666666667</v>
      </c>
      <c r="BE11" s="109">
        <f t="shared" si="34"/>
        <v>305.55555555555554</v>
      </c>
      <c r="BF11" s="109">
        <f t="shared" si="34"/>
        <v>555.55555555555554</v>
      </c>
      <c r="BG11" s="109"/>
      <c r="BH11" s="109"/>
      <c r="BI11" s="789">
        <f>+SUMPRODUCT(BR2:BR9,BI2:BI9)</f>
        <v>975.90409324764266</v>
      </c>
      <c r="BJ11" s="109"/>
      <c r="BK11" s="109"/>
      <c r="BL11" s="109"/>
      <c r="BM11" s="109"/>
      <c r="CE11" s="525">
        <f>+SUMPRODUCT(BR2:BR9,CE2:CE9)</f>
        <v>0.16738006629142169</v>
      </c>
      <c r="CF11" s="153">
        <f>CG11/CH11</f>
        <v>4.7785480332959533E-2</v>
      </c>
      <c r="CG11" s="109">
        <f>SUMPRODUCT(BR2:BR9,CG2:CG9)</f>
        <v>56</v>
      </c>
      <c r="CH11" s="109">
        <f>+SUMPRODUCT(BR2:BR9,CH2:CH9)</f>
        <v>1171.9040932476425</v>
      </c>
      <c r="CY11" s="525">
        <f>+SUMPRODUCT(BR2:BR9,CY2:CY9)</f>
        <v>0.24588095832290319</v>
      </c>
    </row>
    <row r="12" spans="2:120" ht="9" customHeight="1" x14ac:dyDescent="0.35">
      <c r="AI12" s="121">
        <v>20601</v>
      </c>
      <c r="BO12" s="548" t="s">
        <v>711</v>
      </c>
    </row>
    <row r="13" spans="2:120" hidden="1" x14ac:dyDescent="0.35">
      <c r="AI13" s="196">
        <f>AI12-AI11</f>
        <v>2096.8459898686124</v>
      </c>
      <c r="BN13" t="s">
        <v>706</v>
      </c>
      <c r="BO13" s="65">
        <v>100</v>
      </c>
    </row>
    <row r="14" spans="2:120" x14ac:dyDescent="0.35">
      <c r="T14" s="119" t="s">
        <v>387</v>
      </c>
      <c r="W14" s="116" t="s">
        <v>48</v>
      </c>
      <c r="AG14" s="126">
        <v>0.53</v>
      </c>
      <c r="AH14" s="126"/>
      <c r="AM14" s="188">
        <f t="shared" ref="AM14:AS14" si="42">SUM(AM15:AM18)</f>
        <v>0</v>
      </c>
      <c r="AN14" s="188">
        <f t="shared" si="42"/>
        <v>4</v>
      </c>
      <c r="AO14" s="188">
        <f t="shared" si="42"/>
        <v>0</v>
      </c>
      <c r="AP14" s="188">
        <f t="shared" si="42"/>
        <v>0</v>
      </c>
      <c r="AQ14" s="188">
        <f t="shared" si="42"/>
        <v>0</v>
      </c>
      <c r="AR14" s="188">
        <f t="shared" si="42"/>
        <v>0</v>
      </c>
      <c r="AS14" s="188">
        <f t="shared" si="42"/>
        <v>4</v>
      </c>
      <c r="AU14" s="188">
        <f t="shared" ref="AU14:BA18" si="43">AM14/AM$2</f>
        <v>0</v>
      </c>
      <c r="AV14" s="188">
        <f t="shared" si="43"/>
        <v>0.51282051282051277</v>
      </c>
      <c r="AW14" s="188">
        <f t="shared" si="43"/>
        <v>0</v>
      </c>
      <c r="AX14" s="188">
        <f t="shared" si="43"/>
        <v>0</v>
      </c>
      <c r="AY14" s="188">
        <f t="shared" si="43"/>
        <v>0</v>
      </c>
      <c r="AZ14" s="188">
        <f t="shared" si="43"/>
        <v>0</v>
      </c>
      <c r="BA14" s="188">
        <f t="shared" si="43"/>
        <v>0.26666666666666666</v>
      </c>
      <c r="BC14" s="275">
        <f>$BC$1*BA14</f>
        <v>14666.666666666666</v>
      </c>
      <c r="BD14" s="275">
        <f>$BD$1*BA14</f>
        <v>26666.666666666668</v>
      </c>
      <c r="BE14" s="196">
        <f t="shared" ref="BE14:BF18" si="44">BC14/12</f>
        <v>1222.2222222222222</v>
      </c>
      <c r="BF14" s="196">
        <f t="shared" si="44"/>
        <v>2222.2222222222222</v>
      </c>
      <c r="BG14" s="275"/>
      <c r="BH14" s="275"/>
      <c r="BI14" s="275"/>
      <c r="BJ14" s="275"/>
      <c r="BK14" s="275"/>
      <c r="BL14" s="275"/>
      <c r="BM14" s="275"/>
      <c r="BN14" t="s">
        <v>707</v>
      </c>
      <c r="BO14" s="65">
        <v>90</v>
      </c>
    </row>
    <row r="15" spans="2:120" x14ac:dyDescent="0.35">
      <c r="S15">
        <v>3</v>
      </c>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G18" si="45">U15+W15+Y15+AA15+AC15+AE15</f>
        <v>1</v>
      </c>
      <c r="AH15" s="122"/>
      <c r="AI15" s="167">
        <f>V15+X15+Z15+AB15+AD15+AF15</f>
        <v>20169.086549138014</v>
      </c>
      <c r="AJ15" s="130">
        <f>$AJ$4*AK15</f>
        <v>30740000</v>
      </c>
      <c r="AK15" s="130">
        <f>AK7</f>
        <v>1160</v>
      </c>
      <c r="AL15">
        <v>3</v>
      </c>
      <c r="AM15" s="69">
        <f>U15</f>
        <v>0</v>
      </c>
      <c r="AN15" s="69">
        <f>W15</f>
        <v>1</v>
      </c>
      <c r="AO15" s="110">
        <f>Y15</f>
        <v>0</v>
      </c>
      <c r="AP15" s="110">
        <f>AA15</f>
        <v>0</v>
      </c>
      <c r="AQ15" s="110">
        <f>AC15</f>
        <v>0</v>
      </c>
      <c r="AR15" s="110">
        <f>AE15</f>
        <v>0</v>
      </c>
      <c r="AS15" s="69">
        <f>SUM(AM15:AR15)</f>
        <v>1</v>
      </c>
      <c r="AU15" s="110">
        <f t="shared" si="43"/>
        <v>0</v>
      </c>
      <c r="AV15" s="110">
        <f t="shared" si="43"/>
        <v>0.12820512820512819</v>
      </c>
      <c r="AW15" s="110">
        <f t="shared" si="43"/>
        <v>0</v>
      </c>
      <c r="AX15" s="110">
        <f t="shared" si="43"/>
        <v>0</v>
      </c>
      <c r="AY15" s="110">
        <f t="shared" si="43"/>
        <v>0</v>
      </c>
      <c r="AZ15" s="110">
        <f t="shared" si="43"/>
        <v>0</v>
      </c>
      <c r="BA15" s="110">
        <f t="shared" si="43"/>
        <v>6.6666666666666666E-2</v>
      </c>
      <c r="BC15" s="109">
        <f>$BC$1*BA15</f>
        <v>3666.6666666666665</v>
      </c>
      <c r="BD15" s="109">
        <f>$BD$1*BA15</f>
        <v>6666.666666666667</v>
      </c>
      <c r="BE15" s="291">
        <f t="shared" si="44"/>
        <v>305.55555555555554</v>
      </c>
      <c r="BF15" s="291">
        <f t="shared" si="44"/>
        <v>555.55555555555554</v>
      </c>
      <c r="BG15" s="109"/>
      <c r="BH15" s="109"/>
      <c r="BI15" s="109"/>
      <c r="BJ15" s="109"/>
      <c r="BK15" s="109"/>
      <c r="BL15" s="109"/>
      <c r="BM15" s="109"/>
      <c r="BN15" t="s">
        <v>708</v>
      </c>
      <c r="BO15" s="65">
        <v>80</v>
      </c>
    </row>
    <row r="16" spans="2:120" x14ac:dyDescent="0.35">
      <c r="S16">
        <v>2</v>
      </c>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45"/>
        <v>1</v>
      </c>
      <c r="AH16" s="122"/>
      <c r="AI16" s="167">
        <f>V16+X16+Z16+AB16+AD16+AF16</f>
        <v>20169.086549138014</v>
      </c>
      <c r="AJ16" s="130">
        <f>$AJ$4*AK16</f>
        <v>31535000</v>
      </c>
      <c r="AK16" s="130">
        <f>AK7+30</f>
        <v>1190</v>
      </c>
      <c r="AL16">
        <v>2</v>
      </c>
      <c r="AM16" s="69">
        <f>U16</f>
        <v>0</v>
      </c>
      <c r="AN16" s="69">
        <f>W16</f>
        <v>1</v>
      </c>
      <c r="AO16" s="110">
        <f>Y16</f>
        <v>0</v>
      </c>
      <c r="AP16" s="110">
        <f>AA16</f>
        <v>0</v>
      </c>
      <c r="AQ16" s="110">
        <f>AC16</f>
        <v>0</v>
      </c>
      <c r="AR16" s="110">
        <f>AE16</f>
        <v>0</v>
      </c>
      <c r="AS16" s="69">
        <f>SUM(AM16:AR16)</f>
        <v>1</v>
      </c>
      <c r="AU16" s="110">
        <f t="shared" si="43"/>
        <v>0</v>
      </c>
      <c r="AV16" s="110">
        <f t="shared" si="43"/>
        <v>0.12820512820512819</v>
      </c>
      <c r="AW16" s="110">
        <f t="shared" si="43"/>
        <v>0</v>
      </c>
      <c r="AX16" s="110">
        <f t="shared" si="43"/>
        <v>0</v>
      </c>
      <c r="AY16" s="110">
        <f t="shared" si="43"/>
        <v>0</v>
      </c>
      <c r="AZ16" s="110">
        <f t="shared" si="43"/>
        <v>0</v>
      </c>
      <c r="BA16" s="110">
        <f t="shared" si="43"/>
        <v>6.6666666666666666E-2</v>
      </c>
      <c r="BC16" s="109">
        <f>$BC$1*BA16</f>
        <v>3666.6666666666665</v>
      </c>
      <c r="BD16" s="109">
        <f>$BD$1*BA16</f>
        <v>6666.666666666667</v>
      </c>
      <c r="BE16" s="109">
        <f t="shared" si="44"/>
        <v>305.55555555555554</v>
      </c>
      <c r="BF16" s="109">
        <f t="shared" si="44"/>
        <v>555.55555555555554</v>
      </c>
      <c r="BG16" s="109"/>
      <c r="BH16" s="109"/>
      <c r="BI16" s="109"/>
      <c r="BJ16" s="109"/>
      <c r="BK16" s="109"/>
      <c r="BL16" s="109"/>
      <c r="BM16" s="109"/>
      <c r="BN16" t="s">
        <v>709</v>
      </c>
      <c r="BO16" s="65">
        <v>70</v>
      </c>
    </row>
    <row r="17" spans="19:104" x14ac:dyDescent="0.35">
      <c r="S17">
        <v>1</v>
      </c>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45"/>
        <v>1</v>
      </c>
      <c r="AH17" s="122"/>
      <c r="AI17" s="167">
        <f>V17+X17+Z17+AB17+AD17+AF17</f>
        <v>20169.086549138014</v>
      </c>
      <c r="AJ17" s="130">
        <f>$AJ$4*AK17</f>
        <v>33125000</v>
      </c>
      <c r="AK17" s="130">
        <f>AK7+90</f>
        <v>1250</v>
      </c>
      <c r="AL17">
        <v>1</v>
      </c>
      <c r="AM17" s="69">
        <f>U17</f>
        <v>0</v>
      </c>
      <c r="AN17" s="69">
        <f>W17</f>
        <v>1</v>
      </c>
      <c r="AO17" s="110">
        <f>Y17</f>
        <v>0</v>
      </c>
      <c r="AP17" s="110">
        <f>AA17</f>
        <v>0</v>
      </c>
      <c r="AQ17" s="110">
        <f>AC17</f>
        <v>0</v>
      </c>
      <c r="AR17" s="110">
        <f>AE17</f>
        <v>0</v>
      </c>
      <c r="AS17" s="69">
        <f>SUM(AM17:AR17)</f>
        <v>1</v>
      </c>
      <c r="AU17" s="110">
        <f t="shared" si="43"/>
        <v>0</v>
      </c>
      <c r="AV17" s="110">
        <f t="shared" si="43"/>
        <v>0.12820512820512819</v>
      </c>
      <c r="AW17" s="110">
        <f t="shared" si="43"/>
        <v>0</v>
      </c>
      <c r="AX17" s="110">
        <f t="shared" si="43"/>
        <v>0</v>
      </c>
      <c r="AY17" s="110">
        <f t="shared" si="43"/>
        <v>0</v>
      </c>
      <c r="AZ17" s="110">
        <f t="shared" si="43"/>
        <v>0</v>
      </c>
      <c r="BA17" s="110">
        <f t="shared" si="43"/>
        <v>6.6666666666666666E-2</v>
      </c>
      <c r="BC17" s="199">
        <f>$BC$1*BA17</f>
        <v>3666.6666666666665</v>
      </c>
      <c r="BD17" s="199">
        <f>$BD$1*BA17</f>
        <v>6666.666666666667</v>
      </c>
      <c r="BE17" s="199">
        <f t="shared" si="44"/>
        <v>305.55555555555554</v>
      </c>
      <c r="BF17" s="199">
        <f t="shared" si="44"/>
        <v>555.55555555555554</v>
      </c>
      <c r="BG17" s="199"/>
      <c r="BH17" s="199"/>
      <c r="BI17" s="199">
        <f>1012-882</f>
        <v>130</v>
      </c>
      <c r="BJ17" s="199"/>
      <c r="BK17" s="199"/>
      <c r="BL17" s="199"/>
      <c r="BM17" s="199"/>
      <c r="BN17" t="s">
        <v>710</v>
      </c>
      <c r="BO17" s="65">
        <v>50</v>
      </c>
    </row>
    <row r="18" spans="19:104" x14ac:dyDescent="0.35">
      <c r="S18">
        <v>4</v>
      </c>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45"/>
        <v>1</v>
      </c>
      <c r="AH18" s="122"/>
      <c r="AI18" s="167">
        <f>V18+X18+Z18+AB18+AD18+AF18</f>
        <v>20169.086549138014</v>
      </c>
      <c r="AJ18" s="130">
        <f>$AJ$4*AK18</f>
        <v>29945000</v>
      </c>
      <c r="AK18" s="130">
        <f>AK7-30</f>
        <v>1130</v>
      </c>
      <c r="AL18">
        <v>4</v>
      </c>
      <c r="AM18" s="69">
        <f>U18</f>
        <v>0</v>
      </c>
      <c r="AN18" s="69">
        <f>W18</f>
        <v>1</v>
      </c>
      <c r="AO18" s="110">
        <f>Y18</f>
        <v>0</v>
      </c>
      <c r="AP18" s="110">
        <f>AA18</f>
        <v>0</v>
      </c>
      <c r="AQ18" s="110">
        <f>AC18</f>
        <v>0</v>
      </c>
      <c r="AR18" s="110">
        <f>AE18</f>
        <v>0</v>
      </c>
      <c r="AS18" s="69">
        <f>SUM(AM18:AR18)</f>
        <v>1</v>
      </c>
      <c r="AU18" s="110">
        <f t="shared" si="43"/>
        <v>0</v>
      </c>
      <c r="AV18" s="110">
        <f t="shared" si="43"/>
        <v>0.12820512820512819</v>
      </c>
      <c r="AW18" s="110">
        <f t="shared" si="43"/>
        <v>0</v>
      </c>
      <c r="AX18" s="110">
        <f t="shared" si="43"/>
        <v>0</v>
      </c>
      <c r="AY18" s="110">
        <f t="shared" si="43"/>
        <v>0</v>
      </c>
      <c r="AZ18" s="110">
        <f t="shared" si="43"/>
        <v>0</v>
      </c>
      <c r="BA18" s="110">
        <f t="shared" si="43"/>
        <v>6.6666666666666666E-2</v>
      </c>
      <c r="BC18" s="109">
        <f>$BC$1*BA18</f>
        <v>3666.6666666666665</v>
      </c>
      <c r="BD18" s="109">
        <f>$BD$1*BA18</f>
        <v>6666.666666666667</v>
      </c>
      <c r="BE18" s="109">
        <f t="shared" si="44"/>
        <v>305.55555555555554</v>
      </c>
      <c r="BF18" s="109">
        <f t="shared" si="44"/>
        <v>555.55555555555554</v>
      </c>
      <c r="BG18" s="109"/>
      <c r="BH18" s="109"/>
      <c r="BI18" s="109"/>
      <c r="BJ18" s="109"/>
      <c r="BK18" s="109"/>
      <c r="BL18" s="109"/>
      <c r="BM18" s="109"/>
    </row>
    <row r="19" spans="19:104" hidden="1" outlineLevel="1" x14ac:dyDescent="0.35">
      <c r="BC19" s="109"/>
      <c r="BD19" s="109"/>
      <c r="BE19" s="109"/>
      <c r="BF19" s="109"/>
      <c r="BG19" s="109"/>
      <c r="BH19" s="109"/>
      <c r="BI19" s="147">
        <f>'H_Tỷ lệ HH&amp;PS'!CC39</f>
        <v>968.66818397975226</v>
      </c>
      <c r="BJ19" s="109"/>
      <c r="BK19" s="109"/>
      <c r="BL19" s="109"/>
      <c r="BM19" s="109"/>
      <c r="BN19" t="str">
        <f>'H_Tỷ lệ HH&amp;PS'!BU39</f>
        <v>Hạt WSS03NC</v>
      </c>
      <c r="CE19" s="525">
        <f t="shared" ref="CE19:CE22" si="46">(CG19+CF19)/CH19</f>
        <v>0.16398137329308099</v>
      </c>
      <c r="CF19">
        <f>CF2</f>
        <v>140</v>
      </c>
      <c r="CG19">
        <f>CG9</f>
        <v>50</v>
      </c>
      <c r="CH19" s="130">
        <f t="shared" ref="CH19:CH22" si="47">BI19+CF19+CG19</f>
        <v>1158.6681839797523</v>
      </c>
      <c r="CP19" s="130">
        <f>CP4-130</f>
        <v>1250</v>
      </c>
      <c r="CY19" s="525">
        <f t="shared" ref="CY19:CY22" si="48">(CP19-BI19)/CP19</f>
        <v>0.22506545281619819</v>
      </c>
      <c r="CZ19" s="525"/>
    </row>
    <row r="20" spans="19:104" hidden="1" outlineLevel="1" x14ac:dyDescent="0.35">
      <c r="BI20" s="147">
        <f>'H_Tỷ lệ HH&amp;PS'!CC40</f>
        <v>972.88892791204978</v>
      </c>
      <c r="BN20" t="str">
        <f>'H_Tỷ lệ HH&amp;PS'!BU40</f>
        <v>Hạt WSS04NC</v>
      </c>
      <c r="CE20" s="525">
        <f t="shared" si="46"/>
        <v>0.16338619746009814</v>
      </c>
      <c r="CF20">
        <f t="shared" ref="CF20:CF25" si="49">CF3</f>
        <v>140</v>
      </c>
      <c r="CG20">
        <f>CG19</f>
        <v>50</v>
      </c>
      <c r="CH20" s="130">
        <f t="shared" si="47"/>
        <v>1162.8889279120499</v>
      </c>
      <c r="CP20" s="130">
        <f>CP4-170</f>
        <v>1210</v>
      </c>
      <c r="CY20" s="525">
        <f t="shared" si="48"/>
        <v>0.19595956370904977</v>
      </c>
      <c r="CZ20" s="525"/>
    </row>
    <row r="21" spans="19:104" hidden="1" outlineLevel="1" x14ac:dyDescent="0.35">
      <c r="BI21" s="147">
        <f>'H_Tỷ lệ HH&amp;PS'!CC41</f>
        <v>1020.2442243302686</v>
      </c>
      <c r="BM21" t="str">
        <f>'H_Tỷ lệ HH&amp;PS'!BS41</f>
        <v>Hyosung</v>
      </c>
      <c r="BN21" t="str">
        <f>'H_Tỷ lệ HH&amp;PS'!BU41</f>
        <v>Hạt WSS04SB</v>
      </c>
      <c r="CE21" s="525">
        <f t="shared" si="46"/>
        <v>0.15699310616842085</v>
      </c>
      <c r="CF21">
        <f t="shared" si="49"/>
        <v>140</v>
      </c>
      <c r="CG21">
        <f t="shared" ref="CG21:CG22" si="50">CG20</f>
        <v>50</v>
      </c>
      <c r="CH21" s="130">
        <f t="shared" si="47"/>
        <v>1210.2442243302685</v>
      </c>
      <c r="CP21" s="130">
        <f>CP4-130</f>
        <v>1250</v>
      </c>
      <c r="CY21" s="525">
        <f t="shared" si="48"/>
        <v>0.18380462053578511</v>
      </c>
      <c r="CZ21" s="525"/>
    </row>
    <row r="22" spans="19:104" hidden="1" outlineLevel="1" x14ac:dyDescent="0.35">
      <c r="BI22" s="147">
        <f>'H_Tỷ lệ HH&amp;PS'!CC42</f>
        <v>973.10889064373032</v>
      </c>
      <c r="BN22" t="str">
        <f>'H_Tỷ lệ HH&amp;PS'!BU42</f>
        <v>Hạt WSS05SB (sợi ngắn)</v>
      </c>
      <c r="CE22" s="525">
        <f t="shared" si="46"/>
        <v>0.16335529848356953</v>
      </c>
      <c r="CF22">
        <f t="shared" si="49"/>
        <v>140</v>
      </c>
      <c r="CG22">
        <f t="shared" si="50"/>
        <v>50</v>
      </c>
      <c r="CH22" s="130">
        <f t="shared" si="47"/>
        <v>1163.1088906437303</v>
      </c>
      <c r="CP22" s="130">
        <f>CP4-170</f>
        <v>1210</v>
      </c>
      <c r="CY22" s="525">
        <f t="shared" si="48"/>
        <v>0.1957777763274956</v>
      </c>
      <c r="CZ22" s="525"/>
    </row>
    <row r="23" spans="19:104" ht="7.5" customHeight="1" collapsed="1" x14ac:dyDescent="0.35"/>
    <row r="24" spans="19:104" x14ac:dyDescent="0.35">
      <c r="T24" s="119" t="s">
        <v>388</v>
      </c>
      <c r="AG24" s="126">
        <v>0.05</v>
      </c>
      <c r="AH24" s="126"/>
      <c r="AM24" s="188">
        <f>SUM(AM25:AM29)</f>
        <v>2.15</v>
      </c>
      <c r="AN24" s="188">
        <f t="shared" ref="AN24:AS24" si="51">SUM(AN25:AN29)</f>
        <v>1.75</v>
      </c>
      <c r="AO24" s="188">
        <f t="shared" si="51"/>
        <v>0.25</v>
      </c>
      <c r="AP24" s="188">
        <f t="shared" si="51"/>
        <v>0.75</v>
      </c>
      <c r="AQ24" s="188">
        <f t="shared" si="51"/>
        <v>0.1</v>
      </c>
      <c r="AR24" s="188">
        <f t="shared" si="51"/>
        <v>0</v>
      </c>
      <c r="AS24" s="188">
        <f t="shared" si="51"/>
        <v>5</v>
      </c>
      <c r="AU24" s="188">
        <f t="shared" ref="AU24:BA29" si="52">AM24/AM$2</f>
        <v>0.45744680851063835</v>
      </c>
      <c r="AV24" s="188">
        <f t="shared" si="52"/>
        <v>0.22435897435897434</v>
      </c>
      <c r="AW24" s="188">
        <f t="shared" si="52"/>
        <v>0.625</v>
      </c>
      <c r="AX24" s="188">
        <f t="shared" si="52"/>
        <v>0.75</v>
      </c>
      <c r="AY24" s="188">
        <f t="shared" si="52"/>
        <v>1</v>
      </c>
      <c r="AZ24" s="188">
        <f t="shared" si="52"/>
        <v>0</v>
      </c>
      <c r="BA24" s="188">
        <f t="shared" si="52"/>
        <v>0.33333333333333331</v>
      </c>
      <c r="BC24" s="275">
        <f t="shared" ref="BC24:BC29" si="53">$BC$1*BA24</f>
        <v>18333.333333333332</v>
      </c>
      <c r="BD24" s="275">
        <f t="shared" ref="BD24:BD29" si="54">$BD$1*BA24</f>
        <v>33333.333333333328</v>
      </c>
      <c r="BE24" s="196">
        <f t="shared" ref="BE24:BF29" si="55">BC24/12</f>
        <v>1527.7777777777776</v>
      </c>
      <c r="BF24" s="196">
        <f t="shared" si="55"/>
        <v>2777.7777777777774</v>
      </c>
      <c r="BG24" s="275"/>
      <c r="BH24" s="275"/>
      <c r="BI24" s="147">
        <f>'H_Tỷ lệ HH&amp;PS'!CC49</f>
        <v>0</v>
      </c>
      <c r="BJ24" s="275"/>
      <c r="BK24" s="275"/>
      <c r="BL24" s="275"/>
      <c r="BM24" s="275"/>
      <c r="BN24" s="280" t="str">
        <f>'H_Tỷ lệ HH&amp;PS'!BU49</f>
        <v>Hạt WSS03SB</v>
      </c>
      <c r="CE24" s="525">
        <f t="shared" ref="CE24:CE25" si="56">(CG24+CF24)/CH24</f>
        <v>1</v>
      </c>
      <c r="CF24">
        <f t="shared" si="49"/>
        <v>140</v>
      </c>
      <c r="CG24">
        <f>CG22</f>
        <v>50</v>
      </c>
      <c r="CH24" s="130">
        <f t="shared" ref="CH24:CH25" si="57">BI24+CF24+CG24</f>
        <v>190</v>
      </c>
      <c r="CP24" s="130">
        <f>CP4-130</f>
        <v>1250</v>
      </c>
      <c r="CY24" s="525">
        <f t="shared" ref="CY24:CY25" si="58">(CP24-BI24)/CP24</f>
        <v>1</v>
      </c>
      <c r="CZ24" s="525"/>
    </row>
    <row r="25" spans="19:104" x14ac:dyDescent="0.35">
      <c r="S25">
        <v>3</v>
      </c>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G29" si="59">U25+W25+Y25+AA25+AC25+AE25</f>
        <v>1</v>
      </c>
      <c r="AH25" s="122"/>
      <c r="AI25" s="167">
        <f>V25+X25+Z25+AB25+AD25+AF25</f>
        <v>19883.142103626953</v>
      </c>
      <c r="AJ25" s="130">
        <f>$AJ$4*AK25</f>
        <v>30740000</v>
      </c>
      <c r="AK25" s="130">
        <f>AK7</f>
        <v>1160</v>
      </c>
      <c r="AL25">
        <v>3</v>
      </c>
      <c r="AM25" s="69">
        <f>U25</f>
        <v>0</v>
      </c>
      <c r="AN25" s="69">
        <f>W25</f>
        <v>0.9</v>
      </c>
      <c r="AO25" s="110">
        <f>Y25</f>
        <v>0.1</v>
      </c>
      <c r="AP25" s="110">
        <f>AA25</f>
        <v>0</v>
      </c>
      <c r="AQ25" s="110">
        <f>AC25</f>
        <v>0</v>
      </c>
      <c r="AR25" s="110">
        <f>AE25</f>
        <v>0</v>
      </c>
      <c r="AS25" s="69">
        <f>SUM(AM25:AR25)</f>
        <v>1</v>
      </c>
      <c r="AU25" s="110">
        <f t="shared" si="52"/>
        <v>0</v>
      </c>
      <c r="AV25" s="110">
        <f t="shared" si="52"/>
        <v>0.11538461538461538</v>
      </c>
      <c r="AW25" s="110">
        <f t="shared" si="52"/>
        <v>0.25</v>
      </c>
      <c r="AX25" s="110">
        <f t="shared" si="52"/>
        <v>0</v>
      </c>
      <c r="AY25" s="110">
        <f t="shared" si="52"/>
        <v>0</v>
      </c>
      <c r="AZ25" s="110">
        <f t="shared" si="52"/>
        <v>0</v>
      </c>
      <c r="BA25" s="110">
        <f t="shared" si="52"/>
        <v>6.6666666666666666E-2</v>
      </c>
      <c r="BC25" s="109">
        <f t="shared" si="53"/>
        <v>3666.6666666666665</v>
      </c>
      <c r="BD25" s="109">
        <f t="shared" si="54"/>
        <v>6666.666666666667</v>
      </c>
      <c r="BE25" s="291">
        <f t="shared" si="55"/>
        <v>305.55555555555554</v>
      </c>
      <c r="BF25" s="291">
        <f t="shared" si="55"/>
        <v>555.55555555555554</v>
      </c>
      <c r="BG25" s="109"/>
      <c r="BH25" s="109"/>
      <c r="BI25" s="147">
        <f>'H_Tỷ lệ HH&amp;PS'!CC50</f>
        <v>0</v>
      </c>
      <c r="BJ25" s="109"/>
      <c r="BK25" s="109"/>
      <c r="BL25" s="109"/>
      <c r="BM25" s="109"/>
      <c r="BN25" s="280" t="str">
        <f>'H_Tỷ lệ HH&amp;PS'!BU50</f>
        <v>Hạt WSS04SB</v>
      </c>
      <c r="CE25" s="525">
        <f t="shared" si="56"/>
        <v>1</v>
      </c>
      <c r="CF25">
        <f t="shared" si="49"/>
        <v>140</v>
      </c>
      <c r="CG25">
        <f t="shared" ref="CG25" si="60">CG24</f>
        <v>50</v>
      </c>
      <c r="CH25" s="130">
        <f t="shared" si="57"/>
        <v>190</v>
      </c>
      <c r="CP25" s="130">
        <f>CP4-170</f>
        <v>1210</v>
      </c>
      <c r="CY25" s="525">
        <f t="shared" si="58"/>
        <v>1</v>
      </c>
      <c r="CZ25" s="525"/>
    </row>
    <row r="26" spans="19:104" x14ac:dyDescent="0.35">
      <c r="S26">
        <v>5</v>
      </c>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59"/>
        <v>1</v>
      </c>
      <c r="AH26" s="122"/>
      <c r="AI26" s="167">
        <f>V26+X26+Z26+AB26+AD26+AF26</f>
        <v>19112.177744792491</v>
      </c>
      <c r="AJ26" s="130">
        <f>$AJ$4*AK26</f>
        <v>28885000</v>
      </c>
      <c r="AK26" s="130">
        <f>AK7-70</f>
        <v>1090</v>
      </c>
      <c r="AL26">
        <v>5</v>
      </c>
      <c r="AM26" s="69">
        <f>U26</f>
        <v>0.55000000000000004</v>
      </c>
      <c r="AN26" s="69">
        <f>W26</f>
        <v>0.3</v>
      </c>
      <c r="AO26" s="110">
        <f>Y26</f>
        <v>0.15</v>
      </c>
      <c r="AP26" s="110">
        <f>AA26</f>
        <v>0</v>
      </c>
      <c r="AQ26" s="110">
        <f>AC26</f>
        <v>0</v>
      </c>
      <c r="AR26" s="110">
        <f>AE26</f>
        <v>0</v>
      </c>
      <c r="AS26" s="69">
        <f>SUM(AM26:AR26)</f>
        <v>1</v>
      </c>
      <c r="AU26" s="110">
        <f t="shared" si="52"/>
        <v>0.11702127659574471</v>
      </c>
      <c r="AV26" s="110">
        <f t="shared" si="52"/>
        <v>3.8461538461538457E-2</v>
      </c>
      <c r="AW26" s="110">
        <f t="shared" si="52"/>
        <v>0.37499999999999994</v>
      </c>
      <c r="AX26" s="110">
        <f t="shared" si="52"/>
        <v>0</v>
      </c>
      <c r="AY26" s="110">
        <f t="shared" si="52"/>
        <v>0</v>
      </c>
      <c r="AZ26" s="110">
        <f t="shared" si="52"/>
        <v>0</v>
      </c>
      <c r="BA26" s="110">
        <f t="shared" si="52"/>
        <v>6.6666666666666666E-2</v>
      </c>
      <c r="BC26" s="109">
        <f t="shared" si="53"/>
        <v>3666.6666666666665</v>
      </c>
      <c r="BD26" s="109">
        <f t="shared" si="54"/>
        <v>6666.666666666667</v>
      </c>
      <c r="BE26" s="109">
        <f t="shared" si="55"/>
        <v>305.55555555555554</v>
      </c>
      <c r="BF26" s="109">
        <f t="shared" si="55"/>
        <v>555.55555555555554</v>
      </c>
      <c r="BG26" s="109"/>
      <c r="BH26" s="109"/>
      <c r="BI26" s="109"/>
      <c r="BJ26" s="109"/>
      <c r="BK26" s="109"/>
      <c r="BL26" s="109"/>
      <c r="BM26" s="109"/>
    </row>
    <row r="27" spans="19:104" x14ac:dyDescent="0.35">
      <c r="S27">
        <v>3</v>
      </c>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59"/>
        <v>1</v>
      </c>
      <c r="AH27" s="122"/>
      <c r="AI27" s="167">
        <f>V27+X27+Z27+AB27+AD27+AF27</f>
        <v>17279.402879005062</v>
      </c>
      <c r="AJ27" s="130">
        <f>$AJ$4*AK27</f>
        <v>30740000</v>
      </c>
      <c r="AK27" s="130">
        <f>AK7</f>
        <v>1160</v>
      </c>
      <c r="AL27">
        <v>3</v>
      </c>
      <c r="AM27" s="69">
        <f>U27</f>
        <v>0</v>
      </c>
      <c r="AN27" s="69">
        <f>W27</f>
        <v>0.4</v>
      </c>
      <c r="AO27" s="110">
        <f>Y27</f>
        <v>0</v>
      </c>
      <c r="AP27" s="110">
        <f>AA27</f>
        <v>0.5</v>
      </c>
      <c r="AQ27" s="110">
        <f>AC27</f>
        <v>0.1</v>
      </c>
      <c r="AR27" s="110">
        <f>AE27</f>
        <v>0</v>
      </c>
      <c r="AS27" s="69">
        <f>SUM(AM27:AR27)</f>
        <v>1</v>
      </c>
      <c r="AU27" s="110">
        <f t="shared" si="52"/>
        <v>0</v>
      </c>
      <c r="AV27" s="110">
        <f t="shared" si="52"/>
        <v>5.128205128205128E-2</v>
      </c>
      <c r="AW27" s="110">
        <f t="shared" si="52"/>
        <v>0</v>
      </c>
      <c r="AX27" s="110">
        <f t="shared" si="52"/>
        <v>0.5</v>
      </c>
      <c r="AY27" s="110">
        <f t="shared" si="52"/>
        <v>1</v>
      </c>
      <c r="AZ27" s="110">
        <f t="shared" si="52"/>
        <v>0</v>
      </c>
      <c r="BA27" s="110">
        <f t="shared" si="52"/>
        <v>6.6666666666666666E-2</v>
      </c>
      <c r="BC27" s="109">
        <f t="shared" si="53"/>
        <v>3666.6666666666665</v>
      </c>
      <c r="BD27" s="109">
        <f t="shared" si="54"/>
        <v>6666.666666666667</v>
      </c>
      <c r="BE27" s="109">
        <f t="shared" si="55"/>
        <v>305.55555555555554</v>
      </c>
      <c r="BF27" s="109">
        <f t="shared" si="55"/>
        <v>555.55555555555554</v>
      </c>
      <c r="BG27" s="109"/>
      <c r="BH27" s="109"/>
      <c r="BI27" s="109"/>
      <c r="BJ27" s="109"/>
      <c r="BK27" s="109"/>
      <c r="BL27" s="109"/>
      <c r="BM27" s="109"/>
    </row>
    <row r="28" spans="19:104" x14ac:dyDescent="0.35">
      <c r="S28">
        <v>6</v>
      </c>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59"/>
        <v>1</v>
      </c>
      <c r="AH28" s="122"/>
      <c r="AI28" s="167">
        <f>V28+X28+Z28+AB28+AD28+AF28</f>
        <v>18853.682855909705</v>
      </c>
      <c r="AJ28" s="130">
        <f>$AJ$4*AK28</f>
        <v>19080000</v>
      </c>
      <c r="AK28" s="130">
        <f>AK10</f>
        <v>720</v>
      </c>
      <c r="AL28">
        <v>6</v>
      </c>
      <c r="AM28" s="69">
        <f>U28</f>
        <v>0.95</v>
      </c>
      <c r="AN28" s="69">
        <f>W28</f>
        <v>0</v>
      </c>
      <c r="AO28" s="110">
        <f>Y28</f>
        <v>0</v>
      </c>
      <c r="AP28" s="110">
        <f>AA28</f>
        <v>0.05</v>
      </c>
      <c r="AQ28" s="110">
        <f>AC28</f>
        <v>0</v>
      </c>
      <c r="AR28" s="110">
        <f>AE28</f>
        <v>0</v>
      </c>
      <c r="AS28" s="69">
        <f>SUM(AM28:AR28)</f>
        <v>1</v>
      </c>
      <c r="AU28" s="110">
        <f t="shared" si="52"/>
        <v>0.2021276595744681</v>
      </c>
      <c r="AV28" s="110">
        <f t="shared" si="52"/>
        <v>0</v>
      </c>
      <c r="AW28" s="110">
        <f t="shared" si="52"/>
        <v>0</v>
      </c>
      <c r="AX28" s="110">
        <f t="shared" si="52"/>
        <v>0.05</v>
      </c>
      <c r="AY28" s="110">
        <f t="shared" si="52"/>
        <v>0</v>
      </c>
      <c r="AZ28" s="110">
        <f t="shared" si="52"/>
        <v>0</v>
      </c>
      <c r="BA28" s="110">
        <f t="shared" si="52"/>
        <v>6.6666666666666666E-2</v>
      </c>
      <c r="BC28" s="109">
        <f t="shared" si="53"/>
        <v>3666.6666666666665</v>
      </c>
      <c r="BD28" s="109">
        <f t="shared" si="54"/>
        <v>6666.666666666667</v>
      </c>
      <c r="BE28" s="109">
        <f t="shared" si="55"/>
        <v>305.55555555555554</v>
      </c>
      <c r="BF28" s="109">
        <f t="shared" si="55"/>
        <v>555.55555555555554</v>
      </c>
      <c r="BG28" s="109"/>
      <c r="BH28" s="109"/>
      <c r="BI28" s="109"/>
      <c r="BJ28" s="109"/>
      <c r="BK28" s="109"/>
      <c r="BL28" s="109"/>
      <c r="BM28" s="109"/>
    </row>
    <row r="29" spans="19:104" x14ac:dyDescent="0.35">
      <c r="S29">
        <v>7</v>
      </c>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59"/>
        <v>1</v>
      </c>
      <c r="AH29" s="122"/>
      <c r="AI29" s="167">
        <f>V29+X29+Z29+AB29+AD29+AF29</f>
        <v>18504.154010131388</v>
      </c>
      <c r="AJ29" s="130">
        <f>$AJ$4*AK29</f>
        <v>20140000</v>
      </c>
      <c r="AK29" s="130">
        <v>760</v>
      </c>
      <c r="AL29">
        <v>7</v>
      </c>
      <c r="AM29" s="69">
        <f>U29</f>
        <v>0.65</v>
      </c>
      <c r="AN29" s="69">
        <f>W29</f>
        <v>0.15</v>
      </c>
      <c r="AO29" s="110">
        <f>Y29</f>
        <v>0</v>
      </c>
      <c r="AP29" s="110">
        <f>AA29</f>
        <v>0.2</v>
      </c>
      <c r="AQ29" s="110">
        <f>AC29</f>
        <v>0</v>
      </c>
      <c r="AR29" s="110">
        <f>AE29</f>
        <v>0</v>
      </c>
      <c r="AS29" s="69">
        <f>SUM(AM29:AR29)</f>
        <v>1</v>
      </c>
      <c r="AU29" s="110">
        <f t="shared" si="52"/>
        <v>0.13829787234042556</v>
      </c>
      <c r="AV29" s="110">
        <f t="shared" si="52"/>
        <v>1.9230769230769228E-2</v>
      </c>
      <c r="AW29" s="110">
        <f t="shared" si="52"/>
        <v>0</v>
      </c>
      <c r="AX29" s="110">
        <f t="shared" si="52"/>
        <v>0.2</v>
      </c>
      <c r="AY29" s="110">
        <f t="shared" si="52"/>
        <v>0</v>
      </c>
      <c r="AZ29" s="110">
        <f t="shared" si="52"/>
        <v>0</v>
      </c>
      <c r="BA29" s="110">
        <f t="shared" si="52"/>
        <v>6.6666666666666666E-2</v>
      </c>
      <c r="BC29" s="109">
        <f t="shared" si="53"/>
        <v>3666.6666666666665</v>
      </c>
      <c r="BD29" s="109">
        <f t="shared" si="54"/>
        <v>6666.666666666667</v>
      </c>
      <c r="BE29" s="109">
        <f t="shared" si="55"/>
        <v>305.55555555555554</v>
      </c>
      <c r="BF29" s="109">
        <f t="shared" si="55"/>
        <v>555.55555555555554</v>
      </c>
      <c r="BG29" s="109"/>
      <c r="BH29" s="109"/>
      <c r="BI29" s="109"/>
      <c r="BJ29" s="109"/>
      <c r="BK29" s="109"/>
      <c r="BL29" s="109"/>
      <c r="BM29" s="109"/>
    </row>
    <row r="30" spans="19:104" ht="6.5" customHeight="1" x14ac:dyDescent="0.35"/>
    <row r="31" spans="19:104" ht="7" customHeight="1" x14ac:dyDescent="0.35"/>
    <row r="32" spans="19:104" x14ac:dyDescent="0.35">
      <c r="T32" s="119" t="s">
        <v>389</v>
      </c>
      <c r="AG32" s="126">
        <v>0.02</v>
      </c>
      <c r="AH32" s="126"/>
    </row>
    <row r="33" spans="19:65" x14ac:dyDescent="0.35">
      <c r="S33">
        <v>8</v>
      </c>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22"/>
      <c r="AI33" s="167">
        <f>V33+X33+Z33+AB33+AD33+AF33</f>
        <v>17195.059200132389</v>
      </c>
      <c r="AJ33" s="130">
        <f>$AJ$4*AK33</f>
        <v>21200000</v>
      </c>
      <c r="AK33">
        <v>800</v>
      </c>
      <c r="AL33">
        <v>8</v>
      </c>
      <c r="AM33" s="188">
        <f>U33</f>
        <v>0</v>
      </c>
      <c r="AN33" s="188">
        <f>W33</f>
        <v>0</v>
      </c>
      <c r="AO33" s="188">
        <f>Y33</f>
        <v>0</v>
      </c>
      <c r="AP33" s="188">
        <f>AA33</f>
        <v>0</v>
      </c>
      <c r="AQ33" s="188">
        <f>AC33</f>
        <v>0</v>
      </c>
      <c r="AR33" s="188">
        <f>AE33</f>
        <v>1</v>
      </c>
      <c r="AS33" s="188">
        <f>SUM(AM33:AR33)</f>
        <v>1</v>
      </c>
      <c r="AU33" s="188">
        <f t="shared" ref="AU33:BA33" si="61">AM33/AM$2</f>
        <v>0</v>
      </c>
      <c r="AV33" s="188">
        <f t="shared" si="61"/>
        <v>0</v>
      </c>
      <c r="AW33" s="188">
        <f t="shared" si="61"/>
        <v>0</v>
      </c>
      <c r="AX33" s="188">
        <f t="shared" si="61"/>
        <v>0</v>
      </c>
      <c r="AY33" s="188">
        <f t="shared" si="61"/>
        <v>0</v>
      </c>
      <c r="AZ33" s="188">
        <f t="shared" si="61"/>
        <v>1</v>
      </c>
      <c r="BA33" s="188">
        <f t="shared" si="61"/>
        <v>6.6666666666666666E-2</v>
      </c>
      <c r="BC33" s="275">
        <f>$BC$1*BA33</f>
        <v>3666.6666666666665</v>
      </c>
      <c r="BD33" s="275">
        <f>$BD$1*BA33</f>
        <v>6666.666666666667</v>
      </c>
      <c r="BE33" s="196">
        <f>BC33/12</f>
        <v>305.55555555555554</v>
      </c>
      <c r="BF33" s="196">
        <f>BD33/12</f>
        <v>555.55555555555554</v>
      </c>
      <c r="BG33" s="275"/>
      <c r="BH33" s="275"/>
      <c r="BI33" s="275"/>
      <c r="BJ33" s="275"/>
      <c r="BK33" s="275"/>
      <c r="BL33" s="275"/>
      <c r="BM33" s="275"/>
    </row>
    <row r="34" spans="19:65" x14ac:dyDescent="0.35">
      <c r="AU34" s="110"/>
      <c r="AV34" s="110"/>
      <c r="AW34" s="110"/>
      <c r="AX34" s="110"/>
      <c r="AY34" s="110"/>
      <c r="AZ34" s="110"/>
      <c r="BA34" s="110"/>
    </row>
    <row r="35" spans="19:65" x14ac:dyDescent="0.35">
      <c r="AE35" s="109">
        <f>'Giá mua Chai-Vảy'!O40</f>
        <v>12550</v>
      </c>
      <c r="AI35" s="133"/>
      <c r="AJ35" s="133"/>
      <c r="AK35" s="133"/>
      <c r="AL35" s="133"/>
      <c r="AM35" s="121"/>
      <c r="AN35" s="121"/>
      <c r="AO35" s="121"/>
      <c r="AP35" s="133"/>
      <c r="AU35" s="110"/>
      <c r="AV35" s="110"/>
      <c r="AW35" s="110"/>
      <c r="AX35" s="110"/>
      <c r="AY35" s="110"/>
      <c r="AZ35" s="110"/>
      <c r="BA35" s="110"/>
    </row>
    <row r="36" spans="19:65" x14ac:dyDescent="0.35">
      <c r="T36" s="119" t="s">
        <v>446</v>
      </c>
      <c r="AG36" s="126">
        <v>0.01</v>
      </c>
      <c r="AH36" s="126"/>
      <c r="AL36" s="133"/>
      <c r="AM36" s="121"/>
      <c r="AN36" s="121"/>
      <c r="AO36" s="121"/>
      <c r="AP36" s="133"/>
    </row>
    <row r="37" spans="19:65"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22"/>
      <c r="AI37" s="177">
        <f>V37+X37+Z37+AB37+AD37+AF37</f>
        <v>12550</v>
      </c>
      <c r="AJ37" s="130">
        <f>$AJ$4*AK37</f>
        <v>19500000</v>
      </c>
      <c r="AK37" s="194">
        <f>19500000/26500</f>
        <v>735.84905660377353</v>
      </c>
      <c r="AL37" s="175"/>
      <c r="AM37" s="208"/>
      <c r="AN37" s="208"/>
      <c r="AO37" s="208"/>
      <c r="AP37" s="209"/>
      <c r="AQ37" s="110">
        <f>$AQ$4*AR37/1000</f>
        <v>0.3666666666666667</v>
      </c>
      <c r="AR37" s="188">
        <f>AE37</f>
        <v>1</v>
      </c>
      <c r="AS37" s="188">
        <f>SUM(AM37:AR37)</f>
        <v>1.3666666666666667</v>
      </c>
      <c r="AU37" s="188"/>
      <c r="AV37" s="188"/>
      <c r="AW37" s="188"/>
      <c r="AX37" s="188"/>
      <c r="AY37" s="188"/>
      <c r="AZ37" s="188"/>
      <c r="BA37" s="188"/>
      <c r="BC37" s="276">
        <f>$BC$1*AG36</f>
        <v>550</v>
      </c>
      <c r="BD37" s="276">
        <f>$BD$1*AG36</f>
        <v>1000</v>
      </c>
      <c r="BE37" s="276"/>
      <c r="BF37" s="276"/>
      <c r="BG37" s="276"/>
      <c r="BH37" s="276"/>
      <c r="BI37" s="276"/>
      <c r="BJ37" s="276"/>
      <c r="BK37" s="276"/>
      <c r="BL37" s="276"/>
      <c r="BM37" s="276"/>
    </row>
    <row r="38" spans="19:65" x14ac:dyDescent="0.35">
      <c r="AU38" s="110"/>
      <c r="AV38" s="110"/>
      <c r="AW38" s="110"/>
      <c r="AX38" s="110"/>
      <c r="AY38" s="110"/>
      <c r="AZ38" s="110"/>
      <c r="BA38" s="110"/>
    </row>
    <row r="39" spans="19:65" x14ac:dyDescent="0.35">
      <c r="AU39" s="110"/>
      <c r="AV39" s="110"/>
      <c r="AW39" s="110"/>
      <c r="AX39" s="110"/>
      <c r="AY39" s="110"/>
      <c r="AZ39" s="110"/>
      <c r="BA39" s="110"/>
    </row>
  </sheetData>
  <mergeCells count="1">
    <mergeCell ref="AL1:AL5"/>
  </mergeCells>
  <hyperlinks>
    <hyperlink ref="AA11" r:id="rId1" display="20@" xr:uid="{E9640F68-B2B9-4BBA-85A3-E76F615B0A15}"/>
  </hyperlinks>
  <pageMargins left="0.17" right="0.18" top="0.31" bottom="0.23" header="0.18" footer="0.05"/>
  <pageSetup paperSize="9" orientation="landscape" r:id="rId2"/>
  <drawing r:id="rId3"/>
  <legacyDrawing r:id="rId4"/>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DEAD-C462-4E75-8752-52644E4CB25F}">
  <sheetPr>
    <tabColor rgb="FFFF0000"/>
  </sheetPr>
  <dimension ref="B1:AP37"/>
  <sheetViews>
    <sheetView topLeftCell="D1" zoomScale="85" zoomScaleNormal="85" workbookViewId="0">
      <pane xSplit="17" topLeftCell="AK1" activePane="topRight" state="frozen"/>
      <selection activeCell="S1" sqref="S1"/>
      <selection pane="topRight" activeCell="AE1" sqref="AE1"/>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21.90625" style="121" bestFit="1" customWidth="1"/>
    <col min="34" max="34" width="10.1796875" style="121" bestFit="1" customWidth="1"/>
    <col min="35" max="35" width="11.81640625" bestFit="1" customWidth="1"/>
    <col min="36" max="36" width="7" bestFit="1" customWidth="1"/>
  </cols>
  <sheetData>
    <row r="1" spans="2:38" ht="15.5" x14ac:dyDescent="0.35">
      <c r="B1" s="113" t="s">
        <v>364</v>
      </c>
      <c r="T1" s="121" t="s">
        <v>447</v>
      </c>
      <c r="U1" s="109">
        <f>'Giá mua Chai-Vảy (Giá giảm)'!E18</f>
        <v>14800</v>
      </c>
      <c r="W1" s="132">
        <f>'Giá mua Chai-Vảy (Giá giảm)'!E14</f>
        <v>16300</v>
      </c>
      <c r="X1" s="132">
        <f>W3-W1-X3</f>
        <v>-847.55675534306283</v>
      </c>
      <c r="Y1" s="109">
        <f>'Giá mua Chai-Vảy (Giá giảm)'!E15</f>
        <v>14800</v>
      </c>
      <c r="AA1" s="109">
        <f>'Giá mua Chai-Vảy (Giá giảm)'!E17</f>
        <v>13300</v>
      </c>
      <c r="AB1" s="132">
        <f>'[8]18. Vảy B5'!$I$10</f>
        <v>411.68039840493083</v>
      </c>
      <c r="AC1" s="168">
        <f>'[8]16.1 Rửa vảy B7'!$I$9</f>
        <v>7971.0144927536239</v>
      </c>
      <c r="AD1" s="171">
        <f>'[8]16.1 Rửa vảy B7'!$I$10</f>
        <v>84.555434657824762</v>
      </c>
      <c r="AE1" s="109">
        <f>'Giá mua Chai-Vảy (Giá giảm)'!E16</f>
        <v>13300</v>
      </c>
    </row>
    <row r="2" spans="2:38" ht="15.5" x14ac:dyDescent="0.35">
      <c r="B2" s="114" t="s">
        <v>365</v>
      </c>
      <c r="T2" s="162" t="s">
        <v>634</v>
      </c>
      <c r="U2" s="157">
        <f>'Hảo_R&amp;D'!AK2</f>
        <v>0.77783045852077959</v>
      </c>
      <c r="W2" s="283">
        <f>'Hảo_R&amp;D'!AM2</f>
        <v>0.8081674874213195</v>
      </c>
      <c r="X2" s="132">
        <f>'[8]12. 100% vảy-&gt;hạt WSS01-iSS01'!$I$10</f>
        <v>1636.9775154230633</v>
      </c>
      <c r="Y2" s="157">
        <f>'Hảo_R&amp;D'!AO2</f>
        <v>0.85501479000000002</v>
      </c>
      <c r="AA2" s="157">
        <f>'Hảo_R&amp;D'!AQ2</f>
        <v>0.85501479000000002</v>
      </c>
      <c r="AE2" s="157">
        <f>'Hảo_R&amp;D'!AU2</f>
        <v>0.773478</v>
      </c>
    </row>
    <row r="3" spans="2:38" ht="29" x14ac:dyDescent="0.35">
      <c r="T3" s="162" t="s">
        <v>448</v>
      </c>
      <c r="U3" s="169">
        <f>U1/U2</f>
        <v>19027.282665358136</v>
      </c>
      <c r="W3" s="131">
        <f>W1/W2</f>
        <v>20169.086549138014</v>
      </c>
      <c r="X3" s="170">
        <f>'[8]10. 100% chai-&gt;hạt WSS01-iSS01'!$I$21+'[8]10. 100% chai-&gt;hạt WSS01-iSS01'!$I$37</f>
        <v>4716.6433044810765</v>
      </c>
      <c r="Y3" s="169">
        <f>Y1/Y2</f>
        <v>17309.642094027404</v>
      </c>
      <c r="AA3" s="169">
        <f>AA1/AA2</f>
        <v>15555.28647638949</v>
      </c>
      <c r="AB3" s="132"/>
      <c r="AC3" s="169">
        <f>'[8]16.1 Rửa vảy B7'!$I$48</f>
        <v>14341.250211551116</v>
      </c>
      <c r="AD3" s="109"/>
      <c r="AE3" s="169">
        <f>AE1/AE2</f>
        <v>17195.059200132389</v>
      </c>
      <c r="AG3" s="121" t="s">
        <v>636</v>
      </c>
      <c r="AI3" t="s">
        <v>391</v>
      </c>
      <c r="AJ3" t="s">
        <v>393</v>
      </c>
      <c r="AL3" s="133" t="s">
        <v>449</v>
      </c>
    </row>
    <row r="4" spans="2:38" x14ac:dyDescent="0.35">
      <c r="T4" s="120" t="s">
        <v>366</v>
      </c>
      <c r="U4" s="115" t="s">
        <v>367</v>
      </c>
      <c r="W4" s="115" t="s">
        <v>374</v>
      </c>
      <c r="Y4" s="115" t="s">
        <v>375</v>
      </c>
      <c r="AA4" s="115" t="s">
        <v>382</v>
      </c>
      <c r="AC4" s="115" t="s">
        <v>384</v>
      </c>
      <c r="AE4" s="115" t="s">
        <v>385</v>
      </c>
      <c r="AG4" s="127" t="s">
        <v>376</v>
      </c>
      <c r="AI4" s="129">
        <v>26500</v>
      </c>
    </row>
    <row r="5" spans="2:38"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t="s">
        <v>372</v>
      </c>
      <c r="AI5" s="123" t="s">
        <v>372</v>
      </c>
      <c r="AJ5" t="s">
        <v>392</v>
      </c>
    </row>
    <row r="6" spans="2:38" x14ac:dyDescent="0.35">
      <c r="T6" s="119" t="s">
        <v>390</v>
      </c>
      <c r="AG6" s="128">
        <v>0.3</v>
      </c>
    </row>
    <row r="7" spans="2:38"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U7+W7+Y7+AA7+AC7+AE7</f>
        <v>1</v>
      </c>
      <c r="AH7" s="167">
        <f>V7+X7+Z7+AB7+AD7+AF7</f>
        <v>20054.906160760027</v>
      </c>
      <c r="AI7" s="130">
        <f>$AI$4*AJ7</f>
        <v>30740000</v>
      </c>
      <c r="AJ7" s="109">
        <v>1160</v>
      </c>
      <c r="AL7" s="171">
        <f>AH7/$AI$4*1000</f>
        <v>756.78891172679357</v>
      </c>
    </row>
    <row r="8" spans="2:38"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ref="AG8:AH11" si="0">U8+W8+Y8+AA8+AC8+AE8</f>
        <v>1</v>
      </c>
      <c r="AH8" s="167">
        <f t="shared" si="0"/>
        <v>19826.54538400405</v>
      </c>
      <c r="AI8" s="130">
        <f>$AI$4*AJ8</f>
        <v>31535000</v>
      </c>
      <c r="AJ8" s="130">
        <f>AJ7+30</f>
        <v>1190</v>
      </c>
      <c r="AL8" s="171">
        <f>AH8/$AI$4*1000</f>
        <v>748.17152392468108</v>
      </c>
    </row>
    <row r="9" spans="2:38"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67">
        <f t="shared" si="0"/>
        <v>19112.177744792491</v>
      </c>
      <c r="AI9" s="130">
        <f>$AI$4*AJ9</f>
        <v>28885000</v>
      </c>
      <c r="AJ9" s="130">
        <f>AJ7-70</f>
        <v>1090</v>
      </c>
      <c r="AL9" s="171">
        <f>AH9/$AI$4*1000</f>
        <v>721.2142545204714</v>
      </c>
    </row>
    <row r="10" spans="2:38"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67">
        <f t="shared" si="0"/>
        <v>18853.682855909705</v>
      </c>
      <c r="AI10" s="130">
        <f>$AI$4*AJ10</f>
        <v>19080000</v>
      </c>
      <c r="AJ10" s="130">
        <v>720</v>
      </c>
      <c r="AL10" s="171">
        <f>AH10/$AI$4*1000</f>
        <v>711.45973041168702</v>
      </c>
    </row>
    <row r="11" spans="2:38"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67">
        <f t="shared" si="0"/>
        <v>18504.154010131388</v>
      </c>
      <c r="AI11" s="130">
        <f>$AI$4*AJ11</f>
        <v>16032500</v>
      </c>
      <c r="AJ11" s="183">
        <v>605</v>
      </c>
      <c r="AL11" s="184">
        <f>AH11/$AI$4*1000</f>
        <v>698.26996264646743</v>
      </c>
    </row>
    <row r="14" spans="2:38" x14ac:dyDescent="0.35">
      <c r="T14" s="119" t="s">
        <v>387</v>
      </c>
      <c r="W14" s="116" t="s">
        <v>48</v>
      </c>
      <c r="AG14" s="126">
        <v>0.53</v>
      </c>
    </row>
    <row r="15" spans="2:38"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1">U15+W15+Y15+AA15+AC15+AE15</f>
        <v>1</v>
      </c>
      <c r="AH15" s="167">
        <f t="shared" si="1"/>
        <v>20169.086549138014</v>
      </c>
      <c r="AI15" s="130">
        <f>$AI$4*AJ15</f>
        <v>30740000</v>
      </c>
      <c r="AJ15" s="130">
        <f>AJ7</f>
        <v>1160</v>
      </c>
      <c r="AL15" s="171">
        <f>AH15/$AI$4*1000</f>
        <v>761.09760562784959</v>
      </c>
    </row>
    <row r="16" spans="2:38"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1"/>
        <v>1</v>
      </c>
      <c r="AH16" s="167">
        <f t="shared" si="1"/>
        <v>20169.086549138014</v>
      </c>
      <c r="AI16" s="130">
        <f>$AI$4*AJ16</f>
        <v>31535000</v>
      </c>
      <c r="AJ16" s="130">
        <f>AJ7+30</f>
        <v>1190</v>
      </c>
      <c r="AL16" s="171">
        <f>AH16/$AI$4*1000</f>
        <v>761.09760562784959</v>
      </c>
    </row>
    <row r="17" spans="20:3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1"/>
        <v>1</v>
      </c>
      <c r="AH17" s="167">
        <f t="shared" si="1"/>
        <v>20169.086549138014</v>
      </c>
      <c r="AI17" s="130">
        <f>$AI$4*AJ17</f>
        <v>33125000</v>
      </c>
      <c r="AJ17" s="130">
        <f>AJ7+90</f>
        <v>1250</v>
      </c>
      <c r="AL17" s="171">
        <f>AH17/$AI$4*1000</f>
        <v>761.09760562784959</v>
      </c>
    </row>
    <row r="18" spans="20:3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1"/>
        <v>1</v>
      </c>
      <c r="AH18" s="167">
        <f t="shared" si="1"/>
        <v>20169.086549138014</v>
      </c>
      <c r="AI18" s="130">
        <f>$AI$4*AJ18</f>
        <v>29945000</v>
      </c>
      <c r="AJ18" s="130">
        <f>AJ7-30</f>
        <v>1130</v>
      </c>
      <c r="AL18" s="171">
        <f>AH18/$AI$4*1000</f>
        <v>761.09760562784959</v>
      </c>
    </row>
    <row r="24" spans="20:38" x14ac:dyDescent="0.35">
      <c r="T24" s="119" t="s">
        <v>388</v>
      </c>
      <c r="AG24" s="126">
        <v>0.05</v>
      </c>
    </row>
    <row r="25" spans="20:3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2">U25+W25+Y25+AA25+AC25+AE25</f>
        <v>1</v>
      </c>
      <c r="AH25" s="167">
        <f t="shared" si="2"/>
        <v>19883.142103626953</v>
      </c>
      <c r="AI25" s="130">
        <f>$AI$4*AJ25</f>
        <v>30740000</v>
      </c>
      <c r="AJ25" s="130">
        <f>AJ7</f>
        <v>1160</v>
      </c>
      <c r="AL25" s="171">
        <f>AH25/$AI$4*1000</f>
        <v>750.30724919346994</v>
      </c>
    </row>
    <row r="26" spans="20:38" x14ac:dyDescent="0.35">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2"/>
        <v>1</v>
      </c>
      <c r="AH26" s="167">
        <f t="shared" si="2"/>
        <v>19112.177744792491</v>
      </c>
      <c r="AI26" s="130">
        <f>$AI$4*AJ26</f>
        <v>28885000</v>
      </c>
      <c r="AJ26" s="130">
        <f>AJ7-70</f>
        <v>1090</v>
      </c>
      <c r="AL26" s="171">
        <f>AH26/$AI$4*1000</f>
        <v>721.2142545204714</v>
      </c>
    </row>
    <row r="27" spans="20:3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2"/>
        <v>1</v>
      </c>
      <c r="AH27" s="167">
        <f t="shared" si="2"/>
        <v>17279.402879005062</v>
      </c>
      <c r="AI27" s="130">
        <f>$AI$4*AJ27</f>
        <v>30740000</v>
      </c>
      <c r="AJ27" s="130">
        <f>AJ7</f>
        <v>1160</v>
      </c>
      <c r="AL27" s="171">
        <f>AH27/$AI$4*1000</f>
        <v>652.05293883037973</v>
      </c>
    </row>
    <row r="28" spans="20:38" x14ac:dyDescent="0.35">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2"/>
        <v>1</v>
      </c>
      <c r="AH28" s="167">
        <f t="shared" si="2"/>
        <v>18853.682855909705</v>
      </c>
      <c r="AI28" s="130">
        <f>$AI$4*AJ28</f>
        <v>19080000</v>
      </c>
      <c r="AJ28" s="130">
        <f>AJ10</f>
        <v>720</v>
      </c>
      <c r="AL28" s="171">
        <f>AH28/$AI$4*1000</f>
        <v>711.45973041168702</v>
      </c>
    </row>
    <row r="29" spans="20:3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2"/>
        <v>1</v>
      </c>
      <c r="AH29" s="167">
        <f t="shared" si="2"/>
        <v>18504.154010131388</v>
      </c>
      <c r="AI29" s="130">
        <f>$AI$4*AJ29</f>
        <v>16032500</v>
      </c>
      <c r="AJ29" s="183">
        <v>605</v>
      </c>
      <c r="AL29" s="184">
        <f>AH29/$AI$4*1000</f>
        <v>698.26996264646743</v>
      </c>
    </row>
    <row r="32" spans="20:38" x14ac:dyDescent="0.35">
      <c r="T32" s="119" t="s">
        <v>389</v>
      </c>
      <c r="AG32" s="126">
        <v>0.02</v>
      </c>
    </row>
    <row r="33" spans="20:42"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67">
        <f>V33+X33+Z33+AB33+AD33+AF33</f>
        <v>17195.059200132389</v>
      </c>
      <c r="AI33" s="130">
        <f>$AI$4*AJ33</f>
        <v>19000500</v>
      </c>
      <c r="AJ33">
        <v>717</v>
      </c>
      <c r="AL33" s="171">
        <f>AH33/$AI$4*1000</f>
        <v>648.8701584955619</v>
      </c>
    </row>
    <row r="35" spans="20:42" x14ac:dyDescent="0.35">
      <c r="AE35" s="109">
        <f>'Giá mua Chai-Vảy'!O40</f>
        <v>12550</v>
      </c>
      <c r="AH35" s="133"/>
      <c r="AI35" s="133"/>
      <c r="AJ35" s="133"/>
      <c r="AK35" s="133"/>
      <c r="AL35" s="121"/>
      <c r="AM35" s="121"/>
      <c r="AN35" s="121"/>
      <c r="AO35" s="133"/>
    </row>
    <row r="36" spans="20:42" x14ac:dyDescent="0.35">
      <c r="T36" s="119" t="s">
        <v>446</v>
      </c>
      <c r="AG36" s="126">
        <v>0.01</v>
      </c>
      <c r="AK36" s="133"/>
      <c r="AL36" s="121"/>
      <c r="AM36" s="121"/>
      <c r="AN36" s="121"/>
      <c r="AO36" s="133"/>
    </row>
    <row r="37" spans="20:42"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30">
        <f>$AI$4*AJ37</f>
        <v>19500000</v>
      </c>
      <c r="AJ37" s="194">
        <f>19500000/26500</f>
        <v>735.84905660377353</v>
      </c>
      <c r="AK37" s="175">
        <f>AK$1+$W$2</f>
        <v>0.8081674874213195</v>
      </c>
      <c r="AL37" s="172">
        <f>AL$1+AK37*$AK$2+AJ37*$AJ$2</f>
        <v>0</v>
      </c>
      <c r="AM37" s="172">
        <f>AL37+$AM$1</f>
        <v>0</v>
      </c>
      <c r="AN37" s="172">
        <f>AL37+$AN$1</f>
        <v>0</v>
      </c>
      <c r="AO37" s="175">
        <f>AM37</f>
        <v>0</v>
      </c>
      <c r="AP37" s="130">
        <f>$AP$4*AQ37/1000</f>
        <v>0</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F7C0-CAF6-4529-A5FF-DCBCEB6E9959}">
  <sheetPr>
    <tabColor rgb="FF0000FF"/>
  </sheetPr>
  <dimension ref="B1:BR37"/>
  <sheetViews>
    <sheetView topLeftCell="D1" zoomScale="85" zoomScaleNormal="85" workbookViewId="0">
      <pane xSplit="17" topLeftCell="Z1" activePane="topRight" state="frozen"/>
      <selection activeCell="S1" sqref="S1"/>
      <selection pane="topRight" activeCell="AJ1" sqref="AJ1"/>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5" width="9.81640625" style="121" customWidth="1"/>
    <col min="36" max="37" width="10.1796875" style="121" customWidth="1"/>
    <col min="38" max="38" width="10.1796875" style="133" customWidth="1"/>
    <col min="39" max="39" width="11.81640625" bestFit="1" customWidth="1"/>
    <col min="40" max="40" width="8.08984375" bestFit="1" customWidth="1"/>
    <col min="41" max="41" width="9.1796875" bestFit="1" customWidth="1"/>
    <col min="44" max="44" width="9.1796875" bestFit="1" customWidth="1"/>
    <col min="45" max="45" width="11" bestFit="1" customWidth="1"/>
    <col min="46" max="46" width="11.6328125" bestFit="1" customWidth="1"/>
    <col min="51" max="51" width="9.1796875" bestFit="1" customWidth="1"/>
    <col min="52" max="52" width="13.26953125" bestFit="1" customWidth="1"/>
  </cols>
  <sheetData>
    <row r="1" spans="2:44" ht="15.5" x14ac:dyDescent="0.35">
      <c r="B1" s="113" t="s">
        <v>364</v>
      </c>
      <c r="T1" s="121" t="s">
        <v>447</v>
      </c>
      <c r="U1" s="109">
        <f>'Hảo_R&amp;D'!AK1</f>
        <v>14800</v>
      </c>
      <c r="W1" s="132">
        <f>'Hảo_R&amp;D'!AM1</f>
        <v>16300</v>
      </c>
      <c r="X1" s="132">
        <f>W3-W1-X3</f>
        <v>-847.55675534306283</v>
      </c>
      <c r="Y1" s="109">
        <f>'Hảo_R&amp;D'!AO1</f>
        <v>14800</v>
      </c>
      <c r="AA1" s="109">
        <f>'Hảo_R&amp;D'!AQ1</f>
        <v>13300</v>
      </c>
      <c r="AB1" s="132"/>
      <c r="AC1" s="168">
        <f>'Hảo_R&amp;D'!AS1</f>
        <v>7971.0144927536239</v>
      </c>
      <c r="AD1" s="171">
        <f>'[8]16.1 Rửa vảy B7'!$I$10</f>
        <v>84.555434657824762</v>
      </c>
      <c r="AE1" s="109">
        <f>'Hảo_R&amp;D'!AU1</f>
        <v>13300</v>
      </c>
      <c r="AI1" s="176">
        <f>'H_Tỷ lệ HH&amp;PS'!BY6</f>
        <v>2000.939404729972</v>
      </c>
      <c r="AJ1" s="176">
        <f>'H_Tỷ lệ HH&amp;PS'!BZ6</f>
        <v>1376.0623421472308</v>
      </c>
      <c r="AK1" s="176">
        <f>AJ1/8*10</f>
        <v>1720.0779276840385</v>
      </c>
    </row>
    <row r="2" spans="2:44" ht="15.5" x14ac:dyDescent="0.35">
      <c r="B2" s="114" t="s">
        <v>365</v>
      </c>
      <c r="T2" s="162" t="s">
        <v>634</v>
      </c>
      <c r="U2" s="157">
        <f>'Hảo_R&amp;D'!AK2</f>
        <v>0.77783045852077959</v>
      </c>
      <c r="W2" s="283">
        <f>'Hảo_R&amp;D'!AM2</f>
        <v>0.8081674874213195</v>
      </c>
      <c r="X2" s="132">
        <f>'[8]12. 100% vảy-&gt;hạt WSS01-iSS01'!$I$10</f>
        <v>1636.9775154230633</v>
      </c>
      <c r="Y2" s="157">
        <f>'Hảo_R&amp;D'!AO2</f>
        <v>0.85501479000000002</v>
      </c>
      <c r="AA2" s="157">
        <f>'Hảo_R&amp;D'!AQ2</f>
        <v>0.85501479000000002</v>
      </c>
      <c r="AE2" s="157">
        <f>'Hảo_R&amp;D'!AU2</f>
        <v>0.773478</v>
      </c>
    </row>
    <row r="3" spans="2:44" ht="43.5" x14ac:dyDescent="0.35">
      <c r="T3" s="162" t="s">
        <v>448</v>
      </c>
      <c r="U3" s="169">
        <f>U1/U2</f>
        <v>19027.282665358136</v>
      </c>
      <c r="W3" s="131">
        <f>W1/W2</f>
        <v>20169.086549138014</v>
      </c>
      <c r="X3" s="170">
        <f>'[8]10. 100% chai-&gt;hạt WSS01-iSS01'!$I$21+'[8]10. 100% chai-&gt;hạt WSS01-iSS01'!$I$37</f>
        <v>4716.6433044810765</v>
      </c>
      <c r="Y3" s="169">
        <f>Y1/Y2</f>
        <v>17309.642094027404</v>
      </c>
      <c r="AA3" s="169">
        <f>AA1/AA2</f>
        <v>15555.28647638949</v>
      </c>
      <c r="AB3" s="132"/>
      <c r="AC3" s="169">
        <f>'[8]16.1 Rửa vảy B7'!$I$48</f>
        <v>14341.250211551116</v>
      </c>
      <c r="AD3" s="109"/>
      <c r="AE3" s="169">
        <f>AE1/AE2</f>
        <v>17195.059200132389</v>
      </c>
      <c r="AG3" s="1146" t="s">
        <v>449</v>
      </c>
      <c r="AH3" s="1146"/>
      <c r="AI3" s="173" t="s">
        <v>450</v>
      </c>
      <c r="AJ3" s="173" t="s">
        <v>451</v>
      </c>
      <c r="AK3" s="173" t="s">
        <v>452</v>
      </c>
      <c r="AL3" s="162" t="s">
        <v>453</v>
      </c>
      <c r="AM3" s="2" t="s">
        <v>391</v>
      </c>
      <c r="AN3" t="s">
        <v>393</v>
      </c>
      <c r="AO3" t="s">
        <v>454</v>
      </c>
      <c r="AP3" t="s">
        <v>455</v>
      </c>
      <c r="AQ3" t="s">
        <v>465</v>
      </c>
      <c r="AR3" t="s">
        <v>462</v>
      </c>
    </row>
    <row r="4" spans="2:44" x14ac:dyDescent="0.35">
      <c r="T4" s="120" t="s">
        <v>366</v>
      </c>
      <c r="U4" s="115" t="s">
        <v>367</v>
      </c>
      <c r="W4" s="115" t="s">
        <v>374</v>
      </c>
      <c r="Y4" s="115" t="s">
        <v>375</v>
      </c>
      <c r="AA4" s="115" t="s">
        <v>382</v>
      </c>
      <c r="AC4" s="115" t="s">
        <v>384</v>
      </c>
      <c r="AE4" s="115" t="s">
        <v>385</v>
      </c>
      <c r="AG4" s="127" t="s">
        <v>376</v>
      </c>
      <c r="AM4" s="129">
        <v>26500</v>
      </c>
    </row>
    <row r="5" spans="2:44"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23"/>
      <c r="AJ5" s="123"/>
      <c r="AK5" s="123"/>
      <c r="AL5" s="174"/>
      <c r="AM5" s="123" t="s">
        <v>372</v>
      </c>
      <c r="AN5" t="s">
        <v>392</v>
      </c>
    </row>
    <row r="6" spans="2:44" x14ac:dyDescent="0.35">
      <c r="T6" s="119" t="s">
        <v>390</v>
      </c>
      <c r="AG6" s="128">
        <v>0.3</v>
      </c>
    </row>
    <row r="7" spans="2:44"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U7+W7+Y7+AA7+AC7+AE7</f>
        <v>1</v>
      </c>
      <c r="AH7" s="177">
        <f>V7+X7+Z7+AB7+AD7+AF7</f>
        <v>20054.906160760027</v>
      </c>
      <c r="AI7" s="172">
        <f>$AI$1+AH7</f>
        <v>22055.845565489999</v>
      </c>
      <c r="AJ7" s="172">
        <f>AI7+$AJ$1</f>
        <v>23431.907907637229</v>
      </c>
      <c r="AK7" s="172">
        <f>AI7+$AK$1</f>
        <v>23775.923493174036</v>
      </c>
      <c r="AL7" s="175">
        <f>AJ7</f>
        <v>23431.907907637229</v>
      </c>
      <c r="AM7" s="130">
        <f>$AM$4*AN7/1000</f>
        <v>30740</v>
      </c>
      <c r="AN7" s="109">
        <v>1160</v>
      </c>
      <c r="AO7" s="130">
        <f>AM7-AL7</f>
        <v>7308.0920923627709</v>
      </c>
      <c r="AP7" s="153">
        <f>AO7/AM7</f>
        <v>0.23773884490444927</v>
      </c>
      <c r="AR7" s="109">
        <f>AH7/$AM$4*1000</f>
        <v>756.78891172679357</v>
      </c>
    </row>
    <row r="8" spans="2:44"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ref="AG8:AH11" si="0">U8+W8+Y8+AA8+AC8+AE8</f>
        <v>1</v>
      </c>
      <c r="AH8" s="177">
        <f t="shared" si="0"/>
        <v>19826.54538400405</v>
      </c>
      <c r="AI8" s="172">
        <f>$AI$1+AH8</f>
        <v>21827.484788734022</v>
      </c>
      <c r="AJ8" s="172">
        <f>AI8+$AJ$1</f>
        <v>23203.547130881252</v>
      </c>
      <c r="AK8" s="172">
        <f>AI8+$AK$1</f>
        <v>23547.562716418062</v>
      </c>
      <c r="AL8" s="175">
        <f>AJ8</f>
        <v>23203.547130881252</v>
      </c>
      <c r="AM8" s="130">
        <f>$AM$4*AN8/1000</f>
        <v>31535</v>
      </c>
      <c r="AN8" s="130">
        <f>AN7+30</f>
        <v>1190</v>
      </c>
      <c r="AO8" s="130">
        <f>AM8-AL8</f>
        <v>8331.4528691187479</v>
      </c>
      <c r="AP8" s="153">
        <f>AO8/AM8</f>
        <v>0.26419701503468362</v>
      </c>
      <c r="AR8" s="109">
        <f>AH8/$AM$4*1000</f>
        <v>748.17152392468108</v>
      </c>
    </row>
    <row r="9" spans="2:44"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77">
        <f t="shared" si="0"/>
        <v>19112.177744792491</v>
      </c>
      <c r="AI9" s="172">
        <f>$AI$1+AH9</f>
        <v>21113.117149522463</v>
      </c>
      <c r="AJ9" s="172">
        <f>AI9+$AJ$1</f>
        <v>22489.179491669693</v>
      </c>
      <c r="AK9" s="172">
        <f>AI9+$AK$1</f>
        <v>22833.195077206503</v>
      </c>
      <c r="AL9" s="175">
        <f>AJ9</f>
        <v>22489.179491669693</v>
      </c>
      <c r="AM9" s="130">
        <f>$AM$4*AN9/1000</f>
        <v>28885</v>
      </c>
      <c r="AN9" s="130">
        <f>AN7-70</f>
        <v>1090</v>
      </c>
      <c r="AO9" s="130">
        <f>AM9-AL9</f>
        <v>6395.8205083303073</v>
      </c>
      <c r="AP9" s="153">
        <f>AO9/AM9</f>
        <v>0.22142359384906724</v>
      </c>
      <c r="AR9" s="109">
        <f>AH9/$AM$4*1000</f>
        <v>721.2142545204714</v>
      </c>
    </row>
    <row r="10" spans="2:44"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2">
        <f>$AI$1+AH10</f>
        <v>20854.622260639677</v>
      </c>
      <c r="AJ10" s="172">
        <f>AI10+$AJ$1</f>
        <v>22230.684602786907</v>
      </c>
      <c r="AK10" s="172">
        <f>AI10+$AK$1</f>
        <v>22574.700188323717</v>
      </c>
      <c r="AL10" s="175">
        <f>AJ10</f>
        <v>22230.684602786907</v>
      </c>
      <c r="AM10" s="130">
        <f>$AM$4*AN10/1000</f>
        <v>19080</v>
      </c>
      <c r="AN10" s="130">
        <v>720</v>
      </c>
      <c r="AO10" s="130">
        <f>AM10-AL10</f>
        <v>-3150.6846027869069</v>
      </c>
      <c r="AP10" s="153">
        <f>AO10/AM10</f>
        <v>-0.16513022027185045</v>
      </c>
      <c r="AR10" s="109">
        <f>AH10/$AM$4*1000</f>
        <v>711.45973041168702</v>
      </c>
    </row>
    <row r="11" spans="2:44"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77">
        <f t="shared" si="0"/>
        <v>18504.154010131388</v>
      </c>
      <c r="AI11" s="172">
        <f>$AI$1+AH11</f>
        <v>20505.09341486136</v>
      </c>
      <c r="AJ11" s="172">
        <f>AI11+$AJ$1</f>
        <v>21881.15575700859</v>
      </c>
      <c r="AK11" s="172">
        <f>AI11+$AK$1</f>
        <v>22225.1713425454</v>
      </c>
      <c r="AL11" s="175">
        <f>AJ11</f>
        <v>21881.15575700859</v>
      </c>
      <c r="AM11" s="130">
        <f>$AM$4*AN11/1000</f>
        <v>25970</v>
      </c>
      <c r="AN11" s="179">
        <v>980</v>
      </c>
      <c r="AO11" s="130">
        <f>AM11-AL11</f>
        <v>4088.8442429914103</v>
      </c>
      <c r="AP11" s="153">
        <f>AO11/AM11</f>
        <v>0.15744490731580324</v>
      </c>
      <c r="AR11" s="109">
        <f>AH11/$AM$4*1000</f>
        <v>698.26996264646743</v>
      </c>
    </row>
    <row r="14" spans="2:44" x14ac:dyDescent="0.35">
      <c r="T14" s="119" t="s">
        <v>387</v>
      </c>
      <c r="W14" s="116" t="s">
        <v>48</v>
      </c>
      <c r="AG14" s="126">
        <v>0.53</v>
      </c>
    </row>
    <row r="15" spans="2:44"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1">U15+W15+Y15+AA15+AC15+AE15</f>
        <v>1</v>
      </c>
      <c r="AH15" s="177">
        <f t="shared" si="1"/>
        <v>20169.086549138014</v>
      </c>
      <c r="AI15" s="172">
        <f>$AI$1+AH15</f>
        <v>22170.025953867986</v>
      </c>
      <c r="AJ15" s="172">
        <f>AI15+$AJ$1</f>
        <v>23546.088296015216</v>
      </c>
      <c r="AK15" s="172">
        <f>AI15+$AK$1</f>
        <v>23890.103881552022</v>
      </c>
      <c r="AL15" s="175">
        <f>AJ15</f>
        <v>23546.088296015216</v>
      </c>
      <c r="AM15" s="130">
        <f>$AM$4*AN15/1000</f>
        <v>30740</v>
      </c>
      <c r="AN15" s="130">
        <f>AN7</f>
        <v>1160</v>
      </c>
      <c r="AO15" s="130">
        <f>AM15-AL15</f>
        <v>7193.9117039847843</v>
      </c>
      <c r="AP15" s="153">
        <f>AO15/AM15</f>
        <v>0.23402445361043539</v>
      </c>
      <c r="AR15" s="109">
        <f>AH15/$AM$4*1000</f>
        <v>761.09760562784959</v>
      </c>
    </row>
    <row r="16" spans="2:44"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1"/>
        <v>1</v>
      </c>
      <c r="AH16" s="177">
        <f t="shared" si="1"/>
        <v>20169.086549138014</v>
      </c>
      <c r="AI16" s="172">
        <f>$AI$1+AH16</f>
        <v>22170.025953867986</v>
      </c>
      <c r="AJ16" s="172">
        <f>AI16+$AJ$1</f>
        <v>23546.088296015216</v>
      </c>
      <c r="AK16" s="172">
        <f>AI16+$AK$1</f>
        <v>23890.103881552022</v>
      </c>
      <c r="AL16" s="175">
        <f>AJ16</f>
        <v>23546.088296015216</v>
      </c>
      <c r="AM16" s="130">
        <f>$AM$4*AN16/1000</f>
        <v>31535</v>
      </c>
      <c r="AN16" s="130">
        <f>AN7+30</f>
        <v>1190</v>
      </c>
      <c r="AO16" s="130">
        <f>AM16-AL16</f>
        <v>7988.9117039847843</v>
      </c>
      <c r="AP16" s="153">
        <f>AO16/AM16</f>
        <v>0.25333476150260931</v>
      </c>
      <c r="AR16" s="109">
        <f>AH16/$AM$4*1000</f>
        <v>761.09760562784959</v>
      </c>
    </row>
    <row r="17" spans="20:52"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1"/>
        <v>1</v>
      </c>
      <c r="AH17" s="177">
        <f t="shared" si="1"/>
        <v>20169.086549138014</v>
      </c>
      <c r="AI17" s="172">
        <f>$AI$1+AH17</f>
        <v>22170.025953867986</v>
      </c>
      <c r="AJ17" s="172">
        <f>AI17+$AJ$1</f>
        <v>23546.088296015216</v>
      </c>
      <c r="AK17" s="172">
        <f>AI17+$AK$1</f>
        <v>23890.103881552022</v>
      </c>
      <c r="AL17" s="175">
        <f>AJ17</f>
        <v>23546.088296015216</v>
      </c>
      <c r="AM17" s="130">
        <f>$AM$4*AN17/1000</f>
        <v>33125</v>
      </c>
      <c r="AN17" s="130">
        <f>AN7+90</f>
        <v>1250</v>
      </c>
      <c r="AO17" s="130">
        <f>AM17-AL17</f>
        <v>9578.9117039847843</v>
      </c>
      <c r="AP17" s="153">
        <f>AO17/AM17</f>
        <v>0.28917469295048404</v>
      </c>
      <c r="AR17" s="109">
        <f>AH17/$AM$4*1000</f>
        <v>761.09760562784959</v>
      </c>
    </row>
    <row r="18" spans="20:52"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1"/>
        <v>1</v>
      </c>
      <c r="AH18" s="177">
        <f t="shared" si="1"/>
        <v>20169.086549138014</v>
      </c>
      <c r="AI18" s="172">
        <f>$AI$1+AH18</f>
        <v>22170.025953867986</v>
      </c>
      <c r="AJ18" s="172">
        <f>AI18+$AJ$1</f>
        <v>23546.088296015216</v>
      </c>
      <c r="AK18" s="172">
        <f>AI18+$AK$1</f>
        <v>23890.103881552022</v>
      </c>
      <c r="AL18" s="175">
        <f>AJ18</f>
        <v>23546.088296015216</v>
      </c>
      <c r="AM18" s="130">
        <f>$AM$4*AN18/1000</f>
        <v>29945</v>
      </c>
      <c r="AN18" s="130">
        <f>AN7-30</f>
        <v>1130</v>
      </c>
      <c r="AO18" s="130">
        <f>AM18-AL18</f>
        <v>6398.9117039847843</v>
      </c>
      <c r="AP18" s="153">
        <f>AO18/AM18</f>
        <v>0.21368881963549122</v>
      </c>
      <c r="AR18" s="109">
        <f>AH18/$AM$4*1000</f>
        <v>761.09760562784959</v>
      </c>
    </row>
    <row r="24" spans="20:52" x14ac:dyDescent="0.35">
      <c r="T24" s="119" t="s">
        <v>388</v>
      </c>
      <c r="AG24" s="126">
        <v>0.05</v>
      </c>
    </row>
    <row r="25" spans="20:52"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2">U25+W25+Y25+AA25+AC25+AE25</f>
        <v>1</v>
      </c>
      <c r="AH25" s="177">
        <f t="shared" si="2"/>
        <v>19883.142103626953</v>
      </c>
      <c r="AI25" s="172">
        <f>$AI$1+AH25</f>
        <v>21884.081508356925</v>
      </c>
      <c r="AJ25" s="172">
        <f>AI25+$AJ$1</f>
        <v>23260.143850504155</v>
      </c>
      <c r="AK25" s="172">
        <f>AI25+$AK$1</f>
        <v>23604.159436040965</v>
      </c>
      <c r="AL25" s="175">
        <f>AJ25</f>
        <v>23260.143850504155</v>
      </c>
      <c r="AM25" s="130">
        <f>$AM$4*AN25/1000</f>
        <v>30740</v>
      </c>
      <c r="AN25" s="130">
        <f>AN7</f>
        <v>1160</v>
      </c>
      <c r="AO25" s="130">
        <f>AM25-AL25</f>
        <v>7479.8561494958449</v>
      </c>
      <c r="AP25" s="153">
        <f>AO25/AM25</f>
        <v>0.24332648501938337</v>
      </c>
      <c r="AR25" s="109">
        <f>AH25/$AM$4*1000</f>
        <v>750.30724919346994</v>
      </c>
    </row>
    <row r="26" spans="20:52"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2"/>
        <v>1</v>
      </c>
      <c r="AH26" s="177">
        <f t="shared" si="2"/>
        <v>19112.177744792491</v>
      </c>
      <c r="AI26" s="172">
        <f>$AI$1+AH26</f>
        <v>21113.117149522463</v>
      </c>
      <c r="AJ26" s="172">
        <f>AI26+$AJ$1</f>
        <v>22489.179491669693</v>
      </c>
      <c r="AK26" s="172">
        <f>AI26+$AK$1</f>
        <v>22833.195077206503</v>
      </c>
      <c r="AL26" s="175">
        <f>AJ26</f>
        <v>22489.179491669693</v>
      </c>
      <c r="AM26" s="130">
        <f>$AM$4*AN26/1000</f>
        <v>28885</v>
      </c>
      <c r="AN26" s="130">
        <f>AN7-70</f>
        <v>1090</v>
      </c>
      <c r="AO26" s="130">
        <f>AM26-AL26</f>
        <v>6395.8205083303073</v>
      </c>
      <c r="AP26" s="153">
        <f>AO26/AM26</f>
        <v>0.22142359384906724</v>
      </c>
      <c r="AR26" s="109">
        <f>AH26/$AM$4*1000</f>
        <v>721.2142545204714</v>
      </c>
      <c r="AT26" s="182">
        <v>1074</v>
      </c>
      <c r="AU26" t="s">
        <v>456</v>
      </c>
      <c r="AV26" t="s">
        <v>457</v>
      </c>
      <c r="AW26" t="s">
        <v>458</v>
      </c>
      <c r="AY26" t="s">
        <v>463</v>
      </c>
      <c r="AZ26" t="s">
        <v>464</v>
      </c>
    </row>
    <row r="27" spans="20:52"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2"/>
        <v>1</v>
      </c>
      <c r="AH27" s="177">
        <f t="shared" si="2"/>
        <v>17279.402879005062</v>
      </c>
      <c r="AI27" s="172">
        <f>$AI$1+AH27</f>
        <v>19280.342283735034</v>
      </c>
      <c r="AJ27" s="172">
        <f>AI27+$AJ$1</f>
        <v>20656.404625882264</v>
      </c>
      <c r="AK27" s="172">
        <f>AI27+$AK$1</f>
        <v>21000.42021141907</v>
      </c>
      <c r="AL27" s="175">
        <f>AJ27</f>
        <v>20656.404625882264</v>
      </c>
      <c r="AM27" s="130">
        <f>$AM$4*AN27/1000</f>
        <v>30740</v>
      </c>
      <c r="AN27" s="130">
        <f>AN7</f>
        <v>1160</v>
      </c>
      <c r="AO27" s="130">
        <f>AM27-AL27</f>
        <v>10083.595374117736</v>
      </c>
      <c r="AP27" s="153">
        <f>AO27/AM27</f>
        <v>0.32802847671170254</v>
      </c>
      <c r="AR27" s="109">
        <f>AH27/$AM$4*1000</f>
        <v>652.05293883037973</v>
      </c>
    </row>
    <row r="28" spans="20:52"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2"/>
        <v>1</v>
      </c>
      <c r="AH28" s="177">
        <f t="shared" si="2"/>
        <v>18853.682855909705</v>
      </c>
      <c r="AI28" s="172">
        <f>$AI$1+AH28</f>
        <v>20854.622260639677</v>
      </c>
      <c r="AJ28" s="172">
        <f>AI28+$AJ$1</f>
        <v>22230.684602786907</v>
      </c>
      <c r="AK28" s="172">
        <f>AI28+$AK$1</f>
        <v>22574.700188323717</v>
      </c>
      <c r="AL28" s="175">
        <f>AJ28</f>
        <v>22230.684602786907</v>
      </c>
      <c r="AM28" s="130">
        <f>$AM$4*AN28/1000</f>
        <v>19080</v>
      </c>
      <c r="AN28" s="130">
        <f>AN10</f>
        <v>720</v>
      </c>
      <c r="AO28" s="130">
        <f>AM28-AL28</f>
        <v>-3150.6846027869069</v>
      </c>
      <c r="AP28" s="153">
        <f>AO28/AM28</f>
        <v>-0.16513022027185045</v>
      </c>
      <c r="AR28" s="109">
        <f>AH28/$AM$4*1000</f>
        <v>711.45973041168702</v>
      </c>
      <c r="AU28" s="179" t="s">
        <v>460</v>
      </c>
      <c r="AV28" t="s">
        <v>459</v>
      </c>
      <c r="AW28" s="181" t="s">
        <v>461</v>
      </c>
    </row>
    <row r="29" spans="20:52"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2"/>
        <v>1</v>
      </c>
      <c r="AH29" s="177">
        <f t="shared" si="2"/>
        <v>18504.154010131388</v>
      </c>
      <c r="AI29" s="172">
        <f>$AI$1+AH29</f>
        <v>20505.09341486136</v>
      </c>
      <c r="AJ29" s="172">
        <f>AI29+$AJ$1</f>
        <v>21881.15575700859</v>
      </c>
      <c r="AK29" s="172">
        <f>AI29+$AK$1</f>
        <v>22225.1713425454</v>
      </c>
      <c r="AL29" s="175">
        <f>AJ29</f>
        <v>21881.15575700859</v>
      </c>
      <c r="AM29" s="130">
        <f>$AM$4*AN29/1000</f>
        <v>19080</v>
      </c>
      <c r="AN29" s="179">
        <v>720</v>
      </c>
      <c r="AO29" s="130">
        <f>AM29-AL29</f>
        <v>-2801.1557570085897</v>
      </c>
      <c r="AP29" s="153">
        <f>AO29/AM29</f>
        <v>-0.14681109837571224</v>
      </c>
      <c r="AR29" s="109">
        <f>AH29/$AM$4*1000</f>
        <v>698.26996264646743</v>
      </c>
      <c r="AS29" s="130">
        <f>AN29-AR29</f>
        <v>21.730037353532566</v>
      </c>
      <c r="AT29" s="185">
        <f>AS29/AN29</f>
        <v>3.0180607435461897E-2</v>
      </c>
    </row>
    <row r="32" spans="20:52" x14ac:dyDescent="0.35">
      <c r="T32" s="119" t="s">
        <v>389</v>
      </c>
      <c r="AG32" s="126">
        <v>0.02</v>
      </c>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2">
        <f>$AI$1+AH33</f>
        <v>19195.998604862361</v>
      </c>
      <c r="AJ33" s="172">
        <f>AI33+$AJ$1</f>
        <v>20572.060947009591</v>
      </c>
      <c r="AK33" s="172">
        <f>AI33+$AK$1</f>
        <v>20916.076532546402</v>
      </c>
      <c r="AL33" s="175">
        <f>AJ33</f>
        <v>20572.060947009591</v>
      </c>
      <c r="AM33" s="130">
        <f>$AM$4*AN33/1000</f>
        <v>19000.5</v>
      </c>
      <c r="AN33">
        <v>717</v>
      </c>
      <c r="AO33" s="130">
        <f>AM33-AL33</f>
        <v>-1571.5609470095915</v>
      </c>
      <c r="AP33" s="153">
        <f>AO33/AM33</f>
        <v>-8.2711557433203936E-2</v>
      </c>
    </row>
    <row r="35" spans="20:70" x14ac:dyDescent="0.35">
      <c r="AE35" s="109">
        <f>'Giá mua Chai-Vảy'!O40</f>
        <v>12550</v>
      </c>
      <c r="AI35" s="176">
        <v>3427.9526141097858</v>
      </c>
      <c r="AJ35" s="133"/>
      <c r="AK35" s="133"/>
      <c r="AL35" s="121"/>
      <c r="AM35" s="121"/>
      <c r="AN35" s="121"/>
      <c r="AO35" s="133"/>
    </row>
    <row r="36" spans="20:70" x14ac:dyDescent="0.35">
      <c r="T36" s="119" t="s">
        <v>446</v>
      </c>
      <c r="AG36" s="126">
        <v>0.01</v>
      </c>
      <c r="AH36" s="121"/>
      <c r="AI36"/>
      <c r="AJ36"/>
      <c r="AK36" s="133"/>
      <c r="AL36" s="121"/>
      <c r="AM36" s="121"/>
      <c r="AN36" s="121"/>
      <c r="AO36" s="133"/>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AI$35+AH37</f>
        <v>15977.952614109785</v>
      </c>
      <c r="AJ37" s="194">
        <f>AJ$35+AI37</f>
        <v>15977.952614109785</v>
      </c>
      <c r="AK37" s="175">
        <f>AK$35+AI37</f>
        <v>15977.952614109785</v>
      </c>
      <c r="AL37" s="172">
        <f>AL$35+AK37</f>
        <v>15977.952614109785</v>
      </c>
      <c r="AM37" s="172">
        <f>$AM$4*AN37/1000</f>
        <v>18550</v>
      </c>
      <c r="AN37" s="172">
        <v>700</v>
      </c>
      <c r="AO37" s="175">
        <f>AM37-AL37</f>
        <v>2572.0473858902151</v>
      </c>
      <c r="AP37" s="110">
        <f>AO37/AM37</f>
        <v>0.13865484560055069</v>
      </c>
      <c r="AQ37" s="130">
        <v>717</v>
      </c>
      <c r="AR37" s="130">
        <f>AP37-AO37</f>
        <v>-2571.9087310446143</v>
      </c>
      <c r="AS37" s="153">
        <f>AR37/AP37</f>
        <v>-18548.999999999996</v>
      </c>
      <c r="AX37" s="147" t="e">
        <f t="shared" ref="AX37:BF37" si="3">AH37/$AP$4*1000</f>
        <v>#DIV/0!</v>
      </c>
      <c r="AY37" s="198" t="e">
        <f>AI37/$AP$4*1000</f>
        <v>#DIV/0!</v>
      </c>
      <c r="AZ37" s="198" t="e">
        <f t="shared" si="3"/>
        <v>#DIV/0!</v>
      </c>
      <c r="BA37" s="198" t="e">
        <f t="shared" si="3"/>
        <v>#DIV/0!</v>
      </c>
      <c r="BB37" s="199" t="e">
        <f>AL37/$AP$4*1000</f>
        <v>#DIV/0!</v>
      </c>
      <c r="BC37" s="199" t="e">
        <f t="shared" si="3"/>
        <v>#DIV/0!</v>
      </c>
      <c r="BD37" s="199" t="e">
        <f t="shared" si="3"/>
        <v>#DIV/0!</v>
      </c>
      <c r="BE37" s="147" t="e">
        <f t="shared" si="3"/>
        <v>#DIV/0!</v>
      </c>
      <c r="BF37" s="200" t="e">
        <f t="shared" si="3"/>
        <v>#DIV/0!</v>
      </c>
      <c r="BG37" s="201" t="e">
        <f>BF37-BE37</f>
        <v>#DIV/0!</v>
      </c>
      <c r="BH37" s="202" t="e">
        <f>BG37/BE37</f>
        <v>#DIV/0!</v>
      </c>
      <c r="BJ37" s="109">
        <f>'Hảo_R&amp;D (Hạt) (full stage)-Chai'!BE37</f>
        <v>631.27894410716067</v>
      </c>
      <c r="BK37" s="109">
        <f>'Hảo_R&amp;D (Hạt) (full stage)-MN'!BE37</f>
        <v>948.07054234680652</v>
      </c>
      <c r="BL37" s="109" t="e">
        <f>BE37</f>
        <v>#DIV/0!</v>
      </c>
      <c r="BM37" s="130">
        <f>BJ37-BK37</f>
        <v>-316.79159823964585</v>
      </c>
      <c r="BO37" s="109">
        <f>'Hảo_R&amp;D (Hạt) (full stage)-Chai'!AO37</f>
        <v>16728.892018839757</v>
      </c>
      <c r="BP37" s="109">
        <f>'Hảo_R&amp;D (Hạt) (full stage)-MN'!AO37</f>
        <v>25123.869372190373</v>
      </c>
      <c r="BQ37" s="109">
        <f>AO37</f>
        <v>2572.0473858902151</v>
      </c>
      <c r="BR37" s="130">
        <f>BO37-BP37</f>
        <v>-8394.9773533506159</v>
      </c>
    </row>
  </sheetData>
  <mergeCells count="1">
    <mergeCell ref="AG3:AH3"/>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E2A0-EA9F-4CD7-BC02-8F4216A8AF44}">
  <sheetPr>
    <tabColor rgb="FFFF0000"/>
  </sheetPr>
  <dimension ref="B1:BR49"/>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V4" sqref="V4"/>
    </sheetView>
  </sheetViews>
  <sheetFormatPr defaultRowHeight="14.5" outlineLevelCol="1" x14ac:dyDescent="0.35"/>
  <cols>
    <col min="1" max="1" width="3.36328125" customWidth="1"/>
    <col min="4" max="18" width="8.7265625" hidden="1" customWidth="1" outlineLevel="1"/>
    <col min="19" max="19" width="9.7265625" bestFit="1" customWidth="1"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7" width="10.1796875" style="133" customWidth="1"/>
    <col min="38" max="40" width="10.1796875" style="121" customWidth="1"/>
    <col min="41" max="41" width="10.1796875" style="133" customWidth="1"/>
    <col min="42" max="42" width="11.81640625" bestFit="1" customWidth="1"/>
    <col min="43" max="43" width="7" bestFit="1" customWidth="1"/>
    <col min="47" max="47" width="9.1796875" bestFit="1" customWidth="1"/>
    <col min="48" max="48" width="5.90625" customWidth="1"/>
    <col min="49" max="49" width="5.54296875" customWidth="1"/>
    <col min="50" max="52" width="8.81640625" bestFit="1" customWidth="1"/>
    <col min="53" max="53" width="10.7265625" customWidth="1"/>
    <col min="54" max="54" width="9.26953125" bestFit="1" customWidth="1"/>
    <col min="55" max="55" width="10.36328125" customWidth="1"/>
    <col min="56" max="56" width="9.7265625" bestFit="1" customWidth="1"/>
    <col min="57" max="57" width="8.81640625" bestFit="1" customWidth="1"/>
    <col min="58" max="58" width="9.7265625" bestFit="1" customWidth="1"/>
  </cols>
  <sheetData>
    <row r="1" spans="2:60" ht="15.5"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'[8]16.1 Rửa vảy B7'!$I$10</f>
        <v>84.555434657824762</v>
      </c>
      <c r="AE1" s="109">
        <f>'Hảo_R&amp;D'!AU1</f>
        <v>13300</v>
      </c>
      <c r="AI1" s="193">
        <f>'H_Tỷ lệ HH&amp;PS'!BW6</f>
        <v>1864.9499828812825</v>
      </c>
      <c r="AJ1" s="170">
        <f>'H_Tỷ lệ HH&amp;PS'!BX6</f>
        <v>1273.8558498087386</v>
      </c>
      <c r="AK1" s="170">
        <f>'[8]12. 100% vảy-&gt;hạt WSS01-iSS01'!$I$10</f>
        <v>1636.9775154230633</v>
      </c>
      <c r="AL1" s="176">
        <f>'H_Tỷ lệ HH&amp;PS'!BY6</f>
        <v>2000.939404729972</v>
      </c>
      <c r="AM1" s="176">
        <f>'H_Tỷ lệ HH&amp;PS'!BZ6</f>
        <v>1376.0623421472308</v>
      </c>
      <c r="AN1" s="176">
        <f>'Hảo_R&amp;D (Hạt)'!AK1</f>
        <v>1720.0779276840385</v>
      </c>
      <c r="AO1" s="195">
        <f>AM1/8</f>
        <v>172.00779276840385</v>
      </c>
      <c r="AP1" s="109">
        <f>AN1/10</f>
        <v>172.00779276840385</v>
      </c>
    </row>
    <row r="2" spans="2:60" ht="15.5" x14ac:dyDescent="0.35">
      <c r="B2" s="114" t="s">
        <v>365</v>
      </c>
      <c r="T2" s="162" t="s">
        <v>634</v>
      </c>
      <c r="U2" s="157">
        <f>'Hảo_R&amp;D'!AK2</f>
        <v>0.77783045852077959</v>
      </c>
      <c r="V2" s="396">
        <v>0.91</v>
      </c>
      <c r="W2" s="283">
        <f>'Hảo_R&amp;D'!AM2</f>
        <v>0.8081674874213195</v>
      </c>
      <c r="X2" s="132">
        <f>'[8]12. 100% vảy-&gt;hạt WSS01-iSS01'!$I$10</f>
        <v>1636.9775154230633</v>
      </c>
      <c r="Y2" s="157">
        <f>'Hảo_R&amp;D'!AO2</f>
        <v>0.85501479000000002</v>
      </c>
      <c r="AA2" s="157">
        <f>'Hảo_R&amp;D'!AQ2</f>
        <v>0.85501479000000002</v>
      </c>
      <c r="AE2" s="157">
        <f>'Hảo_R&amp;D'!AU2</f>
        <v>0.773478</v>
      </c>
      <c r="AG2" s="120" t="s">
        <v>470</v>
      </c>
      <c r="AJ2" s="204">
        <v>1</v>
      </c>
      <c r="AK2" s="258"/>
      <c r="AL2" s="196">
        <f>AL1*1000/$AP$4</f>
        <v>75.507147348300833</v>
      </c>
      <c r="AM2" s="196">
        <f>AM1*1000/$AP$4</f>
        <v>51.926880835744562</v>
      </c>
      <c r="AN2" s="196">
        <f>AN1*1000/$AP$4</f>
        <v>64.908601044680694</v>
      </c>
    </row>
    <row r="3" spans="2:60" ht="43.5" x14ac:dyDescent="0.35">
      <c r="T3" s="162" t="s">
        <v>448</v>
      </c>
      <c r="U3" s="169">
        <f>U1/U2</f>
        <v>19027.282665358136</v>
      </c>
      <c r="V3" s="397">
        <f>V1/V2</f>
        <v>20109.890109890108</v>
      </c>
      <c r="W3" s="131">
        <f>W1/W2</f>
        <v>20169.086549138014</v>
      </c>
      <c r="X3" s="170">
        <f>'[8]10. 100% chai-&gt;hạt WSS01-iSS01'!$I$21+'[8]10. 100% chai-&gt;hạt WSS01-iSS01'!$I$37</f>
        <v>4716.6433044810765</v>
      </c>
      <c r="Y3" s="169">
        <f>Y1/Y2</f>
        <v>17309.642094027404</v>
      </c>
      <c r="Z3" s="132"/>
      <c r="AA3" s="169">
        <f>AA1/AA2</f>
        <v>15555.28647638949</v>
      </c>
      <c r="AB3" s="132"/>
      <c r="AC3" s="169">
        <f>'[8]16.1 Rửa vảy B7'!$I$48</f>
        <v>14341.250211551116</v>
      </c>
      <c r="AD3" s="109"/>
      <c r="AE3" s="169">
        <f>AE1/AE2</f>
        <v>17195.059200132389</v>
      </c>
      <c r="AG3" s="1146" t="s">
        <v>471</v>
      </c>
      <c r="AH3" s="1146"/>
      <c r="AI3" s="190" t="s">
        <v>467</v>
      </c>
      <c r="AJ3" s="260" t="s">
        <v>514</v>
      </c>
      <c r="AK3" s="190" t="s">
        <v>469</v>
      </c>
      <c r="AL3" s="173" t="s">
        <v>450</v>
      </c>
      <c r="AM3" s="173" t="s">
        <v>451</v>
      </c>
      <c r="AN3" s="173" t="s">
        <v>452</v>
      </c>
      <c r="AO3" s="162" t="s">
        <v>453</v>
      </c>
      <c r="AP3" s="2" t="s">
        <v>391</v>
      </c>
      <c r="AQ3" t="s">
        <v>393</v>
      </c>
      <c r="AR3" t="s">
        <v>454</v>
      </c>
      <c r="AS3" t="s">
        <v>455</v>
      </c>
      <c r="AT3" t="s">
        <v>465</v>
      </c>
      <c r="AU3" s="399" t="s">
        <v>462</v>
      </c>
      <c r="AW3" s="1146" t="s">
        <v>631</v>
      </c>
      <c r="AX3" s="1146"/>
      <c r="AY3" s="190" t="s">
        <v>467</v>
      </c>
      <c r="AZ3" s="190" t="s">
        <v>468</v>
      </c>
      <c r="BA3" s="190" t="s">
        <v>469</v>
      </c>
      <c r="BB3" s="173" t="s">
        <v>450</v>
      </c>
      <c r="BC3" s="173" t="s">
        <v>451</v>
      </c>
      <c r="BD3" s="173" t="s">
        <v>452</v>
      </c>
      <c r="BE3" s="162" t="s">
        <v>453</v>
      </c>
      <c r="BF3" s="2" t="s">
        <v>391</v>
      </c>
      <c r="BG3" s="203" t="s">
        <v>454</v>
      </c>
      <c r="BH3" s="3" t="s">
        <v>455</v>
      </c>
    </row>
    <row r="4" spans="2:60" x14ac:dyDescent="0.35">
      <c r="T4" s="120" t="s">
        <v>366</v>
      </c>
      <c r="U4" s="115" t="s">
        <v>367</v>
      </c>
      <c r="W4" s="115" t="s">
        <v>374</v>
      </c>
      <c r="Y4" s="115" t="s">
        <v>375</v>
      </c>
      <c r="AA4" s="115" t="s">
        <v>382</v>
      </c>
      <c r="AC4" s="115" t="s">
        <v>384</v>
      </c>
      <c r="AE4" s="115" t="s">
        <v>385</v>
      </c>
      <c r="AG4" s="127" t="s">
        <v>376</v>
      </c>
      <c r="AI4" s="191"/>
      <c r="AJ4" s="191"/>
      <c r="AK4" s="191"/>
      <c r="AP4" s="129">
        <v>26500</v>
      </c>
      <c r="BG4" s="3"/>
      <c r="BH4" s="3"/>
    </row>
    <row r="5" spans="2:60"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60" x14ac:dyDescent="0.35">
      <c r="T6" s="119" t="s">
        <v>390</v>
      </c>
      <c r="AG6" s="128">
        <v>0.3</v>
      </c>
      <c r="AK6" s="205"/>
      <c r="BG6" s="3"/>
      <c r="BH6" s="3"/>
    </row>
    <row r="7" spans="2:60"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 t="shared" ref="AG7:AH11" si="0">U7+W7+Y7+AA7+AC7+AE7</f>
        <v>1</v>
      </c>
      <c r="AH7" s="177">
        <f t="shared" si="0"/>
        <v>20054.906160760027</v>
      </c>
      <c r="AI7" s="175">
        <f>AI$1+AH7</f>
        <v>21919.856143641311</v>
      </c>
      <c r="AJ7" s="194">
        <f>AJ$1+AI7</f>
        <v>23193.711993450052</v>
      </c>
      <c r="AK7" s="175">
        <f>AK$1+$V$3</f>
        <v>21746.867625313171</v>
      </c>
      <c r="AL7" s="172">
        <f>AL$1+AJ7</f>
        <v>25194.651398180024</v>
      </c>
      <c r="AM7" s="172">
        <f>AL7+$AM$1</f>
        <v>26570.713740327254</v>
      </c>
      <c r="AN7" s="172">
        <f>AL7+$AN$1</f>
        <v>26914.729325864064</v>
      </c>
      <c r="AO7" s="175">
        <f>AM7</f>
        <v>26570.713740327254</v>
      </c>
      <c r="AP7" s="130">
        <f>$AP$4*AQ7/1000</f>
        <v>30740</v>
      </c>
      <c r="AQ7" s="109">
        <v>1160</v>
      </c>
      <c r="AR7" s="130">
        <f>AP7-AO7</f>
        <v>4169.2862596727464</v>
      </c>
      <c r="AS7" s="153">
        <f>AR7/AP7</f>
        <v>0.1356306525592956</v>
      </c>
      <c r="AU7" s="109">
        <f>AH7/$AP$4*1.1*1000</f>
        <v>832.46780289947299</v>
      </c>
      <c r="AX7" s="147">
        <f>AH7/$AP$4*1000</f>
        <v>756.78891172679357</v>
      </c>
      <c r="AY7" s="198">
        <f t="shared" ref="AY7:BF7" si="1">AI7/$AP$4*1000</f>
        <v>827.16438277891734</v>
      </c>
      <c r="AZ7" s="198">
        <f t="shared" si="1"/>
        <v>875.23441484717182</v>
      </c>
      <c r="BA7" s="198">
        <f t="shared" si="1"/>
        <v>820.63651416276116</v>
      </c>
      <c r="BB7" s="199">
        <f t="shared" si="1"/>
        <v>950.74156219547251</v>
      </c>
      <c r="BC7" s="199">
        <f t="shared" si="1"/>
        <v>1002.6684430312172</v>
      </c>
      <c r="BD7" s="199">
        <f t="shared" si="1"/>
        <v>1015.6501632401533</v>
      </c>
      <c r="BE7" s="147">
        <f t="shared" si="1"/>
        <v>1002.6684430312172</v>
      </c>
      <c r="BF7" s="200">
        <f t="shared" si="1"/>
        <v>1160</v>
      </c>
      <c r="BG7" s="201">
        <f>BF7-BE7</f>
        <v>157.33155696878282</v>
      </c>
      <c r="BH7" s="202">
        <f>BG7/BE7</f>
        <v>0.15691284398374591</v>
      </c>
    </row>
    <row r="8" spans="2:60"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si="0"/>
        <v>1</v>
      </c>
      <c r="AH8" s="177">
        <f t="shared" si="0"/>
        <v>19826.54538400405</v>
      </c>
      <c r="AI8" s="175">
        <f t="shared" ref="AI8:AJ11" si="2">AI$1+AH8</f>
        <v>21691.495366885334</v>
      </c>
      <c r="AJ8" s="194">
        <f t="shared" si="2"/>
        <v>22965.351216694071</v>
      </c>
      <c r="AK8" s="175">
        <f t="shared" ref="AK8:AK11" si="3">AK$1+$V$3</f>
        <v>21746.867625313171</v>
      </c>
      <c r="AL8" s="172">
        <f>AL$1+AJ8</f>
        <v>24966.290621424043</v>
      </c>
      <c r="AM8" s="172">
        <f>AL8+$AM$1</f>
        <v>26342.352963571273</v>
      </c>
      <c r="AN8" s="172">
        <f>AL8+$AN$1</f>
        <v>26686.368549108083</v>
      </c>
      <c r="AO8" s="175">
        <f>AM8</f>
        <v>26342.352963571273</v>
      </c>
      <c r="AP8" s="130">
        <f>$AP$4*AQ8/1000</f>
        <v>31535</v>
      </c>
      <c r="AQ8" s="130">
        <f>AQ7+30</f>
        <v>1190</v>
      </c>
      <c r="AR8" s="130">
        <f>AP8-AO8</f>
        <v>5192.647036428727</v>
      </c>
      <c r="AS8" s="153">
        <f>AR8/AP8</f>
        <v>0.16466297879907174</v>
      </c>
      <c r="AU8" s="109">
        <f t="shared" ref="AU8:AU11" si="4">AH8/$AP$4*1.1*1000</f>
        <v>822.98867631714938</v>
      </c>
      <c r="AX8" s="147">
        <f>AH8/$AP$4*1000</f>
        <v>748.17152392468108</v>
      </c>
      <c r="AY8" s="198">
        <f t="shared" ref="AY8:BF11" si="5">AI8/$AP$4*1000</f>
        <v>818.54699497680508</v>
      </c>
      <c r="AZ8" s="198">
        <f t="shared" si="5"/>
        <v>866.61702704505933</v>
      </c>
      <c r="BA8" s="198">
        <f t="shared" si="5"/>
        <v>820.63651416276116</v>
      </c>
      <c r="BB8" s="199">
        <f t="shared" si="5"/>
        <v>942.12417439336014</v>
      </c>
      <c r="BC8" s="199">
        <f t="shared" si="5"/>
        <v>994.05105522910469</v>
      </c>
      <c r="BD8" s="199">
        <f t="shared" si="5"/>
        <v>1007.0327754380409</v>
      </c>
      <c r="BE8" s="147">
        <f t="shared" si="5"/>
        <v>994.05105522910469</v>
      </c>
      <c r="BF8" s="200">
        <f t="shared" si="5"/>
        <v>1190</v>
      </c>
      <c r="BG8" s="201">
        <f>BF8-BE8</f>
        <v>195.94894477089531</v>
      </c>
      <c r="BH8" s="202">
        <f>BG8/BE8</f>
        <v>0.1971216103439816</v>
      </c>
    </row>
    <row r="9" spans="2:60"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77">
        <f t="shared" si="0"/>
        <v>19112.177744792491</v>
      </c>
      <c r="AI9" s="175">
        <f t="shared" si="2"/>
        <v>20977.127727673775</v>
      </c>
      <c r="AJ9" s="194">
        <f t="shared" si="2"/>
        <v>22250.983577482511</v>
      </c>
      <c r="AK9" s="175">
        <f t="shared" si="3"/>
        <v>21746.867625313171</v>
      </c>
      <c r="AL9" s="172">
        <f>AL$1+AJ9</f>
        <v>24251.922982212483</v>
      </c>
      <c r="AM9" s="172">
        <f>AL9+$AM$1</f>
        <v>25627.985324359714</v>
      </c>
      <c r="AN9" s="172">
        <f>AL9+$AN$1</f>
        <v>25972.000909896524</v>
      </c>
      <c r="AO9" s="175">
        <f>AM9</f>
        <v>25627.985324359714</v>
      </c>
      <c r="AP9" s="130">
        <f>$AP$4*AQ9/1000</f>
        <v>28885</v>
      </c>
      <c r="AQ9" s="130">
        <f>AQ7-70</f>
        <v>1090</v>
      </c>
      <c r="AR9" s="130">
        <f>AP9-AO9</f>
        <v>3257.0146756402864</v>
      </c>
      <c r="AS9" s="153">
        <f>AR9/AP9</f>
        <v>0.11275799465605978</v>
      </c>
      <c r="AU9" s="109">
        <f t="shared" si="4"/>
        <v>793.33567997251862</v>
      </c>
      <c r="AX9" s="147">
        <f>AH9/$AP$4*1000</f>
        <v>721.2142545204714</v>
      </c>
      <c r="AY9" s="198">
        <f t="shared" si="5"/>
        <v>791.58972557259517</v>
      </c>
      <c r="AZ9" s="198">
        <f t="shared" si="5"/>
        <v>839.65975764084942</v>
      </c>
      <c r="BA9" s="198">
        <f t="shared" si="5"/>
        <v>820.63651416276116</v>
      </c>
      <c r="BB9" s="199">
        <f t="shared" si="5"/>
        <v>915.16690498915034</v>
      </c>
      <c r="BC9" s="199">
        <f t="shared" si="5"/>
        <v>967.09378582489478</v>
      </c>
      <c r="BD9" s="199">
        <f t="shared" si="5"/>
        <v>980.07550603383106</v>
      </c>
      <c r="BE9" s="147">
        <f t="shared" si="5"/>
        <v>967.09378582489478</v>
      </c>
      <c r="BF9" s="200">
        <f t="shared" si="5"/>
        <v>1090</v>
      </c>
      <c r="BG9" s="201">
        <f>BF9-BE9</f>
        <v>122.90621417510522</v>
      </c>
      <c r="BH9" s="202">
        <f>BG9/BE9</f>
        <v>0.12708820589749817</v>
      </c>
    </row>
    <row r="10" spans="2:60"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5">
        <f t="shared" si="2"/>
        <v>20718.632838790989</v>
      </c>
      <c r="AJ10" s="194">
        <f t="shared" si="2"/>
        <v>21992.488688599726</v>
      </c>
      <c r="AK10" s="175">
        <f t="shared" si="3"/>
        <v>21746.867625313171</v>
      </c>
      <c r="AL10" s="322">
        <f>AL$1+AJ10</f>
        <v>23993.428093329698</v>
      </c>
      <c r="AM10" s="172">
        <f>AL10+$AM$1</f>
        <v>25369.490435476928</v>
      </c>
      <c r="AN10" s="172">
        <f>AL10+$AN$1</f>
        <v>25713.506021013738</v>
      </c>
      <c r="AO10" s="323">
        <f>AL10</f>
        <v>23993.428093329698</v>
      </c>
      <c r="AP10" s="130">
        <f>$AP$4*AQ10/1000</f>
        <v>19080</v>
      </c>
      <c r="AQ10" s="130">
        <v>720</v>
      </c>
      <c r="AR10" s="183">
        <f>AP10-AO10</f>
        <v>-4913.4280933296977</v>
      </c>
      <c r="AS10" s="157">
        <f>AR10/AP10</f>
        <v>-0.25751719566717496</v>
      </c>
      <c r="AU10" s="109">
        <f t="shared" si="4"/>
        <v>782.60570345285578</v>
      </c>
      <c r="AX10" s="147">
        <f>AH10/$AP$4*1000</f>
        <v>711.45973041168702</v>
      </c>
      <c r="AY10" s="198">
        <f t="shared" si="5"/>
        <v>781.8352014638109</v>
      </c>
      <c r="AZ10" s="198">
        <f t="shared" si="5"/>
        <v>829.90523353206515</v>
      </c>
      <c r="BA10" s="198">
        <f t="shared" si="5"/>
        <v>820.63651416276116</v>
      </c>
      <c r="BB10" s="199">
        <f t="shared" si="5"/>
        <v>905.41238088036596</v>
      </c>
      <c r="BC10" s="199">
        <f t="shared" si="5"/>
        <v>957.33926171611051</v>
      </c>
      <c r="BD10" s="199">
        <f t="shared" si="5"/>
        <v>970.32098192504668</v>
      </c>
      <c r="BE10" s="147">
        <f t="shared" si="5"/>
        <v>905.41238088036596</v>
      </c>
      <c r="BF10" s="200">
        <f t="shared" si="5"/>
        <v>720</v>
      </c>
      <c r="BG10" s="201">
        <f>BF10-BE10</f>
        <v>-185.41238088036596</v>
      </c>
      <c r="BH10" s="202">
        <f>BG10/BE10</f>
        <v>-0.20478224596407954</v>
      </c>
    </row>
    <row r="11" spans="2:60"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77">
        <f t="shared" si="0"/>
        <v>18504.154010131388</v>
      </c>
      <c r="AI11" s="175">
        <f t="shared" si="2"/>
        <v>20369.103993012672</v>
      </c>
      <c r="AJ11" s="264">
        <f t="shared" si="2"/>
        <v>21642.959842821409</v>
      </c>
      <c r="AK11" s="175">
        <f t="shared" si="3"/>
        <v>21746.867625313171</v>
      </c>
      <c r="AL11" s="172">
        <f>+AJ11</f>
        <v>21642.959842821409</v>
      </c>
      <c r="AM11" s="172">
        <f>AL11</f>
        <v>21642.959842821409</v>
      </c>
      <c r="AN11" s="172">
        <f>AM11</f>
        <v>21642.959842821409</v>
      </c>
      <c r="AO11" s="175">
        <f>AM11</f>
        <v>21642.959842821409</v>
      </c>
      <c r="AP11" s="130">
        <f>$AP$4*AQ11/1000</f>
        <v>25970</v>
      </c>
      <c r="AQ11" s="267">
        <v>980</v>
      </c>
      <c r="AR11" s="130">
        <f>AP11-AO11</f>
        <v>4327.0401571785915</v>
      </c>
      <c r="AS11" s="153">
        <f>AR11/AP11</f>
        <v>0.16661687166648409</v>
      </c>
      <c r="AU11" s="109">
        <f t="shared" si="4"/>
        <v>768.09695891111426</v>
      </c>
      <c r="AX11" s="147">
        <f>AH11/$AP$4*1000</f>
        <v>698.26996264646743</v>
      </c>
      <c r="AY11" s="198">
        <f t="shared" si="5"/>
        <v>768.64543369859143</v>
      </c>
      <c r="AZ11" s="198">
        <f t="shared" si="5"/>
        <v>816.71546576684557</v>
      </c>
      <c r="BA11" s="198">
        <f t="shared" si="5"/>
        <v>820.63651416276116</v>
      </c>
      <c r="BB11" s="199">
        <f t="shared" si="5"/>
        <v>816.71546576684557</v>
      </c>
      <c r="BC11" s="199">
        <f t="shared" si="5"/>
        <v>816.71546576684557</v>
      </c>
      <c r="BD11" s="199">
        <f t="shared" si="5"/>
        <v>816.71546576684557</v>
      </c>
      <c r="BE11" s="147">
        <f t="shared" si="5"/>
        <v>816.71546576684557</v>
      </c>
      <c r="BF11" s="200">
        <f t="shared" si="5"/>
        <v>980</v>
      </c>
      <c r="BG11" s="201">
        <f>BF11-BE11</f>
        <v>163.28453423315443</v>
      </c>
      <c r="BH11" s="202">
        <f>BG11/BE11</f>
        <v>0.19992829948412977</v>
      </c>
    </row>
    <row r="12" spans="2:60" x14ac:dyDescent="0.35">
      <c r="AJ12" s="195">
        <v>20601</v>
      </c>
    </row>
    <row r="13" spans="2:60" x14ac:dyDescent="0.35">
      <c r="AJ13" s="265">
        <f>AJ12-AJ11</f>
        <v>-1041.9598428214085</v>
      </c>
      <c r="AK13" s="266">
        <f>AJ13/AJ11</f>
        <v>-4.8143130624853439E-2</v>
      </c>
    </row>
    <row r="14" spans="2:60" x14ac:dyDescent="0.35">
      <c r="T14" s="119" t="s">
        <v>387</v>
      </c>
      <c r="W14" s="116" t="s">
        <v>48</v>
      </c>
      <c r="AG14" s="126">
        <v>0.53</v>
      </c>
      <c r="AJ14" s="191"/>
    </row>
    <row r="15" spans="2:60"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6">U15+W15+Y15+AA15+AC15+AE15</f>
        <v>1</v>
      </c>
      <c r="AH15" s="177">
        <f t="shared" si="6"/>
        <v>20169.086549138014</v>
      </c>
      <c r="AI15" s="175">
        <f t="shared" ref="AI15:AJ18" si="7">AI$1+AH15</f>
        <v>22034.036532019298</v>
      </c>
      <c r="AJ15" s="194">
        <f t="shared" si="7"/>
        <v>23307.892381828038</v>
      </c>
      <c r="AK15" s="175">
        <f t="shared" ref="AK15:AK18" si="8">AK$1+$V$3</f>
        <v>21746.867625313171</v>
      </c>
      <c r="AL15" s="172">
        <f>AL$1+AJ15</f>
        <v>25308.83178655801</v>
      </c>
      <c r="AM15" s="172">
        <f>AL15+$AM$1</f>
        <v>26684.89412870524</v>
      </c>
      <c r="AN15" s="172">
        <f>AL15+$AN$1</f>
        <v>27028.909714242051</v>
      </c>
      <c r="AO15" s="175">
        <f>AM15</f>
        <v>26684.89412870524</v>
      </c>
      <c r="AP15" s="130">
        <f>$AP$4*AQ15/1000</f>
        <v>30740</v>
      </c>
      <c r="AQ15" s="130">
        <f>AQ7</f>
        <v>1160</v>
      </c>
      <c r="AR15" s="130">
        <f>AP15-AO15</f>
        <v>4055.1058712947597</v>
      </c>
      <c r="AS15" s="153">
        <f>AR15/AP15</f>
        <v>0.13191626126528172</v>
      </c>
      <c r="AU15" s="109">
        <f t="shared" ref="AU15:AU18" si="9">AH15/$AP$4*1.1*1000</f>
        <v>837.20736619063462</v>
      </c>
      <c r="AX15" s="147">
        <f t="shared" ref="AX15:BF18" si="10">AH15/$AP$4*1000</f>
        <v>761.09760562784959</v>
      </c>
      <c r="AY15" s="198">
        <f t="shared" si="10"/>
        <v>831.47307667997347</v>
      </c>
      <c r="AZ15" s="198">
        <f t="shared" si="10"/>
        <v>879.54310874822784</v>
      </c>
      <c r="BA15" s="198">
        <f t="shared" si="10"/>
        <v>820.63651416276116</v>
      </c>
      <c r="BB15" s="199">
        <f t="shared" si="10"/>
        <v>955.05025609652876</v>
      </c>
      <c r="BC15" s="199">
        <f t="shared" si="10"/>
        <v>1006.9771369322733</v>
      </c>
      <c r="BD15" s="199">
        <f t="shared" si="10"/>
        <v>1019.9588571412095</v>
      </c>
      <c r="BE15" s="147">
        <f t="shared" si="10"/>
        <v>1006.9771369322733</v>
      </c>
      <c r="BF15" s="200">
        <f t="shared" si="10"/>
        <v>1160</v>
      </c>
      <c r="BG15" s="201">
        <f>BF15-BE15</f>
        <v>153.02286306772669</v>
      </c>
      <c r="BH15" s="202">
        <f>BG15/BE15</f>
        <v>0.15196259920449279</v>
      </c>
    </row>
    <row r="16" spans="2:60"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6"/>
        <v>1</v>
      </c>
      <c r="AH16" s="177">
        <f t="shared" si="6"/>
        <v>20169.086549138014</v>
      </c>
      <c r="AI16" s="175">
        <f t="shared" si="7"/>
        <v>22034.036532019298</v>
      </c>
      <c r="AJ16" s="194">
        <f t="shared" si="7"/>
        <v>23307.892381828038</v>
      </c>
      <c r="AK16" s="175">
        <f t="shared" si="8"/>
        <v>21746.867625313171</v>
      </c>
      <c r="AL16" s="172">
        <f>AL$1+AJ16</f>
        <v>25308.83178655801</v>
      </c>
      <c r="AM16" s="172">
        <f>AL16+$AM$1</f>
        <v>26684.89412870524</v>
      </c>
      <c r="AN16" s="172">
        <f>AL16+$AN$1</f>
        <v>27028.909714242051</v>
      </c>
      <c r="AO16" s="175">
        <f>AM16</f>
        <v>26684.89412870524</v>
      </c>
      <c r="AP16" s="130">
        <f>$AP$4*AQ16/1000</f>
        <v>31535</v>
      </c>
      <c r="AQ16" s="130">
        <f>AQ7+30</f>
        <v>1190</v>
      </c>
      <c r="AR16" s="130">
        <f>AP16-AO16</f>
        <v>4850.1058712947597</v>
      </c>
      <c r="AS16" s="153">
        <f>AR16/AP16</f>
        <v>0.15380072526699728</v>
      </c>
      <c r="AU16" s="109">
        <f t="shared" si="9"/>
        <v>837.20736619063462</v>
      </c>
      <c r="AX16" s="147">
        <f t="shared" si="10"/>
        <v>761.09760562784959</v>
      </c>
      <c r="AY16" s="198">
        <f t="shared" si="10"/>
        <v>831.47307667997347</v>
      </c>
      <c r="AZ16" s="198">
        <f t="shared" si="10"/>
        <v>879.54310874822784</v>
      </c>
      <c r="BA16" s="198">
        <f t="shared" si="10"/>
        <v>820.63651416276116</v>
      </c>
      <c r="BB16" s="199">
        <f t="shared" si="10"/>
        <v>955.05025609652876</v>
      </c>
      <c r="BC16" s="199">
        <f t="shared" si="10"/>
        <v>1006.9771369322733</v>
      </c>
      <c r="BD16" s="199">
        <f t="shared" si="10"/>
        <v>1019.9588571412095</v>
      </c>
      <c r="BE16" s="147">
        <f t="shared" si="10"/>
        <v>1006.9771369322733</v>
      </c>
      <c r="BF16" s="200">
        <f t="shared" si="10"/>
        <v>1190</v>
      </c>
      <c r="BG16" s="201">
        <f>BF16-BE16</f>
        <v>183.02286306772669</v>
      </c>
      <c r="BH16" s="202">
        <f>BG16/BE16</f>
        <v>0.18175473539081585</v>
      </c>
    </row>
    <row r="17" spans="20:6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6"/>
        <v>1</v>
      </c>
      <c r="AH17" s="177">
        <f t="shared" si="6"/>
        <v>20169.086549138014</v>
      </c>
      <c r="AI17" s="175">
        <f t="shared" si="7"/>
        <v>22034.036532019298</v>
      </c>
      <c r="AJ17" s="194">
        <f t="shared" si="7"/>
        <v>23307.892381828038</v>
      </c>
      <c r="AK17" s="175">
        <f t="shared" si="8"/>
        <v>21746.867625313171</v>
      </c>
      <c r="AL17" s="172">
        <f>AL$1+AJ17</f>
        <v>25308.83178655801</v>
      </c>
      <c r="AM17" s="172">
        <f>AL17+$AM$1</f>
        <v>26684.89412870524</v>
      </c>
      <c r="AN17" s="172">
        <f>AL17+$AN$1</f>
        <v>27028.909714242051</v>
      </c>
      <c r="AO17" s="175">
        <f>AM17</f>
        <v>26684.89412870524</v>
      </c>
      <c r="AP17" s="130">
        <f>$AP$4*AQ17/1000</f>
        <v>33125</v>
      </c>
      <c r="AQ17" s="130">
        <f>AQ7+90</f>
        <v>1250</v>
      </c>
      <c r="AR17" s="130">
        <f>AP17-AO17</f>
        <v>6440.1058712947597</v>
      </c>
      <c r="AS17" s="153">
        <f>AR17/AP17</f>
        <v>0.19441829045418144</v>
      </c>
      <c r="AU17" s="109">
        <f t="shared" si="9"/>
        <v>837.20736619063462</v>
      </c>
      <c r="AX17" s="147">
        <f t="shared" si="10"/>
        <v>761.09760562784959</v>
      </c>
      <c r="AY17" s="198">
        <f t="shared" si="10"/>
        <v>831.47307667997347</v>
      </c>
      <c r="AZ17" s="198">
        <f t="shared" si="10"/>
        <v>879.54310874822784</v>
      </c>
      <c r="BA17" s="198">
        <f t="shared" si="10"/>
        <v>820.63651416276116</v>
      </c>
      <c r="BB17" s="199">
        <f t="shared" si="10"/>
        <v>955.05025609652876</v>
      </c>
      <c r="BC17" s="199">
        <f t="shared" si="10"/>
        <v>1006.9771369322733</v>
      </c>
      <c r="BD17" s="199">
        <f t="shared" si="10"/>
        <v>1019.9588571412095</v>
      </c>
      <c r="BE17" s="147">
        <f t="shared" si="10"/>
        <v>1006.9771369322733</v>
      </c>
      <c r="BF17" s="200">
        <f t="shared" si="10"/>
        <v>1250</v>
      </c>
      <c r="BG17" s="201">
        <f>BF17-BE17</f>
        <v>243.02286306772669</v>
      </c>
      <c r="BH17" s="202">
        <f>BG17/BE17</f>
        <v>0.24133900776346204</v>
      </c>
    </row>
    <row r="18" spans="20:6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6"/>
        <v>1</v>
      </c>
      <c r="AH18" s="177">
        <f t="shared" si="6"/>
        <v>20169.086549138014</v>
      </c>
      <c r="AI18" s="175">
        <f t="shared" si="7"/>
        <v>22034.036532019298</v>
      </c>
      <c r="AJ18" s="194">
        <f t="shared" si="7"/>
        <v>23307.892381828038</v>
      </c>
      <c r="AK18" s="175">
        <f t="shared" si="8"/>
        <v>21746.867625313171</v>
      </c>
      <c r="AL18" s="172">
        <f>AL$1+AJ18</f>
        <v>25308.83178655801</v>
      </c>
      <c r="AM18" s="172">
        <f>AL18+$AM$1</f>
        <v>26684.89412870524</v>
      </c>
      <c r="AN18" s="172">
        <f>AL18+$AN$1</f>
        <v>27028.909714242051</v>
      </c>
      <c r="AO18" s="175">
        <f>AM18</f>
        <v>26684.89412870524</v>
      </c>
      <c r="AP18" s="130">
        <f>$AP$4*AQ18/1000</f>
        <v>29945</v>
      </c>
      <c r="AQ18" s="130">
        <f>AQ7-30</f>
        <v>1130</v>
      </c>
      <c r="AR18" s="130">
        <f>AP18-AO18</f>
        <v>3260.1058712947597</v>
      </c>
      <c r="AS18" s="153">
        <f>AR18/AP18</f>
        <v>0.10886979032542193</v>
      </c>
      <c r="AU18" s="109">
        <f t="shared" si="9"/>
        <v>837.20736619063462</v>
      </c>
      <c r="AX18" s="147">
        <f t="shared" si="10"/>
        <v>761.09760562784959</v>
      </c>
      <c r="AY18" s="198">
        <f t="shared" si="10"/>
        <v>831.47307667997347</v>
      </c>
      <c r="AZ18" s="198">
        <f t="shared" si="10"/>
        <v>879.54310874822784</v>
      </c>
      <c r="BA18" s="198">
        <f t="shared" si="10"/>
        <v>820.63651416276116</v>
      </c>
      <c r="BB18" s="199">
        <f t="shared" si="10"/>
        <v>955.05025609652876</v>
      </c>
      <c r="BC18" s="199">
        <f t="shared" si="10"/>
        <v>1006.9771369322733</v>
      </c>
      <c r="BD18" s="199">
        <f t="shared" si="10"/>
        <v>1019.9588571412095</v>
      </c>
      <c r="BE18" s="147">
        <f t="shared" si="10"/>
        <v>1006.9771369322733</v>
      </c>
      <c r="BF18" s="200">
        <f t="shared" si="10"/>
        <v>1130</v>
      </c>
      <c r="BG18" s="201">
        <f>BF18-BE18</f>
        <v>123.02286306772669</v>
      </c>
      <c r="BH18" s="202">
        <f>BG18/BE18</f>
        <v>0.12217046301816968</v>
      </c>
    </row>
    <row r="19" spans="20:68" x14ac:dyDescent="0.35">
      <c r="AJ19" s="191"/>
    </row>
    <row r="20" spans="20:68" x14ac:dyDescent="0.35">
      <c r="AJ20" s="191"/>
    </row>
    <row r="21" spans="20:68" x14ac:dyDescent="0.35">
      <c r="AJ21" s="191"/>
    </row>
    <row r="22" spans="20:68" x14ac:dyDescent="0.35">
      <c r="AJ22" s="191"/>
    </row>
    <row r="23" spans="20:68" x14ac:dyDescent="0.35">
      <c r="AJ23" s="191"/>
    </row>
    <row r="24" spans="20:68" x14ac:dyDescent="0.35">
      <c r="T24" s="119" t="s">
        <v>388</v>
      </c>
      <c r="AG24" s="126">
        <v>0.05</v>
      </c>
      <c r="AJ24" s="191"/>
      <c r="AK24" s="205"/>
    </row>
    <row r="25" spans="20:6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11">U25+W25+Y25+AA25+AC25+AE25</f>
        <v>1</v>
      </c>
      <c r="AH25" s="177">
        <f t="shared" si="11"/>
        <v>19883.142103626953</v>
      </c>
      <c r="AI25" s="175">
        <f t="shared" ref="AI25:AJ29" si="12">AI$1+AH25</f>
        <v>21748.092086508237</v>
      </c>
      <c r="AJ25" s="194">
        <f t="shared" si="12"/>
        <v>23021.947936316974</v>
      </c>
      <c r="AK25" s="175">
        <f t="shared" ref="AK25:AK29" si="13">AK$1+$V$3</f>
        <v>21746.867625313171</v>
      </c>
      <c r="AL25" s="172">
        <f>AL$1+AJ25</f>
        <v>25022.887341046946</v>
      </c>
      <c r="AM25" s="172">
        <f>AL25+$AM$1</f>
        <v>26398.949683194176</v>
      </c>
      <c r="AN25" s="172">
        <f>AL25+$AN$1</f>
        <v>26742.965268730986</v>
      </c>
      <c r="AO25" s="175">
        <f>AM25</f>
        <v>26398.949683194176</v>
      </c>
      <c r="AP25" s="130">
        <f>$AP$4*AQ25/1000</f>
        <v>30740</v>
      </c>
      <c r="AQ25" s="130">
        <f>AQ7</f>
        <v>1160</v>
      </c>
      <c r="AR25" s="130">
        <f>AP25-AO25</f>
        <v>4341.050316805824</v>
      </c>
      <c r="AS25" s="153">
        <f>AR25/AP25</f>
        <v>0.14121829267422981</v>
      </c>
      <c r="AU25" s="109">
        <f t="shared" ref="AU25:AU29" si="14">AH25/$AP$4*1.1*1000</f>
        <v>825.33797411281694</v>
      </c>
      <c r="AX25" s="147">
        <f t="shared" ref="AX25:BF29" si="15">AH25/$AP$4*1000</f>
        <v>750.30724919346994</v>
      </c>
      <c r="AY25" s="198">
        <f t="shared" si="15"/>
        <v>820.68272024559383</v>
      </c>
      <c r="AZ25" s="198">
        <f t="shared" si="15"/>
        <v>868.75275231384808</v>
      </c>
      <c r="BA25" s="198">
        <f t="shared" si="15"/>
        <v>820.63651416276116</v>
      </c>
      <c r="BB25" s="199">
        <f t="shared" si="15"/>
        <v>944.25989966214888</v>
      </c>
      <c r="BC25" s="199">
        <f t="shared" si="15"/>
        <v>996.18678049789344</v>
      </c>
      <c r="BD25" s="199">
        <f t="shared" si="15"/>
        <v>1009.1685007068296</v>
      </c>
      <c r="BE25" s="147">
        <f t="shared" si="15"/>
        <v>996.18678049789344</v>
      </c>
      <c r="BF25" s="200">
        <f t="shared" si="15"/>
        <v>1160</v>
      </c>
      <c r="BG25" s="201">
        <f>BF25-BE25</f>
        <v>163.81321950210656</v>
      </c>
      <c r="BH25" s="202">
        <f>BG25/BE25</f>
        <v>0.16444026633261768</v>
      </c>
    </row>
    <row r="26" spans="20:68"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11"/>
        <v>1</v>
      </c>
      <c r="AH26" s="177">
        <f t="shared" si="11"/>
        <v>19112.177744792491</v>
      </c>
      <c r="AI26" s="175">
        <f t="shared" si="12"/>
        <v>20977.127727673775</v>
      </c>
      <c r="AJ26" s="194">
        <f t="shared" si="12"/>
        <v>22250.983577482511</v>
      </c>
      <c r="AK26" s="175">
        <f t="shared" si="13"/>
        <v>21746.867625313171</v>
      </c>
      <c r="AL26" s="172">
        <f>AL$1+AJ26</f>
        <v>24251.922982212483</v>
      </c>
      <c r="AM26" s="172">
        <f>AL26+$AM$1</f>
        <v>25627.985324359714</v>
      </c>
      <c r="AN26" s="172">
        <f>AL26+$AN$1</f>
        <v>25972.000909896524</v>
      </c>
      <c r="AO26" s="175">
        <f>AM26</f>
        <v>25627.985324359714</v>
      </c>
      <c r="AP26" s="130">
        <f>$AP$4*AQ26/1000</f>
        <v>28885</v>
      </c>
      <c r="AQ26" s="130">
        <f>AQ7-70</f>
        <v>1090</v>
      </c>
      <c r="AR26" s="130">
        <f>AP26-AO26</f>
        <v>3257.0146756402864</v>
      </c>
      <c r="AS26" s="153">
        <f>AR26/AP26</f>
        <v>0.11275799465605978</v>
      </c>
      <c r="AU26" s="109">
        <f t="shared" si="14"/>
        <v>793.33567997251862</v>
      </c>
      <c r="AX26" s="147">
        <f t="shared" si="15"/>
        <v>721.2142545204714</v>
      </c>
      <c r="AY26" s="198">
        <f t="shared" si="15"/>
        <v>791.58972557259517</v>
      </c>
      <c r="AZ26" s="198">
        <f t="shared" si="15"/>
        <v>839.65975764084942</v>
      </c>
      <c r="BA26" s="198">
        <f t="shared" si="15"/>
        <v>820.63651416276116</v>
      </c>
      <c r="BB26" s="199">
        <f t="shared" si="15"/>
        <v>915.16690498915034</v>
      </c>
      <c r="BC26" s="199">
        <f t="shared" si="15"/>
        <v>967.09378582489478</v>
      </c>
      <c r="BD26" s="199">
        <f t="shared" si="15"/>
        <v>980.07550603383106</v>
      </c>
      <c r="BE26" s="147">
        <f t="shared" si="15"/>
        <v>967.09378582489478</v>
      </c>
      <c r="BF26" s="200">
        <f t="shared" si="15"/>
        <v>1090</v>
      </c>
      <c r="BG26" s="201">
        <f>BF26-BE26</f>
        <v>122.90621417510522</v>
      </c>
      <c r="BH26" s="202">
        <f>BG26/BE26</f>
        <v>0.12708820589749817</v>
      </c>
      <c r="BJ26" s="182">
        <v>1074</v>
      </c>
      <c r="BK26" t="s">
        <v>456</v>
      </c>
      <c r="BL26" t="s">
        <v>457</v>
      </c>
      <c r="BM26" t="s">
        <v>458</v>
      </c>
      <c r="BO26" t="s">
        <v>463</v>
      </c>
      <c r="BP26" t="s">
        <v>464</v>
      </c>
    </row>
    <row r="27" spans="20:6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11"/>
        <v>1</v>
      </c>
      <c r="AH27" s="177">
        <f t="shared" si="11"/>
        <v>17279.402879005062</v>
      </c>
      <c r="AI27" s="175">
        <f t="shared" si="12"/>
        <v>19144.352861886346</v>
      </c>
      <c r="AJ27" s="194">
        <f t="shared" si="12"/>
        <v>20418.208711695086</v>
      </c>
      <c r="AK27" s="175">
        <f t="shared" si="13"/>
        <v>21746.867625313171</v>
      </c>
      <c r="AL27" s="172">
        <f>AL$1+AJ27</f>
        <v>22419.148116425058</v>
      </c>
      <c r="AM27" s="172">
        <f>AL27+$AM$1</f>
        <v>23795.210458572288</v>
      </c>
      <c r="AN27" s="172">
        <f>AL27+$AN$1</f>
        <v>24139.226044109098</v>
      </c>
      <c r="AO27" s="175">
        <f>AM27</f>
        <v>23795.210458572288</v>
      </c>
      <c r="AP27" s="130">
        <f>$AP$4*AQ27/1000</f>
        <v>30740</v>
      </c>
      <c r="AQ27" s="130">
        <f>AQ7</f>
        <v>1160</v>
      </c>
      <c r="AR27" s="130">
        <f>AP27-AO27</f>
        <v>6944.7895414277118</v>
      </c>
      <c r="AS27" s="153">
        <f>AR27/AP27</f>
        <v>0.22592028436654885</v>
      </c>
      <c r="AU27" s="109">
        <f t="shared" si="14"/>
        <v>717.25823271341778</v>
      </c>
      <c r="AX27" s="147">
        <f t="shared" si="15"/>
        <v>652.05293883037973</v>
      </c>
      <c r="AY27" s="198">
        <f t="shared" si="15"/>
        <v>722.42840988250362</v>
      </c>
      <c r="AZ27" s="198">
        <f t="shared" si="15"/>
        <v>770.49844195075798</v>
      </c>
      <c r="BA27" s="198">
        <f t="shared" si="15"/>
        <v>820.63651416276116</v>
      </c>
      <c r="BB27" s="199">
        <f t="shared" si="15"/>
        <v>846.00558929905878</v>
      </c>
      <c r="BC27" s="199">
        <f t="shared" si="15"/>
        <v>897.93247013480334</v>
      </c>
      <c r="BD27" s="199">
        <f t="shared" si="15"/>
        <v>910.91419034373951</v>
      </c>
      <c r="BE27" s="147">
        <f t="shared" si="15"/>
        <v>897.93247013480334</v>
      </c>
      <c r="BF27" s="200">
        <f t="shared" si="15"/>
        <v>1160</v>
      </c>
      <c r="BG27" s="201">
        <f>BF27-BE27</f>
        <v>262.06752986519666</v>
      </c>
      <c r="BH27" s="202">
        <f>BG27/BE27</f>
        <v>0.29185661347768549</v>
      </c>
    </row>
    <row r="28" spans="20:6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1"/>
        <v>1</v>
      </c>
      <c r="AH28" s="177">
        <f t="shared" si="11"/>
        <v>18853.682855909705</v>
      </c>
      <c r="AI28" s="175">
        <f t="shared" si="12"/>
        <v>20718.632838790989</v>
      </c>
      <c r="AJ28" s="194">
        <f t="shared" si="12"/>
        <v>21992.488688599726</v>
      </c>
      <c r="AK28" s="175">
        <f t="shared" si="13"/>
        <v>21746.867625313171</v>
      </c>
      <c r="AL28" s="322">
        <f>AL$1+AJ28</f>
        <v>23993.428093329698</v>
      </c>
      <c r="AM28" s="172">
        <f>AL28+$AM$1</f>
        <v>25369.490435476928</v>
      </c>
      <c r="AN28" s="172">
        <f>AL28+$AN$1</f>
        <v>25713.506021013738</v>
      </c>
      <c r="AO28" s="323">
        <f>AL28</f>
        <v>23993.428093329698</v>
      </c>
      <c r="AP28" s="130">
        <f>$AP$4*AQ28/1000</f>
        <v>19080</v>
      </c>
      <c r="AQ28" s="130">
        <f>AQ10</f>
        <v>720</v>
      </c>
      <c r="AR28" s="183">
        <f>AP28-AO28</f>
        <v>-4913.4280933296977</v>
      </c>
      <c r="AS28" s="157">
        <f>AR28/AP28</f>
        <v>-0.25751719566717496</v>
      </c>
      <c r="AU28" s="109">
        <f t="shared" si="14"/>
        <v>782.60570345285578</v>
      </c>
      <c r="AX28" s="147">
        <f t="shared" si="15"/>
        <v>711.45973041168702</v>
      </c>
      <c r="AY28" s="198">
        <f t="shared" si="15"/>
        <v>781.8352014638109</v>
      </c>
      <c r="AZ28" s="198">
        <f t="shared" si="15"/>
        <v>829.90523353206515</v>
      </c>
      <c r="BA28" s="198">
        <f t="shared" si="15"/>
        <v>820.63651416276116</v>
      </c>
      <c r="BB28" s="199">
        <f t="shared" si="15"/>
        <v>905.41238088036596</v>
      </c>
      <c r="BC28" s="199">
        <f t="shared" si="15"/>
        <v>957.33926171611051</v>
      </c>
      <c r="BD28" s="199">
        <f t="shared" si="15"/>
        <v>970.32098192504668</v>
      </c>
      <c r="BE28" s="147">
        <f t="shared" si="15"/>
        <v>905.41238088036596</v>
      </c>
      <c r="BF28" s="200">
        <f t="shared" si="15"/>
        <v>720</v>
      </c>
      <c r="BG28" s="201">
        <f>BF28-BE28</f>
        <v>-185.41238088036596</v>
      </c>
      <c r="BH28" s="202">
        <f>BG28/BE28</f>
        <v>-0.20478224596407954</v>
      </c>
      <c r="BK28" s="179" t="s">
        <v>460</v>
      </c>
      <c r="BL28" t="s">
        <v>459</v>
      </c>
      <c r="BM28" s="181" t="s">
        <v>461</v>
      </c>
    </row>
    <row r="29" spans="20:6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11"/>
        <v>1</v>
      </c>
      <c r="AH29" s="177">
        <f t="shared" si="11"/>
        <v>18504.154010131388</v>
      </c>
      <c r="AI29" s="175">
        <f t="shared" si="12"/>
        <v>20369.103993012672</v>
      </c>
      <c r="AJ29" s="324">
        <f t="shared" si="12"/>
        <v>21642.959842821409</v>
      </c>
      <c r="AK29" s="175">
        <f t="shared" si="13"/>
        <v>21746.867625313171</v>
      </c>
      <c r="AL29" s="172">
        <f>+AJ29</f>
        <v>21642.959842821409</v>
      </c>
      <c r="AM29" s="172">
        <f>AL29</f>
        <v>21642.959842821409</v>
      </c>
      <c r="AN29" s="172">
        <f>AM29</f>
        <v>21642.959842821409</v>
      </c>
      <c r="AO29" s="323">
        <f>AJ29</f>
        <v>21642.959842821409</v>
      </c>
      <c r="AP29" s="130">
        <f>$AP$4*AQ29/1000</f>
        <v>25970</v>
      </c>
      <c r="AQ29" s="267">
        <v>980</v>
      </c>
      <c r="AR29" s="130">
        <f>AP29-AO29</f>
        <v>4327.0401571785915</v>
      </c>
      <c r="AS29" s="153">
        <f>AR29/AP29</f>
        <v>0.16661687166648409</v>
      </c>
      <c r="AU29" s="109">
        <f t="shared" si="14"/>
        <v>768.09695891111426</v>
      </c>
      <c r="AX29" s="147">
        <f t="shared" si="15"/>
        <v>698.26996264646743</v>
      </c>
      <c r="AY29" s="198">
        <f t="shared" si="15"/>
        <v>768.64543369859143</v>
      </c>
      <c r="AZ29" s="198">
        <f t="shared" si="15"/>
        <v>816.71546576684557</v>
      </c>
      <c r="BA29" s="198">
        <f t="shared" si="15"/>
        <v>820.63651416276116</v>
      </c>
      <c r="BB29" s="199">
        <f t="shared" si="15"/>
        <v>816.71546576684557</v>
      </c>
      <c r="BC29" s="199">
        <f t="shared" si="15"/>
        <v>816.71546576684557</v>
      </c>
      <c r="BD29" s="199">
        <f t="shared" si="15"/>
        <v>816.71546576684557</v>
      </c>
      <c r="BE29" s="147">
        <f t="shared" si="15"/>
        <v>816.71546576684557</v>
      </c>
      <c r="BF29" s="200">
        <f t="shared" si="15"/>
        <v>980</v>
      </c>
      <c r="BG29" s="201">
        <f>BF29-BE29</f>
        <v>163.28453423315443</v>
      </c>
      <c r="BH29" s="202">
        <f>BG29/BE29</f>
        <v>0.19992829948412977</v>
      </c>
      <c r="BI29" s="130">
        <f>AQ29-AU29</f>
        <v>211.90304108888574</v>
      </c>
      <c r="BJ29" s="185">
        <f>BI29/AQ29</f>
        <v>0.21622759294784261</v>
      </c>
    </row>
    <row r="30" spans="20:68" x14ac:dyDescent="0.35">
      <c r="AJ30" s="191"/>
    </row>
    <row r="31" spans="20:68" x14ac:dyDescent="0.35">
      <c r="AJ31" s="191"/>
    </row>
    <row r="32" spans="20:68" x14ac:dyDescent="0.35">
      <c r="T32" s="119" t="s">
        <v>389</v>
      </c>
      <c r="AG32" s="126">
        <v>0.02</v>
      </c>
      <c r="AJ32" s="191"/>
    </row>
    <row r="33" spans="19: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 t="shared" ref="AK33" si="16">AK$1+$V$3</f>
        <v>21746.867625313171</v>
      </c>
      <c r="AL33" s="322">
        <f>AL$1+AJ33</f>
        <v>22334.804437552382</v>
      </c>
      <c r="AM33" s="172">
        <f>AL33+$AM$1</f>
        <v>23710.866779699612</v>
      </c>
      <c r="AN33" s="172">
        <f>AL33+$AN$1</f>
        <v>24054.882365236423</v>
      </c>
      <c r="AO33" s="323">
        <f>AL33</f>
        <v>22334.804437552382</v>
      </c>
      <c r="AP33" s="130">
        <f>$AP$4*AQ33/1000</f>
        <v>19000.5</v>
      </c>
      <c r="AQ33" s="130">
        <v>717</v>
      </c>
      <c r="AR33" s="183">
        <f>AP33-AO33</f>
        <v>-3334.3044375523823</v>
      </c>
      <c r="AS33" s="157">
        <f>AR33/AP33</f>
        <v>-0.17548508921093561</v>
      </c>
      <c r="AX33" s="147">
        <f t="shared" ref="AX33:BF33" si="17">AH33/$AP$4*1000</f>
        <v>648.8701584955619</v>
      </c>
      <c r="AY33" s="198">
        <f t="shared" si="17"/>
        <v>719.24562954768578</v>
      </c>
      <c r="AZ33" s="198">
        <f t="shared" si="17"/>
        <v>767.31566161594003</v>
      </c>
      <c r="BA33" s="198">
        <f t="shared" si="17"/>
        <v>820.63651416276116</v>
      </c>
      <c r="BB33" s="199">
        <f t="shared" si="17"/>
        <v>842.82280896424083</v>
      </c>
      <c r="BC33" s="199">
        <f t="shared" si="17"/>
        <v>894.74968979998539</v>
      </c>
      <c r="BD33" s="199">
        <f t="shared" si="17"/>
        <v>907.73141000892167</v>
      </c>
      <c r="BE33" s="147">
        <f t="shared" si="17"/>
        <v>842.82280896424083</v>
      </c>
      <c r="BF33" s="200">
        <f t="shared" si="17"/>
        <v>717</v>
      </c>
      <c r="BG33" s="201">
        <f>BF33-BE33</f>
        <v>-125.82280896424083</v>
      </c>
      <c r="BH33" s="202">
        <f>BG33/BE33</f>
        <v>-0.14928738001154312</v>
      </c>
    </row>
    <row r="35" spans="19:70" x14ac:dyDescent="0.35">
      <c r="AE35" s="109">
        <f>'Giá mua Chai-Vảy'!O40</f>
        <v>12550</v>
      </c>
      <c r="AI35" s="133">
        <v>0</v>
      </c>
      <c r="AJ35" s="195">
        <v>2177.9526141097858</v>
      </c>
      <c r="AL35" s="275">
        <v>1250</v>
      </c>
    </row>
    <row r="36" spans="19:70" x14ac:dyDescent="0.35">
      <c r="T36" s="119" t="s">
        <v>446</v>
      </c>
      <c r="AG36" s="126">
        <v>0.01</v>
      </c>
      <c r="AH36" s="121"/>
      <c r="AI36"/>
      <c r="AJ36"/>
    </row>
    <row r="37" spans="19: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AI$35+AH37</f>
        <v>12550</v>
      </c>
      <c r="AJ37" s="194">
        <f>AJ$35+AI37</f>
        <v>14727.952614109785</v>
      </c>
      <c r="AK37" s="175">
        <f t="shared" ref="AK37" si="18">AK$1+$V$3</f>
        <v>21746.867625313171</v>
      </c>
      <c r="AL37" s="322">
        <f>AL$1+AK37*$AK$2+AJ37*$AJ$2</f>
        <v>16728.892018839757</v>
      </c>
      <c r="AM37" s="172">
        <f>AL37+$AM$1</f>
        <v>18104.954360986987</v>
      </c>
      <c r="AN37" s="172">
        <f>AL37+$AN$1</f>
        <v>18448.969946523794</v>
      </c>
      <c r="AO37" s="323">
        <f>AL37</f>
        <v>16728.892018839757</v>
      </c>
      <c r="AP37" s="130">
        <f>$AP$4*AQ37/1000</f>
        <v>19000.5</v>
      </c>
      <c r="AQ37" s="130">
        <v>717</v>
      </c>
      <c r="AR37" s="130">
        <f>AP37-AO37</f>
        <v>2271.6079811602431</v>
      </c>
      <c r="AS37" s="153">
        <f>AR37/AP37</f>
        <v>0.11955516860925992</v>
      </c>
      <c r="AU37" s="109">
        <f t="shared" ref="AU37" si="19">AH37/$AP$4*1.1*1000</f>
        <v>520.94339622641519</v>
      </c>
      <c r="AX37" s="147">
        <f t="shared" ref="AX37:BF37" si="20">AH37/$AP$4*1000</f>
        <v>473.58490566037739</v>
      </c>
      <c r="AY37" s="198">
        <f t="shared" si="20"/>
        <v>473.58490566037739</v>
      </c>
      <c r="AZ37" s="198">
        <f t="shared" si="20"/>
        <v>555.77179675885975</v>
      </c>
      <c r="BA37" s="198">
        <f t="shared" si="20"/>
        <v>820.63651416276116</v>
      </c>
      <c r="BB37" s="199">
        <f t="shared" si="20"/>
        <v>631.27894410716067</v>
      </c>
      <c r="BC37" s="199">
        <f t="shared" si="20"/>
        <v>683.20582494290511</v>
      </c>
      <c r="BD37" s="199">
        <f t="shared" si="20"/>
        <v>696.18754515184128</v>
      </c>
      <c r="BE37" s="147">
        <f t="shared" si="20"/>
        <v>631.27894410716067</v>
      </c>
      <c r="BF37" s="200">
        <f t="shared" si="20"/>
        <v>717</v>
      </c>
      <c r="BG37" s="201">
        <f>BF37-BE37</f>
        <v>85.721055892839331</v>
      </c>
      <c r="BH37" s="202">
        <f>BG37/BE37</f>
        <v>0.13578950588012648</v>
      </c>
      <c r="BJ37" s="109">
        <f>'Hảo_R&amp;D (Hạt) (full stage)-Chai'!BE37</f>
        <v>631.27894410716067</v>
      </c>
      <c r="BK37" s="109">
        <f>'Hảo_R&amp;D (Hạt) (full stage)-MN'!BE37</f>
        <v>948.07054234680652</v>
      </c>
      <c r="BL37" s="109">
        <f>BE37</f>
        <v>631.27894410716067</v>
      </c>
      <c r="BM37" s="130">
        <f>BJ37-BK37</f>
        <v>-316.79159823964585</v>
      </c>
      <c r="BO37" s="109">
        <f>'Hảo_R&amp;D (Hạt) (full stage)-Chai'!AO37</f>
        <v>16728.892018839757</v>
      </c>
      <c r="BP37" s="109">
        <f>'Hảo_R&amp;D (Hạt) (full stage)-MN'!AO37</f>
        <v>25123.869372190373</v>
      </c>
      <c r="BQ37" s="109">
        <f>AO37</f>
        <v>16728.892018839757</v>
      </c>
      <c r="BR37" s="130">
        <f>BO37-BP37</f>
        <v>-8394.9773533506159</v>
      </c>
    </row>
    <row r="41" spans="19:70" x14ac:dyDescent="0.35">
      <c r="T41" s="117" t="s">
        <v>373</v>
      </c>
      <c r="U41" s="118">
        <v>1</v>
      </c>
      <c r="V41" s="134">
        <f>U41*$U$3</f>
        <v>19027.282665358136</v>
      </c>
      <c r="W41" s="118"/>
      <c r="X41" s="134">
        <f>W41*$W$3</f>
        <v>0</v>
      </c>
      <c r="Y41" s="261"/>
      <c r="Z41" s="263">
        <f>Y41*$Y$3</f>
        <v>0</v>
      </c>
      <c r="AA41" s="261"/>
      <c r="AB41" s="263">
        <f>AA41*$AA$3</f>
        <v>0</v>
      </c>
      <c r="AC41" s="117"/>
      <c r="AD41" s="117">
        <f>AC41*$AC$3</f>
        <v>0</v>
      </c>
      <c r="AE41" s="117"/>
      <c r="AF41" s="117">
        <f>AE41*$AE$3</f>
        <v>0</v>
      </c>
      <c r="AG41" s="122">
        <f t="shared" ref="AG41:AH43" si="21">U41+W41+Y41+AA41+AC41+AE41</f>
        <v>1</v>
      </c>
      <c r="AH41" s="177">
        <f t="shared" si="21"/>
        <v>19027.282665358136</v>
      </c>
      <c r="AI41" s="175">
        <f t="shared" ref="AI41:AJ43" si="22">AI$1+AH41</f>
        <v>20892.23264823942</v>
      </c>
      <c r="AJ41" s="264">
        <f t="shared" si="22"/>
        <v>22166.088498048157</v>
      </c>
      <c r="AK41" s="175">
        <f t="shared" ref="AK41:AK43" si="23">AK$1+$V$3</f>
        <v>21746.867625313171</v>
      </c>
      <c r="AL41" s="172">
        <f>+AJ41</f>
        <v>22166.088498048157</v>
      </c>
      <c r="AM41" s="172">
        <f>AL41</f>
        <v>22166.088498048157</v>
      </c>
      <c r="AN41" s="172">
        <f>AM41</f>
        <v>22166.088498048157</v>
      </c>
      <c r="AO41" s="175">
        <f>AM41</f>
        <v>22166.088498048157</v>
      </c>
      <c r="AP41" s="130">
        <f>$AP$4*AQ41/1000</f>
        <v>25970</v>
      </c>
      <c r="AQ41" s="267">
        <v>980</v>
      </c>
      <c r="AR41" s="130">
        <f>AP41-AO41</f>
        <v>3803.9115019518431</v>
      </c>
      <c r="AS41" s="153">
        <f>AR41/AP41</f>
        <v>0.14647329618605479</v>
      </c>
      <c r="AU41" s="109">
        <f>AH41/$AP$4*1.1*1000</f>
        <v>789.81173327901706</v>
      </c>
      <c r="AX41" s="147">
        <f t="shared" ref="AX41:BF43" si="24">AH41/$AP$4*1000</f>
        <v>718.01066661728817</v>
      </c>
      <c r="AY41" s="198">
        <f t="shared" si="24"/>
        <v>788.38613766941216</v>
      </c>
      <c r="AZ41" s="198">
        <f t="shared" si="24"/>
        <v>836.4561697376663</v>
      </c>
      <c r="BA41" s="198">
        <f t="shared" si="24"/>
        <v>820.63651416276116</v>
      </c>
      <c r="BB41" s="199">
        <f t="shared" si="24"/>
        <v>836.4561697376663</v>
      </c>
      <c r="BC41" s="199">
        <f t="shared" si="24"/>
        <v>836.4561697376663</v>
      </c>
      <c r="BD41" s="199">
        <f t="shared" si="24"/>
        <v>836.4561697376663</v>
      </c>
      <c r="BE41" s="147">
        <f t="shared" si="24"/>
        <v>836.4561697376663</v>
      </c>
      <c r="BF41" s="200">
        <f t="shared" si="24"/>
        <v>980</v>
      </c>
      <c r="BG41" s="201">
        <f>BF41-BE41</f>
        <v>143.5438302623337</v>
      </c>
      <c r="BH41" s="202">
        <f>BG41/BE41</f>
        <v>0.17160950621878091</v>
      </c>
    </row>
    <row r="42" spans="19:70" x14ac:dyDescent="0.35">
      <c r="S42" s="195">
        <v>1182</v>
      </c>
      <c r="T42" s="180" t="s">
        <v>545</v>
      </c>
      <c r="U42" s="118">
        <v>1</v>
      </c>
      <c r="V42" s="134">
        <f>U42*$U$3</f>
        <v>19027.282665358136</v>
      </c>
      <c r="W42" s="117"/>
      <c r="X42" s="134">
        <f>W42*$W$3</f>
        <v>0</v>
      </c>
      <c r="Y42" s="117"/>
      <c r="Z42" s="134">
        <f>Y42*$Y$3</f>
        <v>0</v>
      </c>
      <c r="AA42" s="118"/>
      <c r="AB42" s="134">
        <f>AA42*$AA$3</f>
        <v>0</v>
      </c>
      <c r="AC42" s="117"/>
      <c r="AD42" s="134">
        <f>AC42*$AC$3</f>
        <v>0</v>
      </c>
      <c r="AE42" s="117"/>
      <c r="AF42" s="117">
        <f>AE42*$AE$3</f>
        <v>0</v>
      </c>
      <c r="AG42" s="122">
        <f t="shared" si="21"/>
        <v>1</v>
      </c>
      <c r="AH42" s="177">
        <f t="shared" si="21"/>
        <v>19027.282665358136</v>
      </c>
      <c r="AI42" s="175">
        <f t="shared" si="22"/>
        <v>20892.23264823942</v>
      </c>
      <c r="AJ42" s="194">
        <f t="shared" si="22"/>
        <v>22166.088498048157</v>
      </c>
      <c r="AK42" s="175">
        <f t="shared" si="23"/>
        <v>21746.867625313171</v>
      </c>
      <c r="AL42" s="322">
        <f>AL$1+AJ42</f>
        <v>24167.027902778129</v>
      </c>
      <c r="AM42" s="172">
        <f>AL42+$AM$1</f>
        <v>25543.090244925359</v>
      </c>
      <c r="AN42" s="172">
        <f>AL42+$AN$1</f>
        <v>25887.105830462169</v>
      </c>
      <c r="AO42" s="323">
        <f>AL42</f>
        <v>24167.027902778129</v>
      </c>
      <c r="AP42" s="130">
        <f>$AP$4*AQ42/1000</f>
        <v>26500</v>
      </c>
      <c r="AQ42" s="130">
        <v>1000</v>
      </c>
      <c r="AR42" s="183">
        <f>AP42-AO42</f>
        <v>2332.9720972218711</v>
      </c>
      <c r="AS42" s="157">
        <f>AR42/AP42</f>
        <v>8.8036682914032868E-2</v>
      </c>
      <c r="AU42" s="109">
        <f t="shared" ref="AU42:AU43" si="25">AH42/$AP$4*1.1*1000</f>
        <v>789.81173327901706</v>
      </c>
      <c r="AX42" s="147">
        <f t="shared" si="24"/>
        <v>718.01066661728817</v>
      </c>
      <c r="AY42" s="198">
        <f t="shared" si="24"/>
        <v>788.38613766941216</v>
      </c>
      <c r="AZ42" s="198">
        <f t="shared" si="24"/>
        <v>836.4561697376663</v>
      </c>
      <c r="BA42" s="198">
        <f t="shared" si="24"/>
        <v>820.63651416276116</v>
      </c>
      <c r="BB42" s="199">
        <f t="shared" si="24"/>
        <v>911.96331708596711</v>
      </c>
      <c r="BC42" s="199">
        <f t="shared" si="24"/>
        <v>963.89019792171166</v>
      </c>
      <c r="BD42" s="199">
        <f t="shared" si="24"/>
        <v>976.87191813064794</v>
      </c>
      <c r="BE42" s="147">
        <f t="shared" si="24"/>
        <v>911.96331708596711</v>
      </c>
      <c r="BF42" s="200">
        <f t="shared" si="24"/>
        <v>1000</v>
      </c>
      <c r="BG42" s="201">
        <f>BF42-BE42</f>
        <v>88.036682914032895</v>
      </c>
      <c r="BH42" s="202">
        <f>BG42/BE42</f>
        <v>9.6535333455450859E-2</v>
      </c>
      <c r="BK42" s="179" t="s">
        <v>460</v>
      </c>
      <c r="BL42" t="s">
        <v>459</v>
      </c>
      <c r="BM42" s="181" t="s">
        <v>461</v>
      </c>
    </row>
    <row r="43" spans="19:70" x14ac:dyDescent="0.35">
      <c r="S43" s="195">
        <v>1120</v>
      </c>
      <c r="T43" s="180" t="s">
        <v>546</v>
      </c>
      <c r="U43" s="118">
        <v>1</v>
      </c>
      <c r="V43" s="134">
        <f>U43*$U$3</f>
        <v>19027.282665358136</v>
      </c>
      <c r="W43" s="117"/>
      <c r="X43" s="134">
        <f>W43*$W$3</f>
        <v>0</v>
      </c>
      <c r="Y43" s="117"/>
      <c r="Z43" s="134">
        <f>Y43*$Y$3</f>
        <v>0</v>
      </c>
      <c r="AA43" s="118"/>
      <c r="AB43" s="134">
        <f>AA43*$AA$3</f>
        <v>0</v>
      </c>
      <c r="AC43" s="117"/>
      <c r="AD43" s="134">
        <f>AC43*$AC$3</f>
        <v>0</v>
      </c>
      <c r="AE43" s="117"/>
      <c r="AF43" s="117">
        <f>AE43*$AE$3</f>
        <v>0</v>
      </c>
      <c r="AG43" s="122">
        <f t="shared" si="21"/>
        <v>1</v>
      </c>
      <c r="AH43" s="177">
        <f t="shared" si="21"/>
        <v>19027.282665358136</v>
      </c>
      <c r="AI43" s="175">
        <f t="shared" si="22"/>
        <v>20892.23264823942</v>
      </c>
      <c r="AJ43" s="194">
        <f t="shared" si="22"/>
        <v>22166.088498048157</v>
      </c>
      <c r="AK43" s="175">
        <f t="shared" si="23"/>
        <v>21746.867625313171</v>
      </c>
      <c r="AL43" s="322">
        <f>AL$1+AJ43</f>
        <v>24167.027902778129</v>
      </c>
      <c r="AM43" s="172">
        <f>AL43+$AM$1</f>
        <v>25543.090244925359</v>
      </c>
      <c r="AN43" s="172">
        <f>AL43+$AN$1</f>
        <v>25887.105830462169</v>
      </c>
      <c r="AO43" s="323">
        <f>AL43</f>
        <v>24167.027902778129</v>
      </c>
      <c r="AP43" s="130">
        <f>$AP$4*AQ43/1000</f>
        <v>25175</v>
      </c>
      <c r="AQ43" s="130">
        <v>950</v>
      </c>
      <c r="AR43" s="183">
        <f>AP43-AO43</f>
        <v>1007.9720972218711</v>
      </c>
      <c r="AS43" s="157">
        <f>AR43/AP43</f>
        <v>4.0038613593718811E-2</v>
      </c>
      <c r="AU43" s="109">
        <f t="shared" si="25"/>
        <v>789.81173327901706</v>
      </c>
      <c r="AX43" s="147">
        <f t="shared" si="24"/>
        <v>718.01066661728817</v>
      </c>
      <c r="AY43" s="198">
        <f t="shared" si="24"/>
        <v>788.38613766941216</v>
      </c>
      <c r="AZ43" s="198">
        <f t="shared" si="24"/>
        <v>836.4561697376663</v>
      </c>
      <c r="BA43" s="198">
        <f t="shared" si="24"/>
        <v>820.63651416276116</v>
      </c>
      <c r="BB43" s="199">
        <f t="shared" si="24"/>
        <v>911.96331708596711</v>
      </c>
      <c r="BC43" s="199">
        <f t="shared" si="24"/>
        <v>963.89019792171166</v>
      </c>
      <c r="BD43" s="199">
        <f t="shared" si="24"/>
        <v>976.87191813064794</v>
      </c>
      <c r="BE43" s="147">
        <f t="shared" si="24"/>
        <v>911.96331708596711</v>
      </c>
      <c r="BF43" s="200">
        <f t="shared" si="24"/>
        <v>950</v>
      </c>
      <c r="BG43" s="201">
        <f>BF43-BE43</f>
        <v>38.036682914032895</v>
      </c>
      <c r="BH43" s="202">
        <f>BG43/BE43</f>
        <v>4.1708566782678314E-2</v>
      </c>
      <c r="BK43" s="179" t="s">
        <v>460</v>
      </c>
      <c r="BL43" t="s">
        <v>459</v>
      </c>
      <c r="BM43" s="181" t="s">
        <v>461</v>
      </c>
    </row>
    <row r="44" spans="19:70" x14ac:dyDescent="0.35">
      <c r="S44" s="185">
        <f>S42/S43</f>
        <v>1.0553571428571429</v>
      </c>
      <c r="AJ44" s="195">
        <v>22626</v>
      </c>
    </row>
    <row r="45" spans="19:70" x14ac:dyDescent="0.35">
      <c r="AJ45" s="195">
        <v>22491</v>
      </c>
    </row>
    <row r="46" spans="19:70" x14ac:dyDescent="0.35">
      <c r="AJ46" s="338">
        <f>AJ44-AJ42</f>
        <v>459.91150195184309</v>
      </c>
    </row>
    <row r="47" spans="19:70" x14ac:dyDescent="0.35">
      <c r="AJ47" s="338">
        <f>AJ45-AJ43</f>
        <v>324.91150195184309</v>
      </c>
    </row>
    <row r="48" spans="19:70" x14ac:dyDescent="0.35">
      <c r="AJ48" s="266">
        <f>AJ44/AJ42</f>
        <v>1.0207484284831012</v>
      </c>
    </row>
    <row r="49" spans="36:36" x14ac:dyDescent="0.35">
      <c r="AJ49" s="266">
        <f>AJ45/AJ43</f>
        <v>1.0146580440649442</v>
      </c>
    </row>
  </sheetData>
  <mergeCells count="2">
    <mergeCell ref="AG3:AH3"/>
    <mergeCell ref="AW3:AX3"/>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4A39-4EC2-4FB9-9E8E-953B89B207A3}">
  <sheetPr>
    <tabColor rgb="FF0000FF"/>
  </sheetPr>
  <dimension ref="B1:BR37"/>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AK7" sqref="AK7"/>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7" width="10.1796875" style="133" customWidth="1"/>
    <col min="38" max="40" width="10.1796875" style="121" customWidth="1"/>
    <col min="41" max="41" width="10.1796875" style="133" customWidth="1"/>
    <col min="42" max="42" width="11.81640625" bestFit="1" customWidth="1"/>
    <col min="43" max="43" width="7" bestFit="1" customWidth="1"/>
    <col min="44" max="44" width="7.7265625" bestFit="1" customWidth="1"/>
    <col min="45" max="45" width="7.26953125" customWidth="1"/>
    <col min="47" max="47" width="9.1796875" bestFit="1" customWidth="1"/>
    <col min="48" max="48" width="5.90625" customWidth="1"/>
    <col min="49" max="49" width="7.54296875" customWidth="1"/>
    <col min="50" max="50" width="5.453125" bestFit="1" customWidth="1"/>
    <col min="51" max="52" width="8.81640625" bestFit="1" customWidth="1"/>
    <col min="53" max="53" width="10.54296875" customWidth="1"/>
    <col min="54" max="54" width="9.26953125" bestFit="1" customWidth="1"/>
    <col min="55" max="55" width="10.36328125" customWidth="1"/>
    <col min="56" max="56" width="9.7265625" bestFit="1" customWidth="1"/>
    <col min="57" max="57" width="8.81640625" bestFit="1" customWidth="1"/>
    <col min="58" max="58" width="10.453125" bestFit="1" customWidth="1"/>
    <col min="59" max="59" width="6.90625" customWidth="1"/>
    <col min="60" max="60" width="8" customWidth="1"/>
  </cols>
  <sheetData>
    <row r="1" spans="2:63" ht="20.5" customHeight="1"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'[8]16.1 Rửa vảy B7'!$I$10</f>
        <v>84.555434657824762</v>
      </c>
      <c r="AE1" s="109">
        <f>'Hảo_R&amp;D'!AU1</f>
        <v>13300</v>
      </c>
      <c r="AI1" s="193">
        <f>'H_Tỷ lệ HH&amp;PS'!BW6</f>
        <v>1864.9499828812825</v>
      </c>
      <c r="AJ1" s="170">
        <f>'H_Tỷ lệ HH&amp;PS'!BX6</f>
        <v>1273.8558498087386</v>
      </c>
      <c r="AK1" s="170">
        <f>'[8]12. 100% vảy-&gt;hạt WSS01-iSS01'!$I$10</f>
        <v>1636.9775154230633</v>
      </c>
      <c r="AL1" s="176">
        <f>'H_Tỷ lệ HH&amp;PS'!BY6</f>
        <v>2000.939404729972</v>
      </c>
      <c r="AM1" s="176">
        <f>'H_Tỷ lệ HH&amp;PS'!BZ6</f>
        <v>1376.0623421472308</v>
      </c>
      <c r="AN1" s="176">
        <f>'[8]11. 100% chai-&gt;hạt iSS01084G'!$I$83</f>
        <v>2331.8861025668875</v>
      </c>
      <c r="AO1" s="195">
        <f>AM1/8</f>
        <v>172.00779276840385</v>
      </c>
      <c r="AP1" s="109">
        <f>AN1/10</f>
        <v>233.18861025668875</v>
      </c>
    </row>
    <row r="2" spans="2:63" ht="21" customHeight="1" x14ac:dyDescent="0.35">
      <c r="B2" s="114" t="s">
        <v>365</v>
      </c>
      <c r="T2" s="162" t="s">
        <v>634</v>
      </c>
      <c r="U2" s="157">
        <f>'Hảo_R&amp;D'!AK2</f>
        <v>0.77783045852077959</v>
      </c>
      <c r="V2" s="396">
        <v>0.91</v>
      </c>
      <c r="W2" s="283">
        <f>'Hảo_R&amp;D'!AM2</f>
        <v>0.8081674874213195</v>
      </c>
      <c r="X2" s="132">
        <f>'[8]12. 100% vảy-&gt;hạt WSS01-iSS01'!$I$10</f>
        <v>1636.9775154230633</v>
      </c>
      <c r="Y2" s="157">
        <f>'Hảo_R&amp;D'!AO2</f>
        <v>0.85501479000000002</v>
      </c>
      <c r="AA2" s="157">
        <f>'Hảo_R&amp;D'!AQ2</f>
        <v>0.85501479000000002</v>
      </c>
      <c r="AE2" s="157">
        <f>'Hảo_R&amp;D'!AU2</f>
        <v>0.773478</v>
      </c>
      <c r="AG2" s="120" t="s">
        <v>470</v>
      </c>
      <c r="AJ2" s="204"/>
      <c r="AK2" s="258">
        <v>1</v>
      </c>
      <c r="AL2" s="196">
        <f>AL1*1000/$AP$4</f>
        <v>75.507147348300833</v>
      </c>
      <c r="AM2" s="196">
        <f>AM1*1000/$AP$4</f>
        <v>51.926880835744562</v>
      </c>
      <c r="AN2" s="196">
        <f>AN1*1000/$AP$4</f>
        <v>87.995701983656133</v>
      </c>
    </row>
    <row r="3" spans="2:63" ht="43.5" x14ac:dyDescent="0.35">
      <c r="T3" s="162" t="s">
        <v>448</v>
      </c>
      <c r="U3" s="169">
        <f>U1/U2</f>
        <v>19027.282665358136</v>
      </c>
      <c r="V3" s="397">
        <f>V1/V2</f>
        <v>20109.890109890108</v>
      </c>
      <c r="W3" s="131">
        <f>W1/W2</f>
        <v>20169.086549138014</v>
      </c>
      <c r="X3" s="170">
        <f>'[8]10. 100% chai-&gt;hạt WSS01-iSS01'!$I$21+'[8]10. 100% chai-&gt;hạt WSS01-iSS01'!$I$37</f>
        <v>4716.6433044810765</v>
      </c>
      <c r="Y3" s="169">
        <f>Y1/Y2</f>
        <v>17309.642094027404</v>
      </c>
      <c r="Z3" s="132"/>
      <c r="AA3" s="169">
        <f>AA1/AA2</f>
        <v>15555.28647638949</v>
      </c>
      <c r="AB3" s="132"/>
      <c r="AC3" s="169">
        <f>'[8]16.1 Rửa vảy B7'!$I$48</f>
        <v>14341.250211551116</v>
      </c>
      <c r="AD3" s="109"/>
      <c r="AE3" s="169">
        <f>AE1/AE2</f>
        <v>17195.059200132389</v>
      </c>
      <c r="AG3" s="1146" t="s">
        <v>632</v>
      </c>
      <c r="AH3" s="1146"/>
      <c r="AI3" s="190" t="s">
        <v>467</v>
      </c>
      <c r="AJ3" s="190" t="s">
        <v>468</v>
      </c>
      <c r="AK3" s="259" t="s">
        <v>469</v>
      </c>
      <c r="AL3" s="173" t="s">
        <v>450</v>
      </c>
      <c r="AM3" s="173" t="s">
        <v>451</v>
      </c>
      <c r="AN3" s="173" t="s">
        <v>452</v>
      </c>
      <c r="AO3" s="162" t="s">
        <v>453</v>
      </c>
      <c r="AP3" s="2" t="s">
        <v>391</v>
      </c>
      <c r="AQ3" t="s">
        <v>393</v>
      </c>
      <c r="AR3" t="s">
        <v>454</v>
      </c>
      <c r="AS3" t="s">
        <v>455</v>
      </c>
      <c r="AU3" s="402" t="s">
        <v>462</v>
      </c>
      <c r="AW3" s="1146" t="s">
        <v>633</v>
      </c>
      <c r="AX3" s="1146"/>
      <c r="AY3" s="190" t="s">
        <v>467</v>
      </c>
      <c r="AZ3" s="190" t="s">
        <v>468</v>
      </c>
      <c r="BA3" s="190" t="s">
        <v>469</v>
      </c>
      <c r="BB3" s="173" t="s">
        <v>450</v>
      </c>
      <c r="BC3" s="173" t="s">
        <v>451</v>
      </c>
      <c r="BD3" s="173" t="s">
        <v>452</v>
      </c>
      <c r="BE3" s="162" t="s">
        <v>453</v>
      </c>
      <c r="BF3" s="2" t="s">
        <v>391</v>
      </c>
      <c r="BG3" s="203" t="s">
        <v>454</v>
      </c>
      <c r="BH3" s="3" t="s">
        <v>455</v>
      </c>
      <c r="BJ3" s="5" t="s">
        <v>465</v>
      </c>
      <c r="BK3" s="3" t="s">
        <v>635</v>
      </c>
    </row>
    <row r="4" spans="2:63" x14ac:dyDescent="0.35">
      <c r="T4" s="120" t="s">
        <v>366</v>
      </c>
      <c r="U4" s="115" t="s">
        <v>367</v>
      </c>
      <c r="W4" s="115" t="s">
        <v>374</v>
      </c>
      <c r="Y4" s="115" t="s">
        <v>375</v>
      </c>
      <c r="AA4" s="115" t="s">
        <v>382</v>
      </c>
      <c r="AC4" s="115" t="s">
        <v>384</v>
      </c>
      <c r="AE4" s="115" t="s">
        <v>385</v>
      </c>
      <c r="AG4" s="127" t="s">
        <v>376</v>
      </c>
      <c r="AI4" s="191"/>
      <c r="AJ4" s="191"/>
      <c r="AK4" s="191"/>
      <c r="AP4" s="129">
        <v>26500</v>
      </c>
      <c r="BG4" s="3"/>
      <c r="BH4" s="3"/>
    </row>
    <row r="5" spans="2:63"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63" x14ac:dyDescent="0.35">
      <c r="T6" s="119" t="s">
        <v>390</v>
      </c>
      <c r="AG6" s="128">
        <v>0.3</v>
      </c>
      <c r="BG6" s="3"/>
      <c r="BH6" s="3"/>
    </row>
    <row r="7" spans="2:63" x14ac:dyDescent="0.35">
      <c r="T7" s="117" t="s">
        <v>368</v>
      </c>
      <c r="U7" s="118">
        <v>0.1</v>
      </c>
      <c r="V7" s="134">
        <f>U7*$U$3</f>
        <v>1902.7282665358136</v>
      </c>
      <c r="W7" s="118">
        <v>0.9</v>
      </c>
      <c r="X7" s="134">
        <f>W7*$V$3</f>
        <v>18098.901098901097</v>
      </c>
      <c r="Y7" s="117"/>
      <c r="Z7" s="134">
        <f>Y7*$Y$3</f>
        <v>0</v>
      </c>
      <c r="AA7" s="117"/>
      <c r="AB7" s="117">
        <f>AA7*$AA$3</f>
        <v>0</v>
      </c>
      <c r="AC7" s="117"/>
      <c r="AD7" s="117">
        <f>AC7*$AC$3</f>
        <v>0</v>
      </c>
      <c r="AE7" s="117"/>
      <c r="AF7" s="117">
        <f>AE7*$AE$3</f>
        <v>0</v>
      </c>
      <c r="AG7" s="122">
        <f t="shared" ref="AG7:AH11" si="0">U7+W7+Y7+AA7+AC7+AE7</f>
        <v>1</v>
      </c>
      <c r="AH7" s="177">
        <f>V7+X7+Z7+AB7+AD7+AF7</f>
        <v>20001.629365436911</v>
      </c>
      <c r="AI7" s="175">
        <f>AI$1+AH7</f>
        <v>21866.579348318195</v>
      </c>
      <c r="AJ7" s="194">
        <f>AJ$1+AI7</f>
        <v>23140.435198126936</v>
      </c>
      <c r="AK7" s="175">
        <f>AK$1+$V$3</f>
        <v>21746.867625313171</v>
      </c>
      <c r="AL7" s="172">
        <f>AL$1+AK7</f>
        <v>23747.807030043143</v>
      </c>
      <c r="AM7" s="172">
        <f>AL7+$AM$1</f>
        <v>25123.869372190373</v>
      </c>
      <c r="AN7" s="172">
        <f>AL7+$AN$1</f>
        <v>26079.693132610031</v>
      </c>
      <c r="AO7" s="175">
        <f>AM7</f>
        <v>25123.869372190373</v>
      </c>
      <c r="AP7" s="130">
        <f>$AP$4*AQ7/1000</f>
        <v>30740</v>
      </c>
      <c r="AQ7" s="109">
        <v>1160</v>
      </c>
      <c r="AR7" s="130">
        <f>AP7-AO7</f>
        <v>5616.1306278096272</v>
      </c>
      <c r="AS7" s="153">
        <f>AR7/AP7</f>
        <v>0.1826978083217185</v>
      </c>
      <c r="AU7" s="109">
        <f>AH7/$AP$4*1000</f>
        <v>754.77846662026082</v>
      </c>
      <c r="AX7" s="147">
        <f>AH7/$AP$4*1000</f>
        <v>754.77846662026082</v>
      </c>
      <c r="AY7" s="198">
        <f t="shared" ref="AY7:BF11" si="1">AI7/$AP$4*1000</f>
        <v>825.15393767238481</v>
      </c>
      <c r="AZ7" s="198">
        <f t="shared" si="1"/>
        <v>873.22396974063906</v>
      </c>
      <c r="BA7" s="198">
        <f t="shared" si="1"/>
        <v>820.63651416276116</v>
      </c>
      <c r="BB7" s="199">
        <f t="shared" si="1"/>
        <v>896.14366151106196</v>
      </c>
      <c r="BC7" s="199">
        <f t="shared" si="1"/>
        <v>948.07054234680652</v>
      </c>
      <c r="BD7" s="199">
        <f t="shared" si="1"/>
        <v>984.13936349471817</v>
      </c>
      <c r="BE7" s="147">
        <f t="shared" si="1"/>
        <v>948.07054234680652</v>
      </c>
      <c r="BF7" s="200">
        <f t="shared" si="1"/>
        <v>1160</v>
      </c>
      <c r="BG7" s="201">
        <f>BF7-BE7</f>
        <v>211.92945765319348</v>
      </c>
      <c r="BH7" s="202">
        <f>BG7/BE7</f>
        <v>0.22353764639558768</v>
      </c>
      <c r="BJ7">
        <v>140</v>
      </c>
      <c r="BK7" s="130">
        <f>BE7+BJ7</f>
        <v>1088.0705423468066</v>
      </c>
    </row>
    <row r="8" spans="2:63" x14ac:dyDescent="0.35">
      <c r="T8" s="117" t="s">
        <v>369</v>
      </c>
      <c r="U8" s="125">
        <v>0.3</v>
      </c>
      <c r="V8" s="134">
        <f>U8*$U$3</f>
        <v>5708.1847996074403</v>
      </c>
      <c r="W8" s="125">
        <v>0.7</v>
      </c>
      <c r="X8" s="134">
        <f>W8*$V$3</f>
        <v>14076.923076923074</v>
      </c>
      <c r="Y8" s="117"/>
      <c r="Z8" s="134">
        <f>Y8*$Y$3</f>
        <v>0</v>
      </c>
      <c r="AA8" s="117"/>
      <c r="AB8" s="117">
        <f>AA8*$AA$3</f>
        <v>0</v>
      </c>
      <c r="AC8" s="117"/>
      <c r="AD8" s="117">
        <f>AC8*$AC$3</f>
        <v>0</v>
      </c>
      <c r="AE8" s="117"/>
      <c r="AF8" s="117">
        <f>AE8*$AE$3</f>
        <v>0</v>
      </c>
      <c r="AG8" s="124">
        <f t="shared" si="0"/>
        <v>1</v>
      </c>
      <c r="AH8" s="177">
        <f t="shared" si="0"/>
        <v>19785.107876530514</v>
      </c>
      <c r="AI8" s="175">
        <f t="shared" ref="AI8:AL11" si="2">AI$1+AH8</f>
        <v>21650.057859411798</v>
      </c>
      <c r="AJ8" s="194">
        <f t="shared" si="2"/>
        <v>22923.913709220535</v>
      </c>
      <c r="AK8" s="175">
        <f t="shared" ref="AK8:AK11" si="3">AK$1+$V$3</f>
        <v>21746.867625313171</v>
      </c>
      <c r="AL8" s="172">
        <f t="shared" si="2"/>
        <v>23747.807030043143</v>
      </c>
      <c r="AM8" s="172">
        <f>AL8+$AM$1</f>
        <v>25123.869372190373</v>
      </c>
      <c r="AN8" s="172">
        <f>AL8+$AN$1</f>
        <v>26079.693132610031</v>
      </c>
      <c r="AO8" s="175">
        <f>AM8</f>
        <v>25123.869372190373</v>
      </c>
      <c r="AP8" s="130">
        <f>$AP$4*AQ8/1000</f>
        <v>31535</v>
      </c>
      <c r="AQ8" s="130">
        <f>AQ7+30</f>
        <v>1190</v>
      </c>
      <c r="AR8" s="130">
        <f>AP8-AO8</f>
        <v>6411.1306278096272</v>
      </c>
      <c r="AS8" s="153">
        <f>AR8/AP8</f>
        <v>0.20330206525478445</v>
      </c>
      <c r="AU8" s="109">
        <f>AH8/$AP$4*1000</f>
        <v>746.6078443973779</v>
      </c>
      <c r="AX8" s="147">
        <f>AH8/$AP$4*1000</f>
        <v>746.6078443973779</v>
      </c>
      <c r="AY8" s="198">
        <f t="shared" si="1"/>
        <v>816.98331544950179</v>
      </c>
      <c r="AZ8" s="198">
        <f t="shared" si="1"/>
        <v>865.05334751775592</v>
      </c>
      <c r="BA8" s="198">
        <f t="shared" si="1"/>
        <v>820.63651416276116</v>
      </c>
      <c r="BB8" s="199">
        <f t="shared" si="1"/>
        <v>896.14366151106196</v>
      </c>
      <c r="BC8" s="199">
        <f t="shared" si="1"/>
        <v>948.07054234680652</v>
      </c>
      <c r="BD8" s="199">
        <f t="shared" si="1"/>
        <v>984.13936349471817</v>
      </c>
      <c r="BE8" s="147">
        <f t="shared" si="1"/>
        <v>948.07054234680652</v>
      </c>
      <c r="BF8" s="200">
        <f t="shared" si="1"/>
        <v>1190</v>
      </c>
      <c r="BG8" s="201">
        <f>BF8-BE8</f>
        <v>241.92945765319348</v>
      </c>
      <c r="BH8" s="202">
        <f>BG8/BE8</f>
        <v>0.25518086138857704</v>
      </c>
    </row>
    <row r="9" spans="2:63" x14ac:dyDescent="0.35">
      <c r="T9" s="117" t="s">
        <v>370</v>
      </c>
      <c r="U9" s="118">
        <v>0.55000000000000004</v>
      </c>
      <c r="V9" s="134">
        <f>U9*$U$3</f>
        <v>10465.005465946975</v>
      </c>
      <c r="W9" s="118">
        <v>0.3</v>
      </c>
      <c r="X9" s="134">
        <f t="shared" ref="X9" si="4">W9*$V$3</f>
        <v>6032.9670329670325</v>
      </c>
      <c r="Y9" s="118">
        <v>0.15</v>
      </c>
      <c r="Z9" s="134">
        <f>Y9*$Y$3</f>
        <v>2596.4463141041106</v>
      </c>
      <c r="AA9" s="117"/>
      <c r="AB9" s="117">
        <f>AA9*$AA$3</f>
        <v>0</v>
      </c>
      <c r="AC9" s="117"/>
      <c r="AD9" s="117">
        <f>AC9*$AC$3</f>
        <v>0</v>
      </c>
      <c r="AE9" s="117"/>
      <c r="AF9" s="117">
        <f>AE9*$AE$3</f>
        <v>0</v>
      </c>
      <c r="AG9" s="122">
        <f t="shared" si="0"/>
        <v>1</v>
      </c>
      <c r="AH9" s="177">
        <f t="shared" si="0"/>
        <v>19094.418813018121</v>
      </c>
      <c r="AI9" s="175">
        <f t="shared" si="2"/>
        <v>20959.368795899405</v>
      </c>
      <c r="AJ9" s="194">
        <f t="shared" si="2"/>
        <v>22233.224645708142</v>
      </c>
      <c r="AK9" s="175">
        <f t="shared" si="3"/>
        <v>21746.867625313171</v>
      </c>
      <c r="AL9" s="172">
        <f t="shared" si="2"/>
        <v>23747.807030043143</v>
      </c>
      <c r="AM9" s="172">
        <f>AL9+$AM$1</f>
        <v>25123.869372190373</v>
      </c>
      <c r="AN9" s="172">
        <f>AL9+$AN$1</f>
        <v>26079.693132610031</v>
      </c>
      <c r="AO9" s="175">
        <f>AM9</f>
        <v>25123.869372190373</v>
      </c>
      <c r="AP9" s="130">
        <f>$AP$4*AQ9/1000</f>
        <v>28885</v>
      </c>
      <c r="AQ9" s="130">
        <f>AQ7-70</f>
        <v>1090</v>
      </c>
      <c r="AR9" s="130">
        <f>AP9-AO9</f>
        <v>3761.1306278096272</v>
      </c>
      <c r="AS9" s="153">
        <f>AR9/AP9</f>
        <v>0.13021051160843439</v>
      </c>
      <c r="AU9" s="109">
        <f>AH9/$AP$4*1000</f>
        <v>720.54410615162726</v>
      </c>
      <c r="AX9" s="147">
        <f>AH9/$AP$4*1000</f>
        <v>720.54410615162726</v>
      </c>
      <c r="AY9" s="198">
        <f t="shared" si="1"/>
        <v>790.91957720375115</v>
      </c>
      <c r="AZ9" s="198">
        <f t="shared" si="1"/>
        <v>838.9896092720054</v>
      </c>
      <c r="BA9" s="198">
        <f t="shared" si="1"/>
        <v>820.63651416276116</v>
      </c>
      <c r="BB9" s="199">
        <f t="shared" si="1"/>
        <v>896.14366151106196</v>
      </c>
      <c r="BC9" s="199">
        <f t="shared" si="1"/>
        <v>948.07054234680652</v>
      </c>
      <c r="BD9" s="199">
        <f t="shared" si="1"/>
        <v>984.13936349471817</v>
      </c>
      <c r="BE9" s="147">
        <f t="shared" si="1"/>
        <v>948.07054234680652</v>
      </c>
      <c r="BF9" s="200">
        <f t="shared" si="1"/>
        <v>1090</v>
      </c>
      <c r="BG9" s="201">
        <f>BF9-BE9</f>
        <v>141.92945765319348</v>
      </c>
      <c r="BH9" s="202">
        <f>BG9/BE9</f>
        <v>0.14970347807861256</v>
      </c>
    </row>
    <row r="10" spans="2:63"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5">
        <f t="shared" si="2"/>
        <v>20718.632838790989</v>
      </c>
      <c r="AJ10" s="194">
        <f t="shared" si="2"/>
        <v>21992.488688599726</v>
      </c>
      <c r="AK10" s="175">
        <f t="shared" si="3"/>
        <v>21746.867625313171</v>
      </c>
      <c r="AL10" s="322">
        <f t="shared" si="2"/>
        <v>23747.807030043143</v>
      </c>
      <c r="AM10" s="172">
        <f>AL10+$AM$1</f>
        <v>25123.869372190373</v>
      </c>
      <c r="AN10" s="172">
        <f>AL10+$AN$1</f>
        <v>26079.693132610031</v>
      </c>
      <c r="AO10" s="323">
        <f>AL10</f>
        <v>23747.807030043143</v>
      </c>
      <c r="AP10" s="130">
        <f>$AP$4*AQ10/1000</f>
        <v>19080</v>
      </c>
      <c r="AQ10" s="130">
        <v>720</v>
      </c>
      <c r="AR10" s="183">
        <f>AP10-AO10</f>
        <v>-4667.8070300431427</v>
      </c>
      <c r="AS10" s="157">
        <f>AR10/AP10</f>
        <v>-0.24464397432091944</v>
      </c>
      <c r="AU10" s="109">
        <f>AH10/$AP$4*1000</f>
        <v>711.45973041168702</v>
      </c>
      <c r="AX10" s="147">
        <f>AH10/$AP$4*1000</f>
        <v>711.45973041168702</v>
      </c>
      <c r="AY10" s="198">
        <f t="shared" si="1"/>
        <v>781.8352014638109</v>
      </c>
      <c r="AZ10" s="198">
        <f t="shared" si="1"/>
        <v>829.90523353206515</v>
      </c>
      <c r="BA10" s="198">
        <f t="shared" si="1"/>
        <v>820.63651416276116</v>
      </c>
      <c r="BB10" s="199">
        <f t="shared" si="1"/>
        <v>896.14366151106196</v>
      </c>
      <c r="BC10" s="199">
        <f t="shared" si="1"/>
        <v>948.07054234680652</v>
      </c>
      <c r="BD10" s="199">
        <f t="shared" si="1"/>
        <v>984.13936349471817</v>
      </c>
      <c r="BE10" s="147">
        <f t="shared" si="1"/>
        <v>896.14366151106196</v>
      </c>
      <c r="BF10" s="200">
        <v>800</v>
      </c>
      <c r="BG10" s="400">
        <f>BF10-BE10</f>
        <v>-96.143661511061964</v>
      </c>
      <c r="BH10" s="401">
        <f>BG10/BE10</f>
        <v>-0.10728599178947065</v>
      </c>
    </row>
    <row r="11" spans="2:63" x14ac:dyDescent="0.35">
      <c r="T11" s="117" t="s">
        <v>373</v>
      </c>
      <c r="U11" s="118">
        <v>0.65</v>
      </c>
      <c r="V11" s="134">
        <f>U11*$U$3</f>
        <v>12367.733732482789</v>
      </c>
      <c r="W11" s="118">
        <v>0.15</v>
      </c>
      <c r="X11" s="134">
        <f>W11*$V$3</f>
        <v>3016.4835164835163</v>
      </c>
      <c r="Y11" s="261"/>
      <c r="Z11" s="263">
        <f>Y11*$Y$3</f>
        <v>0</v>
      </c>
      <c r="AA11" s="261">
        <v>0.2</v>
      </c>
      <c r="AB11" s="263">
        <f>AA11*$AA$3</f>
        <v>3111.0572952778984</v>
      </c>
      <c r="AC11" s="117"/>
      <c r="AD11" s="117">
        <f>AC11*$AC$3</f>
        <v>0</v>
      </c>
      <c r="AE11" s="117"/>
      <c r="AF11" s="117">
        <f>AE11*$AE$3</f>
        <v>0</v>
      </c>
      <c r="AG11" s="122">
        <f t="shared" si="0"/>
        <v>1</v>
      </c>
      <c r="AH11" s="177">
        <f t="shared" si="0"/>
        <v>18495.274544244203</v>
      </c>
      <c r="AI11" s="175">
        <f t="shared" si="2"/>
        <v>20360.224527125487</v>
      </c>
      <c r="AJ11" s="194">
        <f t="shared" si="2"/>
        <v>21634.080376934224</v>
      </c>
      <c r="AK11" s="323">
        <f t="shared" si="3"/>
        <v>21746.867625313171</v>
      </c>
      <c r="AL11" s="172">
        <f>+AK11</f>
        <v>21746.867625313171</v>
      </c>
      <c r="AM11" s="172">
        <f>AL11</f>
        <v>21746.867625313171</v>
      </c>
      <c r="AN11" s="172">
        <f>AM11</f>
        <v>21746.867625313171</v>
      </c>
      <c r="AO11" s="323">
        <f>AK11</f>
        <v>21746.867625313171</v>
      </c>
      <c r="AP11" s="130">
        <f>$AP$4*AQ11/1000</f>
        <v>25970</v>
      </c>
      <c r="AQ11" s="179">
        <v>980</v>
      </c>
      <c r="AR11" s="130">
        <f>AP11-AO11</f>
        <v>4223.1323746868293</v>
      </c>
      <c r="AS11" s="153">
        <f>AR11/AP11</f>
        <v>0.16261580187473351</v>
      </c>
      <c r="AU11" s="109">
        <f>AH11/$AP$4*1000</f>
        <v>697.93488846204548</v>
      </c>
      <c r="AX11" s="147">
        <f>AH11/$AP$4*1000</f>
        <v>697.93488846204548</v>
      </c>
      <c r="AY11" s="198">
        <f t="shared" si="1"/>
        <v>768.31035951416936</v>
      </c>
      <c r="AZ11" s="198">
        <f t="shared" si="1"/>
        <v>816.38039158242361</v>
      </c>
      <c r="BA11" s="198">
        <f t="shared" si="1"/>
        <v>820.63651416276116</v>
      </c>
      <c r="BB11" s="199">
        <f t="shared" si="1"/>
        <v>820.63651416276116</v>
      </c>
      <c r="BC11" s="199">
        <f t="shared" si="1"/>
        <v>820.63651416276116</v>
      </c>
      <c r="BD11" s="199">
        <f t="shared" si="1"/>
        <v>820.63651416276116</v>
      </c>
      <c r="BE11" s="147">
        <f t="shared" si="1"/>
        <v>820.63651416276116</v>
      </c>
      <c r="BF11" s="200">
        <f t="shared" si="1"/>
        <v>980</v>
      </c>
      <c r="BG11" s="201">
        <f>BF11-BE11</f>
        <v>159.36348583723884</v>
      </c>
      <c r="BH11" s="202">
        <f>BG11/BE11</f>
        <v>0.19419497315425505</v>
      </c>
    </row>
    <row r="12" spans="2:63" x14ac:dyDescent="0.35">
      <c r="AJ12" s="191"/>
    </row>
    <row r="13" spans="2:63" x14ac:dyDescent="0.35">
      <c r="AJ13" s="191"/>
    </row>
    <row r="14" spans="2:63" x14ac:dyDescent="0.35">
      <c r="T14" s="119" t="s">
        <v>387</v>
      </c>
      <c r="W14" s="116" t="s">
        <v>48</v>
      </c>
      <c r="AG14" s="126">
        <v>0.53</v>
      </c>
      <c r="AJ14" s="191"/>
    </row>
    <row r="15" spans="2:63" x14ac:dyDescent="0.35">
      <c r="T15" s="117" t="s">
        <v>377</v>
      </c>
      <c r="U15" s="117"/>
      <c r="V15" s="117">
        <f>U15*$U$3</f>
        <v>0</v>
      </c>
      <c r="W15" s="178">
        <v>1</v>
      </c>
      <c r="X15" s="134">
        <f t="shared" ref="X15:X18" si="5">W15*$V$3</f>
        <v>20109.890109890108</v>
      </c>
      <c r="Y15" s="117"/>
      <c r="Z15" s="117">
        <f>Y15*$Y$3</f>
        <v>0</v>
      </c>
      <c r="AA15" s="117"/>
      <c r="AB15" s="117">
        <f>AA15*$AA$3</f>
        <v>0</v>
      </c>
      <c r="AC15" s="117"/>
      <c r="AD15" s="117">
        <f>AC15*$AC$3</f>
        <v>0</v>
      </c>
      <c r="AE15" s="117"/>
      <c r="AF15" s="117">
        <f>AE15*$AE$3</f>
        <v>0</v>
      </c>
      <c r="AG15" s="122">
        <f t="shared" ref="AG15:AH18" si="6">U15+W15+Y15+AA15+AC15+AE15</f>
        <v>1</v>
      </c>
      <c r="AH15" s="177">
        <f t="shared" si="6"/>
        <v>20109.890109890108</v>
      </c>
      <c r="AI15" s="175">
        <f t="shared" ref="AI15:AL18" si="7">AI$1+AH15</f>
        <v>21974.840092771392</v>
      </c>
      <c r="AJ15" s="194">
        <f t="shared" si="7"/>
        <v>23248.695942580132</v>
      </c>
      <c r="AK15" s="175">
        <f t="shared" ref="AK15:AK18" si="8">AK$1+$V$3</f>
        <v>21746.867625313171</v>
      </c>
      <c r="AL15" s="172">
        <f t="shared" si="7"/>
        <v>23747.807030043143</v>
      </c>
      <c r="AM15" s="172">
        <f>AL15+$AM$1</f>
        <v>25123.869372190373</v>
      </c>
      <c r="AN15" s="172">
        <f>AL15+$AN$1</f>
        <v>26079.693132610031</v>
      </c>
      <c r="AO15" s="175">
        <f>AM15</f>
        <v>25123.869372190373</v>
      </c>
      <c r="AP15" s="130">
        <f>$AP$4*AQ15/1000</f>
        <v>30740</v>
      </c>
      <c r="AQ15" s="130">
        <f>AQ7</f>
        <v>1160</v>
      </c>
      <c r="AR15" s="130">
        <f>AP15-AO15</f>
        <v>5616.1306278096272</v>
      </c>
      <c r="AS15" s="153">
        <f>AR15/AP15</f>
        <v>0.1826978083217185</v>
      </c>
      <c r="AU15" s="109">
        <f>AH15/$AP$4*1000</f>
        <v>758.86377773170227</v>
      </c>
      <c r="AX15" s="147">
        <f t="shared" ref="AX15:BF18" si="9">AH15/$AP$4*1000</f>
        <v>758.86377773170227</v>
      </c>
      <c r="AY15" s="198">
        <f t="shared" si="9"/>
        <v>829.23924878382616</v>
      </c>
      <c r="AZ15" s="198">
        <f t="shared" si="9"/>
        <v>877.30928085208052</v>
      </c>
      <c r="BA15" s="198">
        <f t="shared" si="9"/>
        <v>820.63651416276116</v>
      </c>
      <c r="BB15" s="199">
        <f t="shared" si="9"/>
        <v>896.14366151106196</v>
      </c>
      <c r="BC15" s="199">
        <f t="shared" si="9"/>
        <v>948.07054234680652</v>
      </c>
      <c r="BD15" s="199">
        <f t="shared" si="9"/>
        <v>984.13936349471817</v>
      </c>
      <c r="BE15" s="147">
        <f t="shared" si="9"/>
        <v>948.07054234680652</v>
      </c>
      <c r="BF15" s="200">
        <f t="shared" si="9"/>
        <v>1160</v>
      </c>
      <c r="BG15" s="201">
        <f>BF15-BE15</f>
        <v>211.92945765319348</v>
      </c>
      <c r="BH15" s="202">
        <f>BG15/BE15</f>
        <v>0.22353764639558768</v>
      </c>
    </row>
    <row r="16" spans="2:63" x14ac:dyDescent="0.35">
      <c r="T16" s="117" t="s">
        <v>378</v>
      </c>
      <c r="U16" s="117"/>
      <c r="V16" s="117">
        <f>U16*$U$3</f>
        <v>0</v>
      </c>
      <c r="W16" s="178">
        <v>1</v>
      </c>
      <c r="X16" s="134">
        <f t="shared" si="5"/>
        <v>20109.890109890108</v>
      </c>
      <c r="Y16" s="117"/>
      <c r="Z16" s="117">
        <f>Y16*$Y$3</f>
        <v>0</v>
      </c>
      <c r="AA16" s="117"/>
      <c r="AB16" s="117">
        <f>AA16*$AA$3</f>
        <v>0</v>
      </c>
      <c r="AC16" s="117"/>
      <c r="AD16" s="117">
        <f>AC16*$AC$3</f>
        <v>0</v>
      </c>
      <c r="AE16" s="117"/>
      <c r="AF16" s="117">
        <f>AE16*$AE$3</f>
        <v>0</v>
      </c>
      <c r="AG16" s="122">
        <f t="shared" si="6"/>
        <v>1</v>
      </c>
      <c r="AH16" s="177">
        <f t="shared" si="6"/>
        <v>20109.890109890108</v>
      </c>
      <c r="AI16" s="175">
        <f t="shared" si="7"/>
        <v>21974.840092771392</v>
      </c>
      <c r="AJ16" s="194">
        <f t="shared" si="7"/>
        <v>23248.695942580132</v>
      </c>
      <c r="AK16" s="175">
        <f t="shared" si="8"/>
        <v>21746.867625313171</v>
      </c>
      <c r="AL16" s="172">
        <f t="shared" si="7"/>
        <v>23747.807030043143</v>
      </c>
      <c r="AM16" s="172">
        <f>AL16+$AM$1</f>
        <v>25123.869372190373</v>
      </c>
      <c r="AN16" s="172">
        <f>AL16+$AN$1</f>
        <v>26079.693132610031</v>
      </c>
      <c r="AO16" s="175">
        <f>AM16</f>
        <v>25123.869372190373</v>
      </c>
      <c r="AP16" s="130">
        <f>$AP$4*AQ16/1000</f>
        <v>31535</v>
      </c>
      <c r="AQ16" s="130">
        <f>AQ7+30</f>
        <v>1190</v>
      </c>
      <c r="AR16" s="130">
        <f>AP16-AO16</f>
        <v>6411.1306278096272</v>
      </c>
      <c r="AS16" s="153">
        <f>AR16/AP16</f>
        <v>0.20330206525478445</v>
      </c>
      <c r="AU16" s="109">
        <f>AH16/$AP$4*1000</f>
        <v>758.86377773170227</v>
      </c>
      <c r="AX16" s="147">
        <f t="shared" si="9"/>
        <v>758.86377773170227</v>
      </c>
      <c r="AY16" s="198">
        <f t="shared" si="9"/>
        <v>829.23924878382616</v>
      </c>
      <c r="AZ16" s="198">
        <f t="shared" si="9"/>
        <v>877.30928085208052</v>
      </c>
      <c r="BA16" s="198">
        <f t="shared" si="9"/>
        <v>820.63651416276116</v>
      </c>
      <c r="BB16" s="199">
        <f t="shared" si="9"/>
        <v>896.14366151106196</v>
      </c>
      <c r="BC16" s="199">
        <f t="shared" si="9"/>
        <v>948.07054234680652</v>
      </c>
      <c r="BD16" s="199">
        <f t="shared" si="9"/>
        <v>984.13936349471817</v>
      </c>
      <c r="BE16" s="147">
        <f t="shared" si="9"/>
        <v>948.07054234680652</v>
      </c>
      <c r="BF16" s="200">
        <f t="shared" si="9"/>
        <v>1190</v>
      </c>
      <c r="BG16" s="201">
        <f>BF16-BE16</f>
        <v>241.92945765319348</v>
      </c>
      <c r="BH16" s="202">
        <f>BG16/BE16</f>
        <v>0.25518086138857704</v>
      </c>
    </row>
    <row r="17" spans="20:68" x14ac:dyDescent="0.35">
      <c r="T17" s="117" t="s">
        <v>379</v>
      </c>
      <c r="U17" s="117"/>
      <c r="V17" s="117">
        <f>U17*$U$3</f>
        <v>0</v>
      </c>
      <c r="W17" s="178">
        <v>1</v>
      </c>
      <c r="X17" s="134">
        <f t="shared" si="5"/>
        <v>20109.890109890108</v>
      </c>
      <c r="Y17" s="117"/>
      <c r="Z17" s="117">
        <f>Y17*$Y$3</f>
        <v>0</v>
      </c>
      <c r="AA17" s="117"/>
      <c r="AB17" s="117">
        <f>AA17*$AA$3</f>
        <v>0</v>
      </c>
      <c r="AC17" s="117"/>
      <c r="AD17" s="117">
        <f>AC17*$AC$3</f>
        <v>0</v>
      </c>
      <c r="AE17" s="117"/>
      <c r="AF17" s="117">
        <f>AE17*$AE$3</f>
        <v>0</v>
      </c>
      <c r="AG17" s="122">
        <f t="shared" si="6"/>
        <v>1</v>
      </c>
      <c r="AH17" s="177">
        <f t="shared" si="6"/>
        <v>20109.890109890108</v>
      </c>
      <c r="AI17" s="175">
        <f t="shared" si="7"/>
        <v>21974.840092771392</v>
      </c>
      <c r="AJ17" s="194">
        <f t="shared" si="7"/>
        <v>23248.695942580132</v>
      </c>
      <c r="AK17" s="175">
        <f t="shared" si="8"/>
        <v>21746.867625313171</v>
      </c>
      <c r="AL17" s="172">
        <f t="shared" si="7"/>
        <v>23747.807030043143</v>
      </c>
      <c r="AM17" s="172">
        <f>AL17+$AM$1</f>
        <v>25123.869372190373</v>
      </c>
      <c r="AN17" s="172">
        <f>AL17+$AN$1</f>
        <v>26079.693132610031</v>
      </c>
      <c r="AO17" s="175">
        <f>AM17</f>
        <v>25123.869372190373</v>
      </c>
      <c r="AP17" s="130">
        <f>$AP$4*AQ17/1000</f>
        <v>33125</v>
      </c>
      <c r="AQ17" s="130">
        <f>AQ7+90</f>
        <v>1250</v>
      </c>
      <c r="AR17" s="130">
        <f>AP17-AO17</f>
        <v>8001.1306278096272</v>
      </c>
      <c r="AS17" s="153">
        <f>AR17/AP17</f>
        <v>0.24154356612255479</v>
      </c>
      <c r="AU17" s="109">
        <f>AH17/$AP$4*1000</f>
        <v>758.86377773170227</v>
      </c>
      <c r="AX17" s="147">
        <f t="shared" si="9"/>
        <v>758.86377773170227</v>
      </c>
      <c r="AY17" s="198">
        <f t="shared" si="9"/>
        <v>829.23924878382616</v>
      </c>
      <c r="AZ17" s="198">
        <f t="shared" si="9"/>
        <v>877.30928085208052</v>
      </c>
      <c r="BA17" s="198">
        <f t="shared" si="9"/>
        <v>820.63651416276116</v>
      </c>
      <c r="BB17" s="199">
        <f t="shared" si="9"/>
        <v>896.14366151106196</v>
      </c>
      <c r="BC17" s="199">
        <f t="shared" si="9"/>
        <v>948.07054234680652</v>
      </c>
      <c r="BD17" s="199">
        <f t="shared" si="9"/>
        <v>984.13936349471817</v>
      </c>
      <c r="BE17" s="147">
        <f t="shared" si="9"/>
        <v>948.07054234680652</v>
      </c>
      <c r="BF17" s="200">
        <f t="shared" si="9"/>
        <v>1250</v>
      </c>
      <c r="BG17" s="201">
        <f>BF17-BE17</f>
        <v>301.92945765319348</v>
      </c>
      <c r="BH17" s="202">
        <f>BG17/BE17</f>
        <v>0.31846729137455571</v>
      </c>
    </row>
    <row r="18" spans="20:68" x14ac:dyDescent="0.35">
      <c r="T18" s="117" t="s">
        <v>380</v>
      </c>
      <c r="U18" s="117"/>
      <c r="V18" s="117">
        <f>U18*$U$3</f>
        <v>0</v>
      </c>
      <c r="W18" s="178">
        <v>1</v>
      </c>
      <c r="X18" s="134">
        <f t="shared" si="5"/>
        <v>20109.890109890108</v>
      </c>
      <c r="Y18" s="117"/>
      <c r="Z18" s="117">
        <f>Y18*$Y$3</f>
        <v>0</v>
      </c>
      <c r="AA18" s="117"/>
      <c r="AB18" s="117">
        <f>AA18*$AA$3</f>
        <v>0</v>
      </c>
      <c r="AC18" s="117"/>
      <c r="AD18" s="117">
        <f>AC18*$AC$3</f>
        <v>0</v>
      </c>
      <c r="AE18" s="117"/>
      <c r="AF18" s="117">
        <f>AE18*$AE$3</f>
        <v>0</v>
      </c>
      <c r="AG18" s="122">
        <f t="shared" si="6"/>
        <v>1</v>
      </c>
      <c r="AH18" s="177">
        <f t="shared" si="6"/>
        <v>20109.890109890108</v>
      </c>
      <c r="AI18" s="175">
        <f t="shared" si="7"/>
        <v>21974.840092771392</v>
      </c>
      <c r="AJ18" s="194">
        <f t="shared" si="7"/>
        <v>23248.695942580132</v>
      </c>
      <c r="AK18" s="175">
        <f t="shared" si="8"/>
        <v>21746.867625313171</v>
      </c>
      <c r="AL18" s="172">
        <f t="shared" si="7"/>
        <v>23747.807030043143</v>
      </c>
      <c r="AM18" s="172">
        <f>AL18+$AM$1</f>
        <v>25123.869372190373</v>
      </c>
      <c r="AN18" s="172">
        <f>AL18+$AN$1</f>
        <v>26079.693132610031</v>
      </c>
      <c r="AO18" s="175">
        <f>AM18</f>
        <v>25123.869372190373</v>
      </c>
      <c r="AP18" s="130">
        <f>$AP$4*AQ18/1000</f>
        <v>29945</v>
      </c>
      <c r="AQ18" s="130">
        <f>AQ7-30</f>
        <v>1130</v>
      </c>
      <c r="AR18" s="130">
        <f>AP18-AO18</f>
        <v>4821.1306278096272</v>
      </c>
      <c r="AS18" s="153">
        <f>AR18/AP18</f>
        <v>0.16099952004707388</v>
      </c>
      <c r="AU18" s="109">
        <f>AH18/$AP$4*1000</f>
        <v>758.86377773170227</v>
      </c>
      <c r="AX18" s="147">
        <f t="shared" si="9"/>
        <v>758.86377773170227</v>
      </c>
      <c r="AY18" s="198">
        <f t="shared" si="9"/>
        <v>829.23924878382616</v>
      </c>
      <c r="AZ18" s="198">
        <f t="shared" si="9"/>
        <v>877.30928085208052</v>
      </c>
      <c r="BA18" s="198">
        <f t="shared" si="9"/>
        <v>820.63651416276116</v>
      </c>
      <c r="BB18" s="199">
        <f t="shared" si="9"/>
        <v>896.14366151106196</v>
      </c>
      <c r="BC18" s="199">
        <f t="shared" si="9"/>
        <v>948.07054234680652</v>
      </c>
      <c r="BD18" s="199">
        <f t="shared" si="9"/>
        <v>984.13936349471817</v>
      </c>
      <c r="BE18" s="147">
        <f t="shared" si="9"/>
        <v>948.07054234680652</v>
      </c>
      <c r="BF18" s="200">
        <f t="shared" si="9"/>
        <v>1130</v>
      </c>
      <c r="BG18" s="201">
        <f>BF18-BE18</f>
        <v>181.92945765319348</v>
      </c>
      <c r="BH18" s="202">
        <f>BG18/BE18</f>
        <v>0.19189443140259835</v>
      </c>
    </row>
    <row r="19" spans="20:68" x14ac:dyDescent="0.35">
      <c r="AJ19" s="191"/>
    </row>
    <row r="20" spans="20:68" x14ac:dyDescent="0.35">
      <c r="AJ20" s="191"/>
    </row>
    <row r="21" spans="20:68" x14ac:dyDescent="0.35">
      <c r="AJ21" s="191"/>
    </row>
    <row r="22" spans="20:68" x14ac:dyDescent="0.35">
      <c r="AJ22" s="191"/>
    </row>
    <row r="23" spans="20:68" x14ac:dyDescent="0.35">
      <c r="AJ23" s="191"/>
    </row>
    <row r="24" spans="20:68" x14ac:dyDescent="0.35">
      <c r="T24" s="119" t="s">
        <v>388</v>
      </c>
      <c r="AG24" s="126">
        <v>0.05</v>
      </c>
      <c r="AJ24" s="191"/>
    </row>
    <row r="25" spans="20:68" x14ac:dyDescent="0.35">
      <c r="T25" s="117" t="s">
        <v>368</v>
      </c>
      <c r="U25" s="117"/>
      <c r="V25" s="134">
        <f>U25*$U$3</f>
        <v>0</v>
      </c>
      <c r="W25" s="118">
        <v>0.9</v>
      </c>
      <c r="X25" s="134">
        <f>W25*$V$3</f>
        <v>18098.901098901097</v>
      </c>
      <c r="Y25" s="118">
        <v>0.1</v>
      </c>
      <c r="Z25" s="134">
        <f>Y25*$Y$3</f>
        <v>1730.9642094027404</v>
      </c>
      <c r="AA25" s="117"/>
      <c r="AB25" s="134">
        <f>AA25*$AA$3</f>
        <v>0</v>
      </c>
      <c r="AC25" s="117"/>
      <c r="AD25" s="134">
        <f>AC25*$AC$3</f>
        <v>0</v>
      </c>
      <c r="AE25" s="117"/>
      <c r="AF25" s="117">
        <f>AE25*$AE$3</f>
        <v>0</v>
      </c>
      <c r="AG25" s="122">
        <f t="shared" ref="AG25:AH29" si="10">U25+W25+Y25+AA25+AC25+AE25</f>
        <v>1</v>
      </c>
      <c r="AH25" s="177">
        <f t="shared" si="10"/>
        <v>19829.865308303837</v>
      </c>
      <c r="AI25" s="175">
        <f t="shared" ref="AI25:AL29" si="11">AI$1+AH25</f>
        <v>21694.815291185121</v>
      </c>
      <c r="AJ25" s="194">
        <f t="shared" si="11"/>
        <v>22968.671140993858</v>
      </c>
      <c r="AK25" s="175">
        <f t="shared" ref="AK25:AK29" si="12">AK$1+$V$3</f>
        <v>21746.867625313171</v>
      </c>
      <c r="AL25" s="172">
        <f t="shared" si="11"/>
        <v>23747.807030043143</v>
      </c>
      <c r="AM25" s="172">
        <f>AL25+$AM$1</f>
        <v>25123.869372190373</v>
      </c>
      <c r="AN25" s="172">
        <f>AL25+$AN$1</f>
        <v>26079.693132610031</v>
      </c>
      <c r="AO25" s="175">
        <f>AM25</f>
        <v>25123.869372190373</v>
      </c>
      <c r="AP25" s="130">
        <f>$AP$4*AQ25/1000</f>
        <v>30740</v>
      </c>
      <c r="AQ25" s="130">
        <f>AQ7</f>
        <v>1160</v>
      </c>
      <c r="AR25" s="130">
        <f>AP25-AO25</f>
        <v>5616.1306278096272</v>
      </c>
      <c r="AS25" s="153">
        <f>AR25/AP25</f>
        <v>0.1826978083217185</v>
      </c>
      <c r="AU25" s="109">
        <f>AH25/$AP$4*1000</f>
        <v>748.29680408693719</v>
      </c>
      <c r="AX25" s="147">
        <f t="shared" ref="AX25:BF29" si="13">AH25/$AP$4*1000</f>
        <v>748.29680408693719</v>
      </c>
      <c r="AY25" s="198">
        <f t="shared" si="13"/>
        <v>818.67227513906118</v>
      </c>
      <c r="AZ25" s="198">
        <f t="shared" si="13"/>
        <v>866.74230720731532</v>
      </c>
      <c r="BA25" s="198">
        <f t="shared" si="13"/>
        <v>820.63651416276116</v>
      </c>
      <c r="BB25" s="199">
        <f t="shared" si="13"/>
        <v>896.14366151106196</v>
      </c>
      <c r="BC25" s="199">
        <f t="shared" si="13"/>
        <v>948.07054234680652</v>
      </c>
      <c r="BD25" s="199">
        <f t="shared" si="13"/>
        <v>984.13936349471817</v>
      </c>
      <c r="BE25" s="147">
        <f t="shared" si="13"/>
        <v>948.07054234680652</v>
      </c>
      <c r="BF25" s="200">
        <f t="shared" si="13"/>
        <v>1160</v>
      </c>
      <c r="BG25" s="201">
        <f>BF25-BE25</f>
        <v>211.92945765319348</v>
      </c>
      <c r="BH25" s="202">
        <f>BG25/BE25</f>
        <v>0.22353764639558768</v>
      </c>
    </row>
    <row r="26" spans="20:68" x14ac:dyDescent="0.35">
      <c r="T26" s="180" t="s">
        <v>370</v>
      </c>
      <c r="U26" s="118">
        <v>0.55000000000000004</v>
      </c>
      <c r="V26" s="134">
        <f>U26*$U$3</f>
        <v>10465.005465946975</v>
      </c>
      <c r="W26" s="118">
        <v>0.3</v>
      </c>
      <c r="X26" s="134">
        <f t="shared" ref="X26:X29" si="14">W26*$V$3</f>
        <v>6032.9670329670325</v>
      </c>
      <c r="Y26" s="118">
        <v>0.15</v>
      </c>
      <c r="Z26" s="134">
        <f>Y26*$Y$3</f>
        <v>2596.4463141041106</v>
      </c>
      <c r="AA26" s="117"/>
      <c r="AB26" s="134">
        <f>AA26*$AA$3</f>
        <v>0</v>
      </c>
      <c r="AC26" s="117"/>
      <c r="AD26" s="134">
        <f>AC26*$AC$3</f>
        <v>0</v>
      </c>
      <c r="AE26" s="117"/>
      <c r="AF26" s="117">
        <f>AE26*$AE$3</f>
        <v>0</v>
      </c>
      <c r="AG26" s="122">
        <f t="shared" si="10"/>
        <v>1</v>
      </c>
      <c r="AH26" s="177">
        <f t="shared" si="10"/>
        <v>19094.418813018121</v>
      </c>
      <c r="AI26" s="175">
        <f t="shared" si="11"/>
        <v>20959.368795899405</v>
      </c>
      <c r="AJ26" s="194">
        <f t="shared" si="11"/>
        <v>22233.224645708142</v>
      </c>
      <c r="AK26" s="175">
        <f t="shared" si="12"/>
        <v>21746.867625313171</v>
      </c>
      <c r="AL26" s="172">
        <f t="shared" si="11"/>
        <v>23747.807030043143</v>
      </c>
      <c r="AM26" s="172">
        <f>AL26+$AM$1</f>
        <v>25123.869372190373</v>
      </c>
      <c r="AN26" s="172">
        <f>AL26+$AN$1</f>
        <v>26079.693132610031</v>
      </c>
      <c r="AO26" s="175">
        <f>AM26</f>
        <v>25123.869372190373</v>
      </c>
      <c r="AP26" s="130">
        <f>$AP$4*AQ26/1000</f>
        <v>28885</v>
      </c>
      <c r="AQ26" s="130">
        <f>AQ7-70</f>
        <v>1090</v>
      </c>
      <c r="AR26" s="130">
        <f>AP26-AO26</f>
        <v>3761.1306278096272</v>
      </c>
      <c r="AS26" s="153">
        <f>AR26/AP26</f>
        <v>0.13021051160843439</v>
      </c>
      <c r="AU26" s="109">
        <f>AH26/$AP$4*1000</f>
        <v>720.54410615162726</v>
      </c>
      <c r="AX26" s="147">
        <f t="shared" si="13"/>
        <v>720.54410615162726</v>
      </c>
      <c r="AY26" s="198">
        <f t="shared" si="13"/>
        <v>790.91957720375115</v>
      </c>
      <c r="AZ26" s="198">
        <f t="shared" si="13"/>
        <v>838.9896092720054</v>
      </c>
      <c r="BA26" s="198">
        <f t="shared" si="13"/>
        <v>820.63651416276116</v>
      </c>
      <c r="BB26" s="199">
        <f t="shared" si="13"/>
        <v>896.14366151106196</v>
      </c>
      <c r="BC26" s="199">
        <f t="shared" si="13"/>
        <v>948.07054234680652</v>
      </c>
      <c r="BD26" s="199">
        <f t="shared" si="13"/>
        <v>984.13936349471817</v>
      </c>
      <c r="BE26" s="147">
        <f t="shared" si="13"/>
        <v>948.07054234680652</v>
      </c>
      <c r="BF26" s="200">
        <f t="shared" si="13"/>
        <v>1090</v>
      </c>
      <c r="BG26" s="201">
        <f>BF26-BE26</f>
        <v>141.92945765319348</v>
      </c>
      <c r="BH26" s="202">
        <f>BG26/BE26</f>
        <v>0.14970347807861256</v>
      </c>
      <c r="BJ26" s="182">
        <v>1074</v>
      </c>
      <c r="BK26" t="s">
        <v>456</v>
      </c>
      <c r="BL26" t="s">
        <v>457</v>
      </c>
      <c r="BM26" t="s">
        <v>458</v>
      </c>
      <c r="BO26" t="s">
        <v>463</v>
      </c>
      <c r="BP26" t="s">
        <v>464</v>
      </c>
    </row>
    <row r="27" spans="20:68" x14ac:dyDescent="0.35">
      <c r="T27" s="117" t="s">
        <v>386</v>
      </c>
      <c r="U27" s="117"/>
      <c r="V27" s="134">
        <f>U27*$U$3</f>
        <v>0</v>
      </c>
      <c r="W27" s="118">
        <v>0.4</v>
      </c>
      <c r="X27" s="134">
        <f t="shared" si="14"/>
        <v>8043.9560439560437</v>
      </c>
      <c r="Y27" s="117"/>
      <c r="Z27" s="134">
        <f>Y27*$Y$3</f>
        <v>0</v>
      </c>
      <c r="AA27" s="118">
        <v>0.5</v>
      </c>
      <c r="AB27" s="134">
        <f>AA27*$AA$3</f>
        <v>7777.6432381947452</v>
      </c>
      <c r="AC27" s="118">
        <v>0.1</v>
      </c>
      <c r="AD27" s="134">
        <f>AC27*$AC$3</f>
        <v>1434.1250211551117</v>
      </c>
      <c r="AE27" s="117"/>
      <c r="AF27" s="117">
        <f>AE27*$AE$3</f>
        <v>0</v>
      </c>
      <c r="AG27" s="122">
        <f t="shared" si="10"/>
        <v>1</v>
      </c>
      <c r="AH27" s="177">
        <f t="shared" si="10"/>
        <v>17255.724303305902</v>
      </c>
      <c r="AI27" s="175">
        <f t="shared" si="11"/>
        <v>19120.674286187186</v>
      </c>
      <c r="AJ27" s="194">
        <f t="shared" si="11"/>
        <v>20394.530135995927</v>
      </c>
      <c r="AK27" s="175">
        <f t="shared" si="12"/>
        <v>21746.867625313171</v>
      </c>
      <c r="AL27" s="172">
        <f t="shared" si="11"/>
        <v>23747.807030043143</v>
      </c>
      <c r="AM27" s="172">
        <f>AL27+$AM$1</f>
        <v>25123.869372190373</v>
      </c>
      <c r="AN27" s="172">
        <f>AL27+$AN$1</f>
        <v>26079.693132610031</v>
      </c>
      <c r="AO27" s="175">
        <f>AM27</f>
        <v>25123.869372190373</v>
      </c>
      <c r="AP27" s="130">
        <f>$AP$4*AQ27/1000</f>
        <v>30740</v>
      </c>
      <c r="AQ27" s="130">
        <f>AQ7</f>
        <v>1160</v>
      </c>
      <c r="AR27" s="130">
        <f>AP27-AO27</f>
        <v>5616.1306278096272</v>
      </c>
      <c r="AS27" s="153">
        <f>AR27/AP27</f>
        <v>0.1826978083217185</v>
      </c>
      <c r="AU27" s="109">
        <f>AH27/$AP$4*1000</f>
        <v>651.1594076719208</v>
      </c>
      <c r="AX27" s="147">
        <f t="shared" si="13"/>
        <v>651.1594076719208</v>
      </c>
      <c r="AY27" s="198">
        <f t="shared" si="13"/>
        <v>721.5348787240448</v>
      </c>
      <c r="AZ27" s="198">
        <f t="shared" si="13"/>
        <v>769.60491079229905</v>
      </c>
      <c r="BA27" s="198">
        <f t="shared" si="13"/>
        <v>820.63651416276116</v>
      </c>
      <c r="BB27" s="199">
        <f t="shared" si="13"/>
        <v>896.14366151106196</v>
      </c>
      <c r="BC27" s="199">
        <f t="shared" si="13"/>
        <v>948.07054234680652</v>
      </c>
      <c r="BD27" s="199">
        <f t="shared" si="13"/>
        <v>984.13936349471817</v>
      </c>
      <c r="BE27" s="147">
        <f t="shared" si="13"/>
        <v>948.07054234680652</v>
      </c>
      <c r="BF27" s="200">
        <f t="shared" si="13"/>
        <v>1160</v>
      </c>
      <c r="BG27" s="201">
        <f>BF27-BE27</f>
        <v>211.92945765319348</v>
      </c>
      <c r="BH27" s="202">
        <f>BG27/BE27</f>
        <v>0.22353764639558768</v>
      </c>
    </row>
    <row r="28" spans="20:6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0"/>
        <v>1</v>
      </c>
      <c r="AH28" s="177">
        <f t="shared" si="10"/>
        <v>18853.682855909705</v>
      </c>
      <c r="AI28" s="175">
        <f t="shared" si="11"/>
        <v>20718.632838790989</v>
      </c>
      <c r="AJ28" s="194">
        <f t="shared" si="11"/>
        <v>21992.488688599726</v>
      </c>
      <c r="AK28" s="175">
        <f t="shared" si="12"/>
        <v>21746.867625313171</v>
      </c>
      <c r="AL28" s="322">
        <f t="shared" si="11"/>
        <v>23747.807030043143</v>
      </c>
      <c r="AM28" s="172">
        <f>AL28+$AM$1</f>
        <v>25123.869372190373</v>
      </c>
      <c r="AN28" s="172">
        <f>AL28+$AN$1</f>
        <v>26079.693132610031</v>
      </c>
      <c r="AO28" s="323">
        <f>AL28</f>
        <v>23747.807030043143</v>
      </c>
      <c r="AP28" s="130">
        <f>$AP$4*AQ28/1000</f>
        <v>19080</v>
      </c>
      <c r="AQ28" s="130">
        <f>AQ10</f>
        <v>720</v>
      </c>
      <c r="AR28" s="183">
        <f>AP28-AO28</f>
        <v>-4667.8070300431427</v>
      </c>
      <c r="AS28" s="157">
        <f>AR28/AP28</f>
        <v>-0.24464397432091944</v>
      </c>
      <c r="AU28" s="109">
        <f>AH28/$AP$4*1000</f>
        <v>711.45973041168702</v>
      </c>
      <c r="AX28" s="147">
        <f t="shared" si="13"/>
        <v>711.45973041168702</v>
      </c>
      <c r="AY28" s="198">
        <f t="shared" si="13"/>
        <v>781.8352014638109</v>
      </c>
      <c r="AZ28" s="198">
        <f t="shared" si="13"/>
        <v>829.90523353206515</v>
      </c>
      <c r="BA28" s="198">
        <f t="shared" si="13"/>
        <v>820.63651416276116</v>
      </c>
      <c r="BB28" s="199">
        <f t="shared" si="13"/>
        <v>896.14366151106196</v>
      </c>
      <c r="BC28" s="199">
        <f t="shared" si="13"/>
        <v>948.07054234680652</v>
      </c>
      <c r="BD28" s="199">
        <f t="shared" si="13"/>
        <v>984.13936349471817</v>
      </c>
      <c r="BE28" s="147">
        <f t="shared" si="13"/>
        <v>896.14366151106196</v>
      </c>
      <c r="BF28" s="200">
        <f t="shared" si="13"/>
        <v>720</v>
      </c>
      <c r="BG28" s="400">
        <f>BF28-BE28</f>
        <v>-176.14366151106196</v>
      </c>
      <c r="BH28" s="401">
        <f>BG28/BE28</f>
        <v>-0.1965573926105236</v>
      </c>
      <c r="BK28" s="179" t="s">
        <v>460</v>
      </c>
      <c r="BL28" t="s">
        <v>459</v>
      </c>
      <c r="BM28" s="181" t="s">
        <v>461</v>
      </c>
    </row>
    <row r="29" spans="20:68" x14ac:dyDescent="0.35">
      <c r="T29" s="117" t="s">
        <v>373</v>
      </c>
      <c r="U29" s="118">
        <v>0.65</v>
      </c>
      <c r="V29" s="134">
        <f>U29*$U$3</f>
        <v>12367.733732482789</v>
      </c>
      <c r="W29" s="118">
        <v>0.15</v>
      </c>
      <c r="X29" s="134">
        <f t="shared" si="14"/>
        <v>3016.4835164835163</v>
      </c>
      <c r="Y29" s="117"/>
      <c r="Z29" s="134">
        <f>Y29*$Y$3</f>
        <v>0</v>
      </c>
      <c r="AA29" s="118">
        <v>0.2</v>
      </c>
      <c r="AB29" s="134">
        <f>AA29*$AA$3</f>
        <v>3111.0572952778984</v>
      </c>
      <c r="AC29" s="117"/>
      <c r="AD29" s="134">
        <f>AC29*$AC$3</f>
        <v>0</v>
      </c>
      <c r="AE29" s="117"/>
      <c r="AF29" s="117">
        <f>AE29*$AE$3</f>
        <v>0</v>
      </c>
      <c r="AG29" s="122">
        <f t="shared" si="10"/>
        <v>1</v>
      </c>
      <c r="AH29" s="177">
        <f t="shared" si="10"/>
        <v>18495.274544244203</v>
      </c>
      <c r="AI29" s="175">
        <f t="shared" si="11"/>
        <v>20360.224527125487</v>
      </c>
      <c r="AJ29" s="194">
        <f t="shared" si="11"/>
        <v>21634.080376934224</v>
      </c>
      <c r="AK29" s="323">
        <f t="shared" si="12"/>
        <v>21746.867625313171</v>
      </c>
      <c r="AL29" s="172">
        <f>+AK29</f>
        <v>21746.867625313171</v>
      </c>
      <c r="AM29" s="172">
        <f>AL29</f>
        <v>21746.867625313171</v>
      </c>
      <c r="AN29" s="172">
        <f>AM29</f>
        <v>21746.867625313171</v>
      </c>
      <c r="AO29" s="323">
        <f>AK29</f>
        <v>21746.867625313171</v>
      </c>
      <c r="AP29" s="130">
        <f>$AP$4*AQ29/1000</f>
        <v>19080</v>
      </c>
      <c r="AQ29" s="197">
        <v>720</v>
      </c>
      <c r="AR29" s="183">
        <f>AP29-AO29</f>
        <v>-2666.8676253131707</v>
      </c>
      <c r="AS29" s="157">
        <f>AR29/AP29</f>
        <v>-0.13977293633716828</v>
      </c>
      <c r="AU29" s="109">
        <f>AH29/$AP$4*1000</f>
        <v>697.93488846204548</v>
      </c>
      <c r="AX29" s="147">
        <f t="shared" si="13"/>
        <v>697.93488846204548</v>
      </c>
      <c r="AY29" s="198">
        <f t="shared" si="13"/>
        <v>768.31035951416936</v>
      </c>
      <c r="AZ29" s="198">
        <f t="shared" si="13"/>
        <v>816.38039158242361</v>
      </c>
      <c r="BA29" s="198">
        <f t="shared" si="13"/>
        <v>820.63651416276116</v>
      </c>
      <c r="BB29" s="199">
        <f t="shared" si="13"/>
        <v>820.63651416276116</v>
      </c>
      <c r="BC29" s="199">
        <f t="shared" si="13"/>
        <v>820.63651416276116</v>
      </c>
      <c r="BD29" s="199">
        <f t="shared" si="13"/>
        <v>820.63651416276116</v>
      </c>
      <c r="BE29" s="147">
        <f t="shared" si="13"/>
        <v>820.63651416276116</v>
      </c>
      <c r="BF29" s="200">
        <f t="shared" si="13"/>
        <v>720</v>
      </c>
      <c r="BG29" s="201">
        <f>BF29-BE29</f>
        <v>-100.63651416276116</v>
      </c>
      <c r="BH29" s="202">
        <f>BG29/BE29</f>
        <v>-0.12263226462136365</v>
      </c>
      <c r="BI29" s="130">
        <f>AQ29-AU29</f>
        <v>22.065111537954522</v>
      </c>
      <c r="BJ29" s="185">
        <f>BI29/AQ29</f>
        <v>3.064598824715906E-2</v>
      </c>
    </row>
    <row r="30" spans="20:68" x14ac:dyDescent="0.35">
      <c r="AJ30" s="191"/>
    </row>
    <row r="31" spans="20:68" x14ac:dyDescent="0.35">
      <c r="AJ31" s="191"/>
    </row>
    <row r="32" spans="20:68" x14ac:dyDescent="0.35">
      <c r="T32" s="119" t="s">
        <v>389</v>
      </c>
      <c r="AG32" s="126">
        <v>0.02</v>
      </c>
      <c r="AJ32" s="191"/>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AK$1+$V$3</f>
        <v>21746.867625313171</v>
      </c>
      <c r="AL33" s="172">
        <f>AL$1+AK33</f>
        <v>23747.807030043143</v>
      </c>
      <c r="AM33" s="172">
        <f>AL33+$AM$1</f>
        <v>25123.869372190373</v>
      </c>
      <c r="AN33" s="172">
        <f>AL33+$AN$1</f>
        <v>26079.693132610031</v>
      </c>
      <c r="AO33" s="175">
        <f>AM33</f>
        <v>25123.869372190373</v>
      </c>
      <c r="AP33" s="130">
        <f>$AP$4*AQ33/1000</f>
        <v>19000.5</v>
      </c>
      <c r="AQ33" s="130">
        <v>717</v>
      </c>
      <c r="AR33" s="183">
        <f>AP33-AO33</f>
        <v>-6123.3693721903728</v>
      </c>
      <c r="AS33" s="157">
        <f>AR33/AP33</f>
        <v>-0.32227411763850283</v>
      </c>
      <c r="AX33" s="147">
        <f t="shared" ref="AX33:BF33" si="15">AH33/$AP$4*1000</f>
        <v>648.8701584955619</v>
      </c>
      <c r="AY33" s="198">
        <f t="shared" si="15"/>
        <v>719.24562954768578</v>
      </c>
      <c r="AZ33" s="198">
        <f t="shared" si="15"/>
        <v>767.31566161594003</v>
      </c>
      <c r="BA33" s="198">
        <f t="shared" si="15"/>
        <v>820.63651416276116</v>
      </c>
      <c r="BB33" s="199">
        <f t="shared" si="15"/>
        <v>896.14366151106196</v>
      </c>
      <c r="BC33" s="199">
        <f t="shared" si="15"/>
        <v>948.07054234680652</v>
      </c>
      <c r="BD33" s="199">
        <f t="shared" si="15"/>
        <v>984.13936349471817</v>
      </c>
      <c r="BE33" s="147">
        <f t="shared" si="15"/>
        <v>948.07054234680652</v>
      </c>
      <c r="BF33" s="200">
        <f t="shared" si="15"/>
        <v>717</v>
      </c>
      <c r="BG33" s="201">
        <f>BF33-BE33</f>
        <v>-231.07054234680652</v>
      </c>
      <c r="BH33" s="202">
        <f>BG33/BE33</f>
        <v>-0.24372716166755484</v>
      </c>
    </row>
    <row r="35" spans="20:70" x14ac:dyDescent="0.35">
      <c r="AE35" s="109">
        <f>'Giá mua Chai-Vảy'!O40</f>
        <v>12550</v>
      </c>
    </row>
    <row r="36" spans="20:70" x14ac:dyDescent="0.35">
      <c r="T36" s="119" t="s">
        <v>446</v>
      </c>
      <c r="AG36" s="126">
        <v>0.01</v>
      </c>
      <c r="AH36" s="121"/>
      <c r="AI36"/>
      <c r="AJ36"/>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AI$1+AH37</f>
        <v>14414.949982881282</v>
      </c>
      <c r="AJ37" s="194">
        <f>AJ$1+AI37</f>
        <v>15688.805832690021</v>
      </c>
      <c r="AK37" s="175">
        <f>AK$1+$V$3</f>
        <v>21746.867625313171</v>
      </c>
      <c r="AL37" s="172">
        <f>AL$1+AK37*$AK$2+AJ37*$AJ$2</f>
        <v>23747.807030043143</v>
      </c>
      <c r="AM37" s="172">
        <f>AL37+$AM$1</f>
        <v>25123.869372190373</v>
      </c>
      <c r="AN37" s="172">
        <f>AL37+$AN$1</f>
        <v>26079.693132610031</v>
      </c>
      <c r="AO37" s="175">
        <f>AM37</f>
        <v>25123.869372190373</v>
      </c>
      <c r="AP37" s="130">
        <f>$AP$4*AQ37/1000</f>
        <v>19000.5</v>
      </c>
      <c r="AQ37" s="130">
        <v>717</v>
      </c>
      <c r="AR37" s="183">
        <f>AP37-AO37</f>
        <v>-6123.3693721903728</v>
      </c>
      <c r="AS37" s="157">
        <f>AR37/AP37</f>
        <v>-0.32227411763850283</v>
      </c>
      <c r="AX37" s="147">
        <f t="shared" ref="AX37:BF37" si="16">AH37/$AP$4*1000</f>
        <v>473.58490566037739</v>
      </c>
      <c r="AY37" s="198">
        <f t="shared" si="16"/>
        <v>543.96037671250122</v>
      </c>
      <c r="AZ37" s="198">
        <f t="shared" si="16"/>
        <v>592.03040878075558</v>
      </c>
      <c r="BA37" s="198">
        <f t="shared" si="16"/>
        <v>820.63651416276116</v>
      </c>
      <c r="BB37" s="199">
        <f t="shared" si="16"/>
        <v>896.14366151106196</v>
      </c>
      <c r="BC37" s="199">
        <f t="shared" si="16"/>
        <v>948.07054234680652</v>
      </c>
      <c r="BD37" s="199">
        <f t="shared" si="16"/>
        <v>984.13936349471817</v>
      </c>
      <c r="BE37" s="147">
        <f t="shared" si="16"/>
        <v>948.07054234680652</v>
      </c>
      <c r="BF37" s="200">
        <f t="shared" si="16"/>
        <v>717</v>
      </c>
      <c r="BG37" s="201">
        <f>BF37-BE37</f>
        <v>-231.07054234680652</v>
      </c>
      <c r="BH37" s="202">
        <f>BG37/BE37</f>
        <v>-0.24372716166755484</v>
      </c>
      <c r="BJ37" s="109">
        <f>'Hảo_R&amp;D (Hạt) (full stage)-Chai'!BE37</f>
        <v>631.27894410716067</v>
      </c>
      <c r="BK37" s="109">
        <f>'Hảo_R&amp;D (Hạt) (full stage)-MN'!BE37</f>
        <v>948.07054234680652</v>
      </c>
      <c r="BL37" s="109">
        <f>BE37</f>
        <v>948.07054234680652</v>
      </c>
      <c r="BM37" s="130">
        <f>BJ37-BK37</f>
        <v>-316.79159823964585</v>
      </c>
      <c r="BO37" s="109">
        <f>'Hảo_R&amp;D (Hạt) (full stage)-Chai'!AO37</f>
        <v>16728.892018839757</v>
      </c>
      <c r="BP37" s="109">
        <f>'Hảo_R&amp;D (Hạt) (full stage)-MN'!AO37</f>
        <v>25123.869372190373</v>
      </c>
      <c r="BQ37" s="109">
        <f>AO37</f>
        <v>25123.869372190373</v>
      </c>
      <c r="BR37" s="130">
        <f>BO37-BP37</f>
        <v>-8394.9773533506159</v>
      </c>
    </row>
  </sheetData>
  <mergeCells count="2">
    <mergeCell ref="AG3:AH3"/>
    <mergeCell ref="AW3:AX3"/>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EC90-01F3-4CAC-9289-06674449A7CA}">
  <sheetPr>
    <tabColor rgb="FFFFFF00"/>
  </sheetPr>
  <dimension ref="B1:BZ37"/>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W7" sqref="W7"/>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7.7265625" style="121" customWidth="1"/>
    <col min="34" max="34" width="8.7265625" style="133" customWidth="1"/>
    <col min="35" max="35" width="11" style="133" customWidth="1"/>
    <col min="36" max="36" width="11.1796875" style="133" customWidth="1"/>
    <col min="37" max="37" width="11.453125" style="133" customWidth="1"/>
    <col min="38" max="40" width="10.1796875" style="121" customWidth="1"/>
    <col min="41" max="41" width="10.1796875" style="133" customWidth="1"/>
    <col min="42" max="42" width="11.81640625" style="121" bestFit="1" customWidth="1"/>
    <col min="43" max="43" width="8.08984375" bestFit="1" customWidth="1"/>
    <col min="47" max="47" width="10.26953125" bestFit="1" customWidth="1"/>
    <col min="48" max="48" width="5.90625" customWidth="1"/>
    <col min="49" max="49" width="6.81640625" customWidth="1"/>
    <col min="50" max="50" width="6.6328125" customWidth="1"/>
    <col min="51" max="52" width="8.81640625" bestFit="1" customWidth="1"/>
    <col min="53" max="53" width="11.36328125" customWidth="1"/>
    <col min="54" max="54" width="9.26953125" bestFit="1" customWidth="1"/>
    <col min="55" max="55" width="10.36328125" customWidth="1"/>
    <col min="56" max="56" width="9.7265625" bestFit="1" customWidth="1"/>
    <col min="57" max="57" width="10.90625" customWidth="1"/>
    <col min="58" max="58" width="12.6328125" bestFit="1" customWidth="1"/>
    <col min="62" max="62" width="9.7265625" bestFit="1" customWidth="1"/>
    <col min="63" max="64" width="8.81640625" bestFit="1" customWidth="1"/>
    <col min="70" max="70" width="7.7265625" bestFit="1" customWidth="1"/>
  </cols>
  <sheetData>
    <row r="1" spans="2:70" ht="21" customHeight="1"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'[8]16.1 Rửa vảy B7'!$I$10</f>
        <v>84.555434657824762</v>
      </c>
      <c r="AE1" s="109">
        <f>'Hảo_R&amp;D'!AU1</f>
        <v>13300</v>
      </c>
      <c r="AI1" s="193">
        <f>'H_Tỷ lệ HH&amp;PS'!BW6</f>
        <v>1864.9499828812825</v>
      </c>
      <c r="AJ1" s="170">
        <f>'H_Tỷ lệ HH&amp;PS'!BX6</f>
        <v>1273.8558498087386</v>
      </c>
      <c r="AK1" s="170">
        <f>'[8]12. 100% vảy-&gt;hạt WSS01-iSS01'!$I$10</f>
        <v>1636.9775154230633</v>
      </c>
      <c r="AL1" s="176">
        <f>'H_Tỷ lệ HH&amp;PS'!BY6</f>
        <v>2000.939404729972</v>
      </c>
      <c r="AM1" s="176">
        <f>'H_Tỷ lệ HH&amp;PS'!BZ6</f>
        <v>1376.0623421472308</v>
      </c>
      <c r="AN1" s="176">
        <f>'[8]11. 100% chai-&gt;hạt iSS01084G'!$I$83</f>
        <v>2331.8861025668875</v>
      </c>
      <c r="AO1" s="195">
        <f>AM1/8</f>
        <v>172.00779276840385</v>
      </c>
      <c r="AP1" s="275">
        <f>AN1/10</f>
        <v>233.18861025668875</v>
      </c>
      <c r="AQ1" s="320">
        <f>AI1+AJ1+AL1+AM1</f>
        <v>6515.8075795672239</v>
      </c>
      <c r="AR1" s="320">
        <f>AK1+AL1+AM1+AK4</f>
        <v>7013.9792623002659</v>
      </c>
      <c r="AS1" s="398">
        <f>AQ1-AR1</f>
        <v>-498.17168273304196</v>
      </c>
      <c r="AT1" s="156">
        <f>AS1/AQ1</f>
        <v>-7.6455861633367969E-2</v>
      </c>
      <c r="AY1" s="130">
        <f t="shared" ref="AY1:BD1" si="0">AI1/$AP$4*1000</f>
        <v>70.375471052123871</v>
      </c>
      <c r="AZ1" s="271">
        <f t="shared" si="0"/>
        <v>48.070032068254292</v>
      </c>
      <c r="BA1" s="272">
        <f t="shared" si="0"/>
        <v>61.772736431058995</v>
      </c>
      <c r="BB1" s="130">
        <f t="shared" si="0"/>
        <v>75.507147348300833</v>
      </c>
      <c r="BC1" s="130">
        <f t="shared" si="0"/>
        <v>51.926880835744555</v>
      </c>
      <c r="BD1" s="130">
        <f t="shared" si="0"/>
        <v>87.995701983656133</v>
      </c>
      <c r="BE1" s="306">
        <f>SUM(AY1,AZ1,BB1,BC1)</f>
        <v>245.87953130442355</v>
      </c>
      <c r="BF1" s="305">
        <f>SUM(AY1,BA1,BB1,BC1)</f>
        <v>259.58223566722825</v>
      </c>
      <c r="BG1" s="130">
        <f>BE1-BF1</f>
        <v>-13.702704362804695</v>
      </c>
    </row>
    <row r="2" spans="2:70" ht="32" customHeight="1" x14ac:dyDescent="0.35">
      <c r="B2" s="114" t="s">
        <v>365</v>
      </c>
      <c r="T2" s="162" t="s">
        <v>634</v>
      </c>
      <c r="U2" s="157">
        <f>'Hảo_R&amp;D'!AK2</f>
        <v>0.77783045852077959</v>
      </c>
      <c r="V2" s="396">
        <v>0.91</v>
      </c>
      <c r="W2" s="283">
        <f>'Hảo_R&amp;D'!AM2</f>
        <v>0.8081674874213195</v>
      </c>
      <c r="X2" s="132">
        <f>'[8]12. 100% vảy-&gt;hạt WSS01-iSS01'!$I$10</f>
        <v>1636.9775154230633</v>
      </c>
      <c r="Y2" s="157">
        <f>'Hảo_R&amp;D'!AO2</f>
        <v>0.85501479000000002</v>
      </c>
      <c r="AA2" s="157">
        <f>'Hảo_R&amp;D'!AQ2</f>
        <v>0.85501479000000002</v>
      </c>
      <c r="AE2" s="157">
        <f>'Hảo_R&amp;D'!AU2</f>
        <v>0.773478</v>
      </c>
      <c r="AG2" s="120" t="s">
        <v>544</v>
      </c>
      <c r="AI2" s="319">
        <f>AJ1-AK1</f>
        <v>-363.12166561432468</v>
      </c>
      <c r="AJ2" s="204">
        <v>0.5</v>
      </c>
      <c r="AK2" s="258">
        <v>0.5</v>
      </c>
      <c r="AL2" s="196">
        <f>AL1*1000/$AP$4</f>
        <v>75.507147348300833</v>
      </c>
      <c r="AM2" s="196">
        <f>AM1*1000/$AP$4</f>
        <v>51.926880835744562</v>
      </c>
      <c r="AN2" s="196">
        <f>AN1*1000/$AP$4</f>
        <v>87.995701983656133</v>
      </c>
      <c r="AO2" s="162" t="s">
        <v>513</v>
      </c>
      <c r="BD2" s="130">
        <f>BD1-BC1</f>
        <v>36.068821147911578</v>
      </c>
      <c r="BE2" s="407" t="s">
        <v>637</v>
      </c>
      <c r="BF2" s="74" t="s">
        <v>638</v>
      </c>
    </row>
    <row r="3" spans="2:70" ht="43.5" x14ac:dyDescent="0.35">
      <c r="T3" s="162" t="s">
        <v>448</v>
      </c>
      <c r="U3" s="169">
        <f>U1/U2</f>
        <v>19027.282665358136</v>
      </c>
      <c r="V3" s="397">
        <f>V1/V2</f>
        <v>20109.890109890108</v>
      </c>
      <c r="W3" s="131">
        <f>W1/W2</f>
        <v>20169.086549138014</v>
      </c>
      <c r="X3" s="170">
        <f>'[8]10. 100% chai-&gt;hạt WSS01-iSS01'!$I$21+'[8]10. 100% chai-&gt;hạt WSS01-iSS01'!$I$37</f>
        <v>4716.6433044810765</v>
      </c>
      <c r="Y3" s="169">
        <f>Y1/Y2</f>
        <v>17309.642094027404</v>
      </c>
      <c r="Z3" s="132"/>
      <c r="AA3" s="169">
        <f>AA1/AA2</f>
        <v>15555.28647638949</v>
      </c>
      <c r="AB3" s="132"/>
      <c r="AC3" s="169">
        <f>'[8]16.1 Rửa vảy B7'!$I$48</f>
        <v>14341.250211551116</v>
      </c>
      <c r="AD3" s="109"/>
      <c r="AE3" s="169">
        <f>AE1/AE2</f>
        <v>17195.059200132389</v>
      </c>
      <c r="AG3" s="1146" t="s">
        <v>471</v>
      </c>
      <c r="AH3" s="1146"/>
      <c r="AI3" s="669" t="s">
        <v>467</v>
      </c>
      <c r="AJ3" s="260" t="s">
        <v>468</v>
      </c>
      <c r="AK3" s="259" t="s">
        <v>469</v>
      </c>
      <c r="AL3" s="173" t="s">
        <v>450</v>
      </c>
      <c r="AM3" s="173" t="s">
        <v>451</v>
      </c>
      <c r="AN3" s="173" t="s">
        <v>452</v>
      </c>
      <c r="AO3" s="162" t="s">
        <v>453</v>
      </c>
      <c r="AP3" s="406" t="s">
        <v>391</v>
      </c>
      <c r="AQ3" s="203" t="s">
        <v>393</v>
      </c>
      <c r="AR3" s="207" t="s">
        <v>454</v>
      </c>
      <c r="AS3" s="207" t="s">
        <v>455</v>
      </c>
      <c r="AT3" t="s">
        <v>465</v>
      </c>
      <c r="AU3" s="399" t="s">
        <v>462</v>
      </c>
      <c r="AW3" s="1146" t="s">
        <v>471</v>
      </c>
      <c r="AX3" s="1146"/>
      <c r="AY3" s="190" t="s">
        <v>467</v>
      </c>
      <c r="AZ3" s="190" t="s">
        <v>468</v>
      </c>
      <c r="BA3" s="190" t="s">
        <v>469</v>
      </c>
      <c r="BB3" s="173" t="s">
        <v>450</v>
      </c>
      <c r="BC3" s="173" t="s">
        <v>451</v>
      </c>
      <c r="BD3" s="173" t="s">
        <v>452</v>
      </c>
      <c r="BE3" s="162" t="s">
        <v>453</v>
      </c>
      <c r="BF3" s="2" t="s">
        <v>391</v>
      </c>
      <c r="BG3" s="203" t="s">
        <v>454</v>
      </c>
      <c r="BH3" s="3" t="s">
        <v>455</v>
      </c>
      <c r="BI3" s="207" t="s">
        <v>474</v>
      </c>
      <c r="BJ3" s="206" t="s">
        <v>403</v>
      </c>
      <c r="BK3" s="206" t="s">
        <v>473</v>
      </c>
      <c r="BL3" s="206" t="s">
        <v>472</v>
      </c>
      <c r="BM3" s="270" t="s">
        <v>512</v>
      </c>
      <c r="BN3" s="207" t="s">
        <v>474</v>
      </c>
      <c r="BO3" s="206" t="s">
        <v>403</v>
      </c>
      <c r="BP3" s="206" t="s">
        <v>473</v>
      </c>
      <c r="BQ3" s="206" t="s">
        <v>472</v>
      </c>
      <c r="BR3" s="270" t="s">
        <v>515</v>
      </c>
    </row>
    <row r="4" spans="2:70" x14ac:dyDescent="0.35">
      <c r="T4" s="120" t="s">
        <v>366</v>
      </c>
      <c r="U4" s="115" t="s">
        <v>367</v>
      </c>
      <c r="W4" s="115" t="s">
        <v>374</v>
      </c>
      <c r="Y4" s="115" t="s">
        <v>375</v>
      </c>
      <c r="AA4" s="115" t="s">
        <v>382</v>
      </c>
      <c r="AC4" s="115" t="s">
        <v>384</v>
      </c>
      <c r="AE4" s="115" t="s">
        <v>385</v>
      </c>
      <c r="AG4" s="127" t="s">
        <v>376</v>
      </c>
      <c r="AI4" s="191"/>
      <c r="AJ4" s="205">
        <f>AJ9-AK9</f>
        <v>504.11595216934074</v>
      </c>
      <c r="AK4" s="318">
        <f>V1-W1</f>
        <v>2000</v>
      </c>
      <c r="AP4" s="276">
        <v>26500</v>
      </c>
      <c r="BG4" s="3"/>
      <c r="BH4" s="3"/>
    </row>
    <row r="5" spans="2:70"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70" x14ac:dyDescent="0.35">
      <c r="T6" s="119" t="s">
        <v>390</v>
      </c>
      <c r="AG6" s="128">
        <v>0.3</v>
      </c>
      <c r="AJ6" s="205">
        <f>AJ7-AK7</f>
        <v>1446.8443681368808</v>
      </c>
      <c r="BG6" s="3"/>
      <c r="BH6" s="3"/>
    </row>
    <row r="7" spans="2:70"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 t="shared" ref="AG7:AH11" si="1">U7+W7+Y7+AA7+AC7+AE7</f>
        <v>1</v>
      </c>
      <c r="AH7" s="177">
        <f>V7+X7+Z7+AB7+AD7+AF7</f>
        <v>20054.906160760027</v>
      </c>
      <c r="AI7" s="175">
        <f>AI$1+AH7</f>
        <v>21919.856143641311</v>
      </c>
      <c r="AJ7" s="194">
        <f>AJ$1+AI7</f>
        <v>23193.711993450052</v>
      </c>
      <c r="AK7" s="175">
        <f>AK$1+$V$3</f>
        <v>21746.867625313171</v>
      </c>
      <c r="AL7" s="172">
        <f>AL$1+AK7*$AK$2+AJ7*$AJ$2</f>
        <v>24471.229214111583</v>
      </c>
      <c r="AM7" s="172">
        <f>AL7+$AM$1</f>
        <v>25847.291556258813</v>
      </c>
      <c r="AN7" s="172">
        <f>AL7+$AN$1</f>
        <v>26803.115316678472</v>
      </c>
      <c r="AO7" s="175">
        <f>AM7</f>
        <v>25847.291556258813</v>
      </c>
      <c r="AP7" s="196">
        <f>$AP$4*AQ7/1000</f>
        <v>30740</v>
      </c>
      <c r="AQ7" s="109">
        <v>1160</v>
      </c>
      <c r="AR7" s="130">
        <f>AP7-AO7</f>
        <v>4892.7084437411868</v>
      </c>
      <c r="AS7" s="153">
        <f>AR7/AP7</f>
        <v>0.15916423044050707</v>
      </c>
      <c r="AU7" s="109">
        <f>AJ7/$AP$4*1.1*1000</f>
        <v>962.757856331889</v>
      </c>
      <c r="AX7" s="147">
        <f>AH7/$AP$4*1000</f>
        <v>756.78891172679357</v>
      </c>
      <c r="AY7" s="198">
        <f t="shared" ref="AY7:BF12" si="2">AI7/$AP$4*1000</f>
        <v>827.16438277891734</v>
      </c>
      <c r="AZ7" s="198">
        <f t="shared" si="2"/>
        <v>875.23441484717182</v>
      </c>
      <c r="BA7" s="198">
        <f t="shared" si="2"/>
        <v>820.63651416276116</v>
      </c>
      <c r="BB7" s="199">
        <f t="shared" si="2"/>
        <v>923.44261185326729</v>
      </c>
      <c r="BC7" s="199">
        <f t="shared" si="2"/>
        <v>975.36949268901185</v>
      </c>
      <c r="BD7" s="199">
        <f t="shared" si="2"/>
        <v>1011.4383138369234</v>
      </c>
      <c r="BE7" s="147">
        <f>AO7/$AP$4*1000</f>
        <v>975.36949268901185</v>
      </c>
      <c r="BF7" s="200">
        <f t="shared" si="2"/>
        <v>1160</v>
      </c>
      <c r="BG7" s="201">
        <f>BF7-BE7</f>
        <v>184.63050731098815</v>
      </c>
      <c r="BH7" s="202">
        <f>BG7/BE7</f>
        <v>0.1892928871519011</v>
      </c>
      <c r="BJ7" s="109">
        <f>'Hảo_R&amp;D (Hạt) (full stage)-Chai'!BE7</f>
        <v>1002.6684430312172</v>
      </c>
      <c r="BK7" s="109">
        <f>'Hảo_R&amp;D (Hạt) (full stage)-MN'!BE7</f>
        <v>948.07054234680652</v>
      </c>
      <c r="BL7" s="109">
        <f>BE7</f>
        <v>975.36949268901185</v>
      </c>
      <c r="BM7" s="130">
        <f>BJ7-BK7</f>
        <v>54.597900684410661</v>
      </c>
      <c r="BO7" s="109">
        <f>'Hảo_R&amp;D (Hạt) (full stage)-Chai'!AO7</f>
        <v>26570.713740327254</v>
      </c>
      <c r="BP7" s="109">
        <f>'Hảo_R&amp;D (Hạt) (full stage)-MN'!AO7</f>
        <v>25123.869372190373</v>
      </c>
      <c r="BQ7" s="109">
        <f>AO7</f>
        <v>25847.291556258813</v>
      </c>
      <c r="BR7" s="130">
        <f>BO7-BP7</f>
        <v>1446.8443681368808</v>
      </c>
    </row>
    <row r="8" spans="2:70"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si="1"/>
        <v>1</v>
      </c>
      <c r="AH8" s="177">
        <f t="shared" si="1"/>
        <v>19826.54538400405</v>
      </c>
      <c r="AI8" s="175">
        <f t="shared" ref="AI8:AJ11" si="3">AI$1+AH8</f>
        <v>21691.495366885334</v>
      </c>
      <c r="AJ8" s="194">
        <f t="shared" si="3"/>
        <v>22965.351216694071</v>
      </c>
      <c r="AK8" s="175">
        <f t="shared" ref="AK8:AK11" si="4">AK$1+$V$3</f>
        <v>21746.867625313171</v>
      </c>
      <c r="AL8" s="172">
        <f>AL$1+AK8*$AK$2+AJ8*$AJ$2</f>
        <v>24357.048825733593</v>
      </c>
      <c r="AM8" s="172">
        <f>AL8+$AM$1</f>
        <v>25733.111167880823</v>
      </c>
      <c r="AN8" s="172">
        <f>AL8+$AN$1</f>
        <v>26688.934928300481</v>
      </c>
      <c r="AO8" s="175">
        <f>AM8</f>
        <v>25733.111167880823</v>
      </c>
      <c r="AP8" s="196">
        <f>$AP$4*AQ8/1000</f>
        <v>31535</v>
      </c>
      <c r="AQ8" s="130">
        <f>AQ7+30</f>
        <v>1190</v>
      </c>
      <c r="AR8" s="130">
        <f>AP8-AO8</f>
        <v>5801.8888321191771</v>
      </c>
      <c r="AS8" s="153">
        <f>AR8/AP8</f>
        <v>0.18398252202692808</v>
      </c>
      <c r="AU8" s="109">
        <f t="shared" ref="AU8:AU11" si="5">AJ8/$AP$4*1.1*1000</f>
        <v>953.27872974956529</v>
      </c>
      <c r="AX8" s="147">
        <f>AH8/$AP$4*1000</f>
        <v>748.17152392468108</v>
      </c>
      <c r="AY8" s="198">
        <f t="shared" si="2"/>
        <v>818.54699497680508</v>
      </c>
      <c r="AZ8" s="198">
        <f t="shared" si="2"/>
        <v>866.61702704505933</v>
      </c>
      <c r="BA8" s="198">
        <f t="shared" si="2"/>
        <v>820.63651416276116</v>
      </c>
      <c r="BB8" s="199">
        <f t="shared" si="2"/>
        <v>919.13391795221105</v>
      </c>
      <c r="BC8" s="199">
        <f t="shared" si="2"/>
        <v>971.0607987879556</v>
      </c>
      <c r="BD8" s="199">
        <f t="shared" si="2"/>
        <v>1007.1296199358673</v>
      </c>
      <c r="BE8" s="147">
        <f t="shared" si="2"/>
        <v>971.0607987879556</v>
      </c>
      <c r="BF8" s="200">
        <f t="shared" si="2"/>
        <v>1190</v>
      </c>
      <c r="BG8" s="201">
        <f>BF8-BE8</f>
        <v>218.9392012120444</v>
      </c>
      <c r="BH8" s="202">
        <f>BG8/BE8</f>
        <v>0.22546394776240242</v>
      </c>
      <c r="BJ8" s="109">
        <f>'Hảo_R&amp;D (Hạt) (full stage)-Chai'!BE8</f>
        <v>994.05105522910469</v>
      </c>
      <c r="BK8" s="109">
        <f>'Hảo_R&amp;D (Hạt) (full stage)-MN'!BE8</f>
        <v>948.07054234680652</v>
      </c>
      <c r="BL8" s="109">
        <f>BE8</f>
        <v>971.0607987879556</v>
      </c>
      <c r="BM8" s="130">
        <f>BJ8-BK8</f>
        <v>45.980512882298171</v>
      </c>
      <c r="BO8" s="109">
        <f>'Hảo_R&amp;D (Hạt) (full stage)-Chai'!AO8</f>
        <v>26342.352963571273</v>
      </c>
      <c r="BP8" s="109">
        <f>'Hảo_R&amp;D (Hạt) (full stage)-MN'!AO8</f>
        <v>25123.869372190373</v>
      </c>
      <c r="BQ8" s="109">
        <f>AO8</f>
        <v>25733.111167880823</v>
      </c>
      <c r="BR8" s="130">
        <f>BO8-BP8</f>
        <v>1218.4835913809002</v>
      </c>
    </row>
    <row r="9" spans="2:70"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1"/>
        <v>1</v>
      </c>
      <c r="AH9" s="177">
        <f t="shared" si="1"/>
        <v>19112.177744792491</v>
      </c>
      <c r="AI9" s="175">
        <f t="shared" si="3"/>
        <v>20977.127727673775</v>
      </c>
      <c r="AJ9" s="194">
        <f t="shared" si="3"/>
        <v>22250.983577482511</v>
      </c>
      <c r="AK9" s="175">
        <f t="shared" si="4"/>
        <v>21746.867625313171</v>
      </c>
      <c r="AL9" s="172">
        <f>AL$1+AK9*$AK$2+AJ9*$AJ$2</f>
        <v>23999.865006127813</v>
      </c>
      <c r="AM9" s="172">
        <f>AL9+$AM$1</f>
        <v>25375.927348275043</v>
      </c>
      <c r="AN9" s="172">
        <f>AL9+$AN$1</f>
        <v>26331.751108694702</v>
      </c>
      <c r="AO9" s="175">
        <f>AM9</f>
        <v>25375.927348275043</v>
      </c>
      <c r="AP9" s="196">
        <f>$AP$4*AQ9/1000</f>
        <v>28885</v>
      </c>
      <c r="AQ9" s="130">
        <f>AQ7-70</f>
        <v>1090</v>
      </c>
      <c r="AR9" s="130">
        <f>AP9-AO9</f>
        <v>3509.0726517249568</v>
      </c>
      <c r="AS9" s="153">
        <f>AR9/AP9</f>
        <v>0.12148425313224707</v>
      </c>
      <c r="AU9" s="109">
        <f t="shared" si="5"/>
        <v>923.62573340493452</v>
      </c>
      <c r="AX9" s="147">
        <f>AH9/$AP$4*1000</f>
        <v>721.2142545204714</v>
      </c>
      <c r="AY9" s="198">
        <f t="shared" si="2"/>
        <v>791.58972557259517</v>
      </c>
      <c r="AZ9" s="198">
        <f t="shared" si="2"/>
        <v>839.65975764084942</v>
      </c>
      <c r="BA9" s="198">
        <f t="shared" si="2"/>
        <v>820.63651416276116</v>
      </c>
      <c r="BB9" s="199">
        <f t="shared" si="2"/>
        <v>905.65528325010609</v>
      </c>
      <c r="BC9" s="199">
        <f t="shared" si="2"/>
        <v>957.58216408585076</v>
      </c>
      <c r="BD9" s="199">
        <f t="shared" si="2"/>
        <v>993.6509852337623</v>
      </c>
      <c r="BE9" s="147">
        <f t="shared" si="2"/>
        <v>957.58216408585076</v>
      </c>
      <c r="BF9" s="200">
        <f t="shared" si="2"/>
        <v>1090</v>
      </c>
      <c r="BG9" s="201">
        <f>BF9-BE9</f>
        <v>132.41783591414924</v>
      </c>
      <c r="BH9" s="202">
        <f>BG9/BE9</f>
        <v>0.13828352373350752</v>
      </c>
      <c r="BJ9" s="109">
        <f>'Hảo_R&amp;D (Hạt) (full stage)-Chai'!BE9</f>
        <v>967.09378582489478</v>
      </c>
      <c r="BK9" s="109">
        <f>'Hảo_R&amp;D (Hạt) (full stage)-MN'!BE9</f>
        <v>948.07054234680652</v>
      </c>
      <c r="BL9" s="109">
        <f>BE9</f>
        <v>957.58216408585076</v>
      </c>
      <c r="BM9" s="130">
        <f>BJ9-BK9</f>
        <v>19.023243478088261</v>
      </c>
      <c r="BO9" s="109">
        <f>'Hảo_R&amp;D (Hạt) (full stage)-Chai'!AO9</f>
        <v>25627.985324359714</v>
      </c>
      <c r="BP9" s="109">
        <f>'Hảo_R&amp;D (Hạt) (full stage)-MN'!AO9</f>
        <v>25123.869372190373</v>
      </c>
      <c r="BQ9" s="109">
        <f>AO9</f>
        <v>25375.927348275043</v>
      </c>
      <c r="BR9" s="130">
        <f>BO9-BP9</f>
        <v>504.11595216934074</v>
      </c>
    </row>
    <row r="10" spans="2:70"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1"/>
        <v>1</v>
      </c>
      <c r="AH10" s="177">
        <f t="shared" si="1"/>
        <v>18853.682855909705</v>
      </c>
      <c r="AI10" s="175">
        <f t="shared" si="3"/>
        <v>20718.632838790989</v>
      </c>
      <c r="AJ10" s="194">
        <f t="shared" si="3"/>
        <v>21992.488688599726</v>
      </c>
      <c r="AK10" s="175">
        <f t="shared" si="4"/>
        <v>21746.867625313171</v>
      </c>
      <c r="AL10" s="322">
        <f>AL$1+AK10*$AK$2+AJ10*$AJ$2</f>
        <v>23870.61756168642</v>
      </c>
      <c r="AM10" s="172">
        <f>AL10+$AM$1</f>
        <v>25246.67990383365</v>
      </c>
      <c r="AN10" s="172">
        <f>AL10+$AN$1</f>
        <v>26202.503664253309</v>
      </c>
      <c r="AO10" s="323">
        <f>AL10</f>
        <v>23870.61756168642</v>
      </c>
      <c r="AP10" s="196">
        <f>$AP$4*AQ10/1000</f>
        <v>21200</v>
      </c>
      <c r="AQ10" s="130">
        <v>800</v>
      </c>
      <c r="AR10" s="273">
        <f>AP10-AO10</f>
        <v>-2670.6175616864202</v>
      </c>
      <c r="AS10" s="274">
        <f>AR10/AP10</f>
        <v>-0.12597252649464247</v>
      </c>
      <c r="AU10" s="109">
        <f>AJ10/$AP$4*1.1*1000</f>
        <v>912.89575688527168</v>
      </c>
      <c r="AX10" s="147">
        <f>AH10/$AP$4*1000</f>
        <v>711.45973041168702</v>
      </c>
      <c r="AY10" s="198">
        <f t="shared" si="2"/>
        <v>781.8352014638109</v>
      </c>
      <c r="AZ10" s="198">
        <f t="shared" si="2"/>
        <v>829.90523353206515</v>
      </c>
      <c r="BA10" s="198">
        <f t="shared" si="2"/>
        <v>820.63651416276116</v>
      </c>
      <c r="BB10" s="199">
        <f t="shared" si="2"/>
        <v>900.7780211957139</v>
      </c>
      <c r="BC10" s="199">
        <f t="shared" si="2"/>
        <v>952.70490203145857</v>
      </c>
      <c r="BD10" s="199">
        <f t="shared" si="2"/>
        <v>988.77372317937022</v>
      </c>
      <c r="BE10" s="147">
        <f t="shared" si="2"/>
        <v>900.7780211957139</v>
      </c>
      <c r="BF10" s="200">
        <f>AP10/$AP$4*1000</f>
        <v>800</v>
      </c>
      <c r="BG10" s="268">
        <f>BF10-BE10</f>
        <v>-100.7780211957139</v>
      </c>
      <c r="BH10" s="269">
        <f>BG10/BE10</f>
        <v>-0.11187886340958762</v>
      </c>
      <c r="BJ10" s="109">
        <f>'Hảo_R&amp;D (Hạt) (full stage)-Chai'!BE10</f>
        <v>905.41238088036596</v>
      </c>
      <c r="BK10" s="109">
        <f>'Hảo_R&amp;D (Hạt) (full stage)-MN'!BE10</f>
        <v>896.14366151106196</v>
      </c>
      <c r="BL10" s="109">
        <f>BE10</f>
        <v>900.7780211957139</v>
      </c>
      <c r="BM10" s="130">
        <f>BJ10-BK10</f>
        <v>9.2687193693039944</v>
      </c>
      <c r="BO10" s="109">
        <f>'Hảo_R&amp;D (Hạt) (full stage)-Chai'!AO10</f>
        <v>23993.428093329698</v>
      </c>
      <c r="BP10" s="109">
        <f>'Hảo_R&amp;D (Hạt) (full stage)-MN'!AO10</f>
        <v>23747.807030043143</v>
      </c>
      <c r="BQ10" s="109">
        <f>AO10</f>
        <v>23870.61756168642</v>
      </c>
      <c r="BR10" s="130">
        <f>BO10-BP10</f>
        <v>245.621063286555</v>
      </c>
    </row>
    <row r="11" spans="2:70"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1"/>
        <v>1</v>
      </c>
      <c r="AH11" s="177">
        <f t="shared" si="1"/>
        <v>18504.154010131388</v>
      </c>
      <c r="AI11" s="175">
        <f t="shared" si="3"/>
        <v>20369.103993012672</v>
      </c>
      <c r="AJ11" s="194">
        <f t="shared" si="3"/>
        <v>21642.959842821409</v>
      </c>
      <c r="AK11" s="323">
        <f t="shared" si="4"/>
        <v>21746.867625313171</v>
      </c>
      <c r="AL11" s="172">
        <f>AL$1+AK11*$AK$2+AJ11*$AJ$2</f>
        <v>23695.853138797262</v>
      </c>
      <c r="AM11" s="172">
        <f>AL11</f>
        <v>23695.853138797262</v>
      </c>
      <c r="AN11" s="172">
        <f>AM11</f>
        <v>23695.853138797262</v>
      </c>
      <c r="AO11" s="323">
        <f>+AK11*$AK$2+AJ11*$AJ$2</f>
        <v>21694.91373406729</v>
      </c>
      <c r="AP11" s="196">
        <f>$AP$4*AQ11/1000</f>
        <v>25970</v>
      </c>
      <c r="AQ11" s="179">
        <v>980</v>
      </c>
      <c r="AR11" s="130">
        <f>AP11-AO11</f>
        <v>4275.0862659327104</v>
      </c>
      <c r="AS11" s="153">
        <f>AR11/AP11</f>
        <v>0.1646163367706088</v>
      </c>
      <c r="AU11" s="109">
        <f t="shared" si="5"/>
        <v>898.38701234353027</v>
      </c>
      <c r="AX11" s="147">
        <f>AH11/$AP$4*1000</f>
        <v>698.26996264646743</v>
      </c>
      <c r="AY11" s="198">
        <f t="shared" si="2"/>
        <v>768.64543369859143</v>
      </c>
      <c r="AZ11" s="198">
        <f t="shared" si="2"/>
        <v>816.71546576684557</v>
      </c>
      <c r="BA11" s="198">
        <f t="shared" si="2"/>
        <v>820.63651416276116</v>
      </c>
      <c r="BB11" s="199">
        <f t="shared" si="2"/>
        <v>894.18313731310423</v>
      </c>
      <c r="BC11" s="199">
        <f t="shared" si="2"/>
        <v>894.18313731310423</v>
      </c>
      <c r="BD11" s="199">
        <f t="shared" si="2"/>
        <v>894.18313731310423</v>
      </c>
      <c r="BE11" s="147">
        <f t="shared" si="2"/>
        <v>818.67598996480342</v>
      </c>
      <c r="BF11" s="200">
        <f t="shared" si="2"/>
        <v>980</v>
      </c>
      <c r="BG11" s="201">
        <f>BF11-BE11</f>
        <v>161.32401003519658</v>
      </c>
      <c r="BH11" s="202">
        <f>BG11/BE11</f>
        <v>0.19705477137802982</v>
      </c>
      <c r="BJ11" s="109">
        <f>'Hảo_R&amp;D (Hạt) (full stage)-Chai'!BE11</f>
        <v>816.71546576684557</v>
      </c>
      <c r="BK11" s="109">
        <f>'Hảo_R&amp;D (Hạt) (full stage)-MN'!BE11</f>
        <v>820.63651416276116</v>
      </c>
      <c r="BL11" s="147">
        <f>BE11</f>
        <v>818.67598996480342</v>
      </c>
      <c r="BM11" s="130">
        <f>BJ11-BK11</f>
        <v>-3.9210483959155908</v>
      </c>
      <c r="BO11" s="109">
        <f>'Hảo_R&amp;D (Hạt) (full stage)-Chai'!AO11</f>
        <v>21642.959842821409</v>
      </c>
      <c r="BP11" s="109">
        <f>'Hảo_R&amp;D (Hạt) (full stage)-MN'!AO11</f>
        <v>21746.867625313171</v>
      </c>
      <c r="BQ11" s="109">
        <f>AO11</f>
        <v>21694.91373406729</v>
      </c>
      <c r="BR11" s="130">
        <f>BO11-BP11</f>
        <v>-103.90778249176219</v>
      </c>
    </row>
    <row r="12" spans="2:70" x14ac:dyDescent="0.35">
      <c r="AH12" s="205">
        <v>22566</v>
      </c>
      <c r="AJ12" s="191"/>
      <c r="AK12" s="205">
        <v>25925</v>
      </c>
      <c r="BA12" s="198">
        <f t="shared" si="2"/>
        <v>978.30188679245282</v>
      </c>
    </row>
    <row r="13" spans="2:70" x14ac:dyDescent="0.35">
      <c r="AH13" s="205">
        <f>AH12-AH11</f>
        <v>4061.8459898686124</v>
      </c>
      <c r="AJ13" s="191"/>
      <c r="AK13" s="205">
        <f>AK12-AK11</f>
        <v>4178.1323746868293</v>
      </c>
    </row>
    <row r="14" spans="2:70" x14ac:dyDescent="0.35">
      <c r="T14" s="119" t="s">
        <v>387</v>
      </c>
      <c r="W14" s="116" t="s">
        <v>48</v>
      </c>
      <c r="AG14" s="126">
        <v>0.53</v>
      </c>
      <c r="AJ14" s="191"/>
    </row>
    <row r="15" spans="2:70"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6">U15+W15+Y15+AA15+AC15+AE15</f>
        <v>1</v>
      </c>
      <c r="AH15" s="177">
        <f t="shared" si="6"/>
        <v>20169.086549138014</v>
      </c>
      <c r="AI15" s="175">
        <f t="shared" ref="AI15:AJ18" si="7">AI$1+AH15</f>
        <v>22034.036532019298</v>
      </c>
      <c r="AJ15" s="194">
        <f t="shared" si="7"/>
        <v>23307.892381828038</v>
      </c>
      <c r="AK15" s="175">
        <f t="shared" ref="AK15:AK18" si="8">AK$1+$V$3</f>
        <v>21746.867625313171</v>
      </c>
      <c r="AL15" s="172">
        <f>AL$1+AK15*$AK$2+AJ15*$AJ$2</f>
        <v>24528.319408300576</v>
      </c>
      <c r="AM15" s="172">
        <f>AL15+$AM$1</f>
        <v>25904.381750447807</v>
      </c>
      <c r="AN15" s="172">
        <f>AL15+$AN$1</f>
        <v>26860.205510867465</v>
      </c>
      <c r="AO15" s="175">
        <f>AM15</f>
        <v>25904.381750447807</v>
      </c>
      <c r="AP15" s="196">
        <f>$AP$4*AQ15/1000</f>
        <v>30740</v>
      </c>
      <c r="AQ15" s="130">
        <f>AQ7</f>
        <v>1160</v>
      </c>
      <c r="AR15" s="130">
        <f>AP15-AO15</f>
        <v>4835.6182495521934</v>
      </c>
      <c r="AS15" s="153">
        <f>AR15/AP15</f>
        <v>0.15730703479350011</v>
      </c>
      <c r="AU15" s="109">
        <f t="shared" ref="AU15:AU18" si="9">AJ15/$AP$4*1.1*1000</f>
        <v>967.49741962305075</v>
      </c>
      <c r="AX15" s="147">
        <f t="shared" ref="AX15:BF18" si="10">AH15/$AP$4*1000</f>
        <v>761.09760562784959</v>
      </c>
      <c r="AY15" s="198">
        <f t="shared" si="10"/>
        <v>831.47307667997347</v>
      </c>
      <c r="AZ15" s="198">
        <f t="shared" si="10"/>
        <v>879.54310874822784</v>
      </c>
      <c r="BA15" s="198">
        <f t="shared" si="10"/>
        <v>820.63651416276116</v>
      </c>
      <c r="BB15" s="199">
        <f t="shared" si="10"/>
        <v>925.59695880379536</v>
      </c>
      <c r="BC15" s="199">
        <f t="shared" si="10"/>
        <v>977.5238396395398</v>
      </c>
      <c r="BD15" s="199">
        <f t="shared" si="10"/>
        <v>1013.5926607874515</v>
      </c>
      <c r="BE15" s="147">
        <f t="shared" si="10"/>
        <v>977.5238396395398</v>
      </c>
      <c r="BF15" s="200">
        <f t="shared" si="10"/>
        <v>1160</v>
      </c>
      <c r="BG15" s="201">
        <f>BF15-BE15</f>
        <v>182.4761603604602</v>
      </c>
      <c r="BH15" s="202">
        <f>BG15/BE15</f>
        <v>0.18667182626231188</v>
      </c>
      <c r="BJ15" s="109">
        <f>'Hảo_R&amp;D (Hạt) (full stage)-Chai'!BE15</f>
        <v>1006.9771369322733</v>
      </c>
      <c r="BK15" s="109">
        <f>'Hảo_R&amp;D (Hạt) (full stage)-MN'!BE15</f>
        <v>948.07054234680652</v>
      </c>
      <c r="BL15" s="109">
        <f>BE15</f>
        <v>977.5238396395398</v>
      </c>
      <c r="BM15" s="130">
        <f>BJ15-BK15</f>
        <v>58.906594585466792</v>
      </c>
      <c r="BO15" s="109">
        <f>'Hảo_R&amp;D (Hạt) (full stage)-Chai'!AO15</f>
        <v>26684.89412870524</v>
      </c>
      <c r="BP15" s="109">
        <f>'Hảo_R&amp;D (Hạt) (full stage)-MN'!AO15</f>
        <v>25123.869372190373</v>
      </c>
      <c r="BQ15" s="109">
        <f>AO15</f>
        <v>25904.381750447807</v>
      </c>
      <c r="BR15" s="130">
        <f>BO15-BP15</f>
        <v>1561.0247565148675</v>
      </c>
    </row>
    <row r="16" spans="2:70"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6"/>
        <v>1</v>
      </c>
      <c r="AH16" s="177">
        <f t="shared" si="6"/>
        <v>20169.086549138014</v>
      </c>
      <c r="AI16" s="175">
        <f t="shared" si="7"/>
        <v>22034.036532019298</v>
      </c>
      <c r="AJ16" s="194">
        <f t="shared" si="7"/>
        <v>23307.892381828038</v>
      </c>
      <c r="AK16" s="175">
        <f t="shared" si="8"/>
        <v>21746.867625313171</v>
      </c>
      <c r="AL16" s="172">
        <f>AL$1+AK16*$AK$2+AJ16*$AJ$2</f>
        <v>24528.319408300576</v>
      </c>
      <c r="AM16" s="172">
        <f>AL16+$AM$1</f>
        <v>25904.381750447807</v>
      </c>
      <c r="AN16" s="172">
        <f>AL16+$AN$1</f>
        <v>26860.205510867465</v>
      </c>
      <c r="AO16" s="175">
        <f>AM16</f>
        <v>25904.381750447807</v>
      </c>
      <c r="AP16" s="196">
        <f>$AP$4*AQ16/1000</f>
        <v>31535</v>
      </c>
      <c r="AQ16" s="130">
        <f>AQ7+30</f>
        <v>1190</v>
      </c>
      <c r="AR16" s="130">
        <f>AP16-AO16</f>
        <v>5630.6182495521934</v>
      </c>
      <c r="AS16" s="153">
        <f>AR16/AP16</f>
        <v>0.17855139526089087</v>
      </c>
      <c r="AU16" s="109">
        <f t="shared" si="9"/>
        <v>967.49741962305075</v>
      </c>
      <c r="AX16" s="147">
        <f t="shared" si="10"/>
        <v>761.09760562784959</v>
      </c>
      <c r="AY16" s="198">
        <f t="shared" si="10"/>
        <v>831.47307667997347</v>
      </c>
      <c r="AZ16" s="198">
        <f t="shared" si="10"/>
        <v>879.54310874822784</v>
      </c>
      <c r="BA16" s="198">
        <f t="shared" si="10"/>
        <v>820.63651416276116</v>
      </c>
      <c r="BB16" s="199">
        <f t="shared" si="10"/>
        <v>925.59695880379536</v>
      </c>
      <c r="BC16" s="199">
        <f t="shared" si="10"/>
        <v>977.5238396395398</v>
      </c>
      <c r="BD16" s="199">
        <f t="shared" si="10"/>
        <v>1013.5926607874515</v>
      </c>
      <c r="BE16" s="147">
        <f t="shared" si="10"/>
        <v>977.5238396395398</v>
      </c>
      <c r="BF16" s="200">
        <f t="shared" si="10"/>
        <v>1190</v>
      </c>
      <c r="BG16" s="201">
        <f>BF16-BE16</f>
        <v>212.4761603604602</v>
      </c>
      <c r="BH16" s="202">
        <f>BG16/BE16</f>
        <v>0.2173616148725441</v>
      </c>
      <c r="BJ16" s="109">
        <f>'Hảo_R&amp;D (Hạt) (full stage)-Chai'!BE16</f>
        <v>1006.9771369322733</v>
      </c>
      <c r="BK16" s="109">
        <f>'Hảo_R&amp;D (Hạt) (full stage)-MN'!BE16</f>
        <v>948.07054234680652</v>
      </c>
      <c r="BL16" s="109">
        <f>BE16</f>
        <v>977.5238396395398</v>
      </c>
      <c r="BM16" s="130">
        <f>BJ16-BK16</f>
        <v>58.906594585466792</v>
      </c>
      <c r="BO16" s="109">
        <f>'Hảo_R&amp;D (Hạt) (full stage)-Chai'!AO16</f>
        <v>26684.89412870524</v>
      </c>
      <c r="BP16" s="109">
        <f>'Hảo_R&amp;D (Hạt) (full stage)-MN'!AO16</f>
        <v>25123.869372190373</v>
      </c>
      <c r="BQ16" s="109">
        <f>AO16</f>
        <v>25904.381750447807</v>
      </c>
      <c r="BR16" s="130">
        <f>BO16-BP16</f>
        <v>1561.0247565148675</v>
      </c>
    </row>
    <row r="17" spans="20:7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6"/>
        <v>1</v>
      </c>
      <c r="AH17" s="177">
        <f>V17+X17+Z17+AB17+AD17+AF17</f>
        <v>20169.086549138014</v>
      </c>
      <c r="AI17" s="175">
        <f t="shared" si="7"/>
        <v>22034.036532019298</v>
      </c>
      <c r="AJ17" s="194">
        <f t="shared" si="7"/>
        <v>23307.892381828038</v>
      </c>
      <c r="AK17" s="175">
        <f t="shared" si="8"/>
        <v>21746.867625313171</v>
      </c>
      <c r="AL17" s="172">
        <f>AL$1+AK17*$AK$2+AJ17*$AJ$2</f>
        <v>24528.319408300576</v>
      </c>
      <c r="AM17" s="172">
        <f>AL17+$AM$1</f>
        <v>25904.381750447807</v>
      </c>
      <c r="AN17" s="172">
        <f>AL17+$AN$1</f>
        <v>26860.205510867465</v>
      </c>
      <c r="AO17" s="175">
        <f>AM17</f>
        <v>25904.381750447807</v>
      </c>
      <c r="AP17" s="196">
        <f>$AP$4*AQ17/1000</f>
        <v>33125</v>
      </c>
      <c r="AQ17" s="130">
        <f>AQ7+90</f>
        <v>1250</v>
      </c>
      <c r="AR17" s="130">
        <f>AP17-AO17</f>
        <v>7220.6182495521934</v>
      </c>
      <c r="AS17" s="153">
        <f>AR17/AP17</f>
        <v>0.2179809282883681</v>
      </c>
      <c r="AU17" s="109">
        <f t="shared" si="9"/>
        <v>967.49741962305075</v>
      </c>
      <c r="AX17" s="147">
        <f t="shared" si="10"/>
        <v>761.09760562784959</v>
      </c>
      <c r="AY17" s="198">
        <f t="shared" si="10"/>
        <v>831.47307667997347</v>
      </c>
      <c r="AZ17" s="198">
        <f t="shared" si="10"/>
        <v>879.54310874822784</v>
      </c>
      <c r="BA17" s="198">
        <f t="shared" si="10"/>
        <v>820.63651416276116</v>
      </c>
      <c r="BB17" s="199">
        <f t="shared" si="10"/>
        <v>925.59695880379536</v>
      </c>
      <c r="BC17" s="199">
        <f t="shared" si="10"/>
        <v>977.5238396395398</v>
      </c>
      <c r="BD17" s="199">
        <f t="shared" si="10"/>
        <v>1013.5926607874515</v>
      </c>
      <c r="BE17" s="147">
        <f t="shared" si="10"/>
        <v>977.5238396395398</v>
      </c>
      <c r="BF17" s="200">
        <f t="shared" si="10"/>
        <v>1250</v>
      </c>
      <c r="BG17" s="201">
        <f>BF17-BE17</f>
        <v>272.4761603604602</v>
      </c>
      <c r="BH17" s="202">
        <f>BG17/BE17</f>
        <v>0.27874119209300852</v>
      </c>
      <c r="BJ17" s="109">
        <f>'Hảo_R&amp;D (Hạt) (full stage)-Chai'!BE17</f>
        <v>1006.9771369322733</v>
      </c>
      <c r="BK17" s="109">
        <f>'Hảo_R&amp;D (Hạt) (full stage)-MN'!BE17</f>
        <v>948.07054234680652</v>
      </c>
      <c r="BL17" s="109">
        <f>BE17</f>
        <v>977.5238396395398</v>
      </c>
      <c r="BM17" s="130">
        <f>BJ17-BK17</f>
        <v>58.906594585466792</v>
      </c>
      <c r="BO17" s="109">
        <f>'Hảo_R&amp;D (Hạt) (full stage)-Chai'!AO17</f>
        <v>26684.89412870524</v>
      </c>
      <c r="BP17" s="109">
        <f>'Hảo_R&amp;D (Hạt) (full stage)-MN'!AO17</f>
        <v>25123.869372190373</v>
      </c>
      <c r="BQ17" s="109">
        <f>AO17</f>
        <v>25904.381750447807</v>
      </c>
      <c r="BR17" s="130">
        <f>BO17-BP17</f>
        <v>1561.0247565148675</v>
      </c>
    </row>
    <row r="18" spans="20:7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6"/>
        <v>1</v>
      </c>
      <c r="AH18" s="177">
        <f t="shared" si="6"/>
        <v>20169.086549138014</v>
      </c>
      <c r="AI18" s="175">
        <f t="shared" si="7"/>
        <v>22034.036532019298</v>
      </c>
      <c r="AJ18" s="194">
        <f t="shared" si="7"/>
        <v>23307.892381828038</v>
      </c>
      <c r="AK18" s="175">
        <f t="shared" si="8"/>
        <v>21746.867625313171</v>
      </c>
      <c r="AL18" s="172">
        <f>AL$1+AK18*$AK$2+AJ18*$AJ$2</f>
        <v>24528.319408300576</v>
      </c>
      <c r="AM18" s="172">
        <f>AL18+$AM$1</f>
        <v>25904.381750447807</v>
      </c>
      <c r="AN18" s="172">
        <f>AL18+$AN$1</f>
        <v>26860.205510867465</v>
      </c>
      <c r="AO18" s="175">
        <f>AM18</f>
        <v>25904.381750447807</v>
      </c>
      <c r="AP18" s="196">
        <f>$AP$4*AQ18/1000</f>
        <v>29945</v>
      </c>
      <c r="AQ18" s="130">
        <f>AQ7-30</f>
        <v>1130</v>
      </c>
      <c r="AR18" s="130">
        <f>AP18-AO18</f>
        <v>4040.6182495521934</v>
      </c>
      <c r="AS18" s="153">
        <f>AR18/AP18</f>
        <v>0.13493465518624789</v>
      </c>
      <c r="AU18" s="109">
        <f t="shared" si="9"/>
        <v>967.49741962305075</v>
      </c>
      <c r="AX18" s="147">
        <f t="shared" si="10"/>
        <v>761.09760562784959</v>
      </c>
      <c r="AY18" s="198">
        <f t="shared" si="10"/>
        <v>831.47307667997347</v>
      </c>
      <c r="AZ18" s="198">
        <f t="shared" si="10"/>
        <v>879.54310874822784</v>
      </c>
      <c r="BA18" s="198">
        <f t="shared" si="10"/>
        <v>820.63651416276116</v>
      </c>
      <c r="BB18" s="199">
        <f t="shared" si="10"/>
        <v>925.59695880379536</v>
      </c>
      <c r="BC18" s="199">
        <f t="shared" si="10"/>
        <v>977.5238396395398</v>
      </c>
      <c r="BD18" s="199">
        <f t="shared" si="10"/>
        <v>1013.5926607874515</v>
      </c>
      <c r="BE18" s="147">
        <f t="shared" si="10"/>
        <v>977.5238396395398</v>
      </c>
      <c r="BF18" s="200">
        <f t="shared" si="10"/>
        <v>1130</v>
      </c>
      <c r="BG18" s="201">
        <f>BF18-BE18</f>
        <v>152.4761603604602</v>
      </c>
      <c r="BH18" s="202">
        <f>BG18/BE18</f>
        <v>0.15598203765207969</v>
      </c>
      <c r="BJ18" s="109">
        <f>'Hảo_R&amp;D (Hạt) (full stage)-Chai'!BE18</f>
        <v>1006.9771369322733</v>
      </c>
      <c r="BK18" s="109">
        <f>'Hảo_R&amp;D (Hạt) (full stage)-MN'!BE18</f>
        <v>948.07054234680652</v>
      </c>
      <c r="BL18" s="109">
        <f>BE18</f>
        <v>977.5238396395398</v>
      </c>
      <c r="BM18" s="130">
        <f>BJ18-BK18</f>
        <v>58.906594585466792</v>
      </c>
      <c r="BO18" s="109">
        <f>'Hảo_R&amp;D (Hạt) (full stage)-Chai'!AO18</f>
        <v>26684.89412870524</v>
      </c>
      <c r="BP18" s="109">
        <f>'Hảo_R&amp;D (Hạt) (full stage)-MN'!AO18</f>
        <v>25123.869372190373</v>
      </c>
      <c r="BQ18" s="109">
        <f>AO18</f>
        <v>25904.381750447807</v>
      </c>
      <c r="BR18" s="130">
        <f>BO18-BP18</f>
        <v>1561.0247565148675</v>
      </c>
    </row>
    <row r="19" spans="20:78" x14ac:dyDescent="0.35">
      <c r="AJ19" s="191"/>
    </row>
    <row r="20" spans="20:78" x14ac:dyDescent="0.35">
      <c r="AJ20" s="191"/>
    </row>
    <row r="21" spans="20:78" x14ac:dyDescent="0.35">
      <c r="AJ21" s="191"/>
    </row>
    <row r="22" spans="20:78" x14ac:dyDescent="0.35">
      <c r="AJ22" s="191"/>
    </row>
    <row r="23" spans="20:78" x14ac:dyDescent="0.35">
      <c r="AJ23" s="191"/>
    </row>
    <row r="24" spans="20:78" x14ac:dyDescent="0.35">
      <c r="T24" s="119" t="s">
        <v>388</v>
      </c>
      <c r="AG24" s="126">
        <v>0.05</v>
      </c>
      <c r="AJ24" s="191"/>
    </row>
    <row r="25" spans="20:7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11">U25+W25+Y25+AA25+AC25+AE25</f>
        <v>1</v>
      </c>
      <c r="AH25" s="177">
        <f t="shared" si="11"/>
        <v>19883.142103626953</v>
      </c>
      <c r="AI25" s="175">
        <f t="shared" ref="AI25:AJ29" si="12">AI$1+AH25</f>
        <v>21748.092086508237</v>
      </c>
      <c r="AJ25" s="194">
        <f>AJ$1+AI25</f>
        <v>23021.947936316974</v>
      </c>
      <c r="AK25" s="175">
        <f t="shared" ref="AK25:AK29" si="13">AK$1+$V$3</f>
        <v>21746.867625313171</v>
      </c>
      <c r="AL25" s="172">
        <f>AL$1+AK25*$AK$2+AJ25*$AJ$2</f>
        <v>24385.347185545044</v>
      </c>
      <c r="AM25" s="172">
        <f>AL25+$AM$1</f>
        <v>25761.409527692274</v>
      </c>
      <c r="AN25" s="172">
        <f>AL25+$AN$1</f>
        <v>26717.233288111933</v>
      </c>
      <c r="AO25" s="175">
        <f>AM25</f>
        <v>25761.409527692274</v>
      </c>
      <c r="AP25" s="196">
        <f>$AP$4*AQ25/1000</f>
        <v>30740</v>
      </c>
      <c r="AQ25" s="130">
        <f>AQ7</f>
        <v>1160</v>
      </c>
      <c r="AR25" s="130">
        <f>AP25-AO25</f>
        <v>4978.5904723077256</v>
      </c>
      <c r="AS25" s="153">
        <f>AR25/AP25</f>
        <v>0.16195805049797415</v>
      </c>
      <c r="AU25" s="109">
        <f t="shared" ref="AU25:AU29" si="14">AJ25/$AP$4*1.1*1000</f>
        <v>955.62802754523295</v>
      </c>
      <c r="AX25" s="147">
        <f t="shared" ref="AX25:BF29" si="15">AH25/$AP$4*1000</f>
        <v>750.30724919346994</v>
      </c>
      <c r="AY25" s="198">
        <f t="shared" si="15"/>
        <v>820.68272024559383</v>
      </c>
      <c r="AZ25" s="198">
        <f t="shared" si="15"/>
        <v>868.75275231384808</v>
      </c>
      <c r="BA25" s="198">
        <f t="shared" si="15"/>
        <v>820.63651416276116</v>
      </c>
      <c r="BB25" s="199">
        <f t="shared" si="15"/>
        <v>920.20178058660542</v>
      </c>
      <c r="BC25" s="199">
        <f t="shared" si="15"/>
        <v>972.12866142234998</v>
      </c>
      <c r="BD25" s="199">
        <f t="shared" si="15"/>
        <v>1008.1974825702615</v>
      </c>
      <c r="BE25" s="147">
        <f t="shared" si="15"/>
        <v>972.12866142234998</v>
      </c>
      <c r="BF25" s="200">
        <f t="shared" si="15"/>
        <v>1160</v>
      </c>
      <c r="BG25" s="201">
        <f>BF25-BE25</f>
        <v>187.87133857765002</v>
      </c>
      <c r="BH25" s="202">
        <f>BG25/BE25</f>
        <v>0.19325768906223786</v>
      </c>
      <c r="BJ25" s="109">
        <f>'Hảo_R&amp;D (Hạt) (full stage)-Chai'!BE25</f>
        <v>996.18678049789344</v>
      </c>
      <c r="BK25" s="109">
        <f>'Hảo_R&amp;D (Hạt) (full stage)-MN'!BE25</f>
        <v>948.07054234680652</v>
      </c>
      <c r="BL25" s="109">
        <f>BE25</f>
        <v>972.12866142234998</v>
      </c>
      <c r="BM25" s="130">
        <f>BJ25-BK25</f>
        <v>48.116238151086918</v>
      </c>
      <c r="BO25" s="109">
        <f>'Hảo_R&amp;D (Hạt) (full stage)-Chai'!AO25</f>
        <v>26398.949683194176</v>
      </c>
      <c r="BP25" s="109">
        <f>'Hảo_R&amp;D (Hạt) (full stage)-MN'!AO25</f>
        <v>25123.869372190373</v>
      </c>
      <c r="BQ25" s="109">
        <f>AO25</f>
        <v>25761.409527692274</v>
      </c>
      <c r="BR25" s="130">
        <f>BO25-BP25</f>
        <v>1275.0803110038032</v>
      </c>
    </row>
    <row r="26" spans="20:78"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11"/>
        <v>1</v>
      </c>
      <c r="AH26" s="177">
        <f t="shared" si="11"/>
        <v>19112.177744792491</v>
      </c>
      <c r="AI26" s="175">
        <f>AI$1+AH26</f>
        <v>20977.127727673775</v>
      </c>
      <c r="AJ26" s="194">
        <f>AJ$1+AI26</f>
        <v>22250.983577482511</v>
      </c>
      <c r="AK26" s="175">
        <f t="shared" si="13"/>
        <v>21746.867625313171</v>
      </c>
      <c r="AL26" s="172">
        <f>AL$1+AK26*$AK$2+AJ26*$AJ$2</f>
        <v>23999.865006127813</v>
      </c>
      <c r="AM26" s="172">
        <f>AL26+$AM$1</f>
        <v>25375.927348275043</v>
      </c>
      <c r="AN26" s="172">
        <f>AL26+$AN$1</f>
        <v>26331.751108694702</v>
      </c>
      <c r="AO26" s="175">
        <f>AM26</f>
        <v>25375.927348275043</v>
      </c>
      <c r="AP26" s="196">
        <f>$AP$4*AQ26/1000</f>
        <v>28885</v>
      </c>
      <c r="AQ26" s="130">
        <f>AQ7-70</f>
        <v>1090</v>
      </c>
      <c r="AR26" s="130">
        <f>AP26-AO26</f>
        <v>3509.0726517249568</v>
      </c>
      <c r="AS26" s="153">
        <f>AR26/AP26</f>
        <v>0.12148425313224707</v>
      </c>
      <c r="AU26" s="109">
        <f t="shared" si="14"/>
        <v>923.62573340493452</v>
      </c>
      <c r="AX26" s="147">
        <f t="shared" si="15"/>
        <v>721.2142545204714</v>
      </c>
      <c r="AY26" s="198">
        <f t="shared" si="15"/>
        <v>791.58972557259517</v>
      </c>
      <c r="AZ26" s="198">
        <f t="shared" si="15"/>
        <v>839.65975764084942</v>
      </c>
      <c r="BA26" s="198">
        <f t="shared" si="15"/>
        <v>820.63651416276116</v>
      </c>
      <c r="BB26" s="199">
        <f t="shared" si="15"/>
        <v>905.65528325010609</v>
      </c>
      <c r="BC26" s="199">
        <f t="shared" si="15"/>
        <v>957.58216408585076</v>
      </c>
      <c r="BD26" s="199">
        <f t="shared" si="15"/>
        <v>993.6509852337623</v>
      </c>
      <c r="BE26" s="147">
        <f t="shared" si="15"/>
        <v>957.58216408585076</v>
      </c>
      <c r="BF26" s="200">
        <f t="shared" si="15"/>
        <v>1090</v>
      </c>
      <c r="BG26" s="201">
        <f>BF26-BE26</f>
        <v>132.41783591414924</v>
      </c>
      <c r="BH26" s="202">
        <f>BG26/BE26</f>
        <v>0.13828352373350752</v>
      </c>
      <c r="BJ26" s="109">
        <f>'Hảo_R&amp;D (Hạt) (full stage)-Chai'!BE26</f>
        <v>967.09378582489478</v>
      </c>
      <c r="BK26" s="109">
        <f>'Hảo_R&amp;D (Hạt) (full stage)-MN'!BE26</f>
        <v>948.07054234680652</v>
      </c>
      <c r="BL26" s="109">
        <f>BE26</f>
        <v>957.58216408585076</v>
      </c>
      <c r="BM26" s="130">
        <f>BJ26-BK26</f>
        <v>19.023243478088261</v>
      </c>
      <c r="BO26" s="109">
        <f>'Hảo_R&amp;D (Hạt) (full stage)-Chai'!AO26</f>
        <v>25627.985324359714</v>
      </c>
      <c r="BP26" s="109">
        <f>'Hảo_R&amp;D (Hạt) (full stage)-MN'!AO26</f>
        <v>25123.869372190373</v>
      </c>
      <c r="BQ26" s="109">
        <f>AO26</f>
        <v>25375.927348275043</v>
      </c>
      <c r="BR26" s="130">
        <f>BO26-BP26</f>
        <v>504.11595216934074</v>
      </c>
      <c r="BT26" s="182">
        <v>1074</v>
      </c>
      <c r="BU26" t="s">
        <v>456</v>
      </c>
      <c r="BV26" t="s">
        <v>457</v>
      </c>
      <c r="BW26" t="s">
        <v>458</v>
      </c>
      <c r="BY26" t="s">
        <v>463</v>
      </c>
      <c r="BZ26" t="s">
        <v>464</v>
      </c>
    </row>
    <row r="27" spans="20:7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11"/>
        <v>1</v>
      </c>
      <c r="AH27" s="177">
        <f t="shared" si="11"/>
        <v>17279.402879005062</v>
      </c>
      <c r="AI27" s="175">
        <f t="shared" si="12"/>
        <v>19144.352861886346</v>
      </c>
      <c r="AJ27" s="194">
        <f t="shared" si="12"/>
        <v>20418.208711695086</v>
      </c>
      <c r="AK27" s="175">
        <f t="shared" si="13"/>
        <v>21746.867625313171</v>
      </c>
      <c r="AL27" s="172">
        <f>AL$1+AK27*$AK$2+AJ27*$AJ$2</f>
        <v>23083.4775732341</v>
      </c>
      <c r="AM27" s="172">
        <f>AL27+$AM$1</f>
        <v>24459.539915381331</v>
      </c>
      <c r="AN27" s="172">
        <f>AL27+$AN$1</f>
        <v>25415.363675800989</v>
      </c>
      <c r="AO27" s="175">
        <f>AM27</f>
        <v>24459.539915381331</v>
      </c>
      <c r="AP27" s="196">
        <f>$AP$4*AQ27/1000</f>
        <v>30740</v>
      </c>
      <c r="AQ27" s="130">
        <f>AQ7</f>
        <v>1160</v>
      </c>
      <c r="AR27" s="130">
        <f>AP27-AO27</f>
        <v>6280.4600846186695</v>
      </c>
      <c r="AS27" s="153">
        <f>AR27/AP27</f>
        <v>0.20430904634413369</v>
      </c>
      <c r="AU27" s="109">
        <f t="shared" si="14"/>
        <v>847.54828614583391</v>
      </c>
      <c r="AX27" s="147">
        <f t="shared" si="15"/>
        <v>652.05293883037973</v>
      </c>
      <c r="AY27" s="198">
        <f t="shared" si="15"/>
        <v>722.42840988250362</v>
      </c>
      <c r="AZ27" s="198">
        <f t="shared" si="15"/>
        <v>770.49844195075798</v>
      </c>
      <c r="BA27" s="198">
        <f t="shared" si="15"/>
        <v>820.63651416276116</v>
      </c>
      <c r="BB27" s="199">
        <f t="shared" si="15"/>
        <v>871.07462540506037</v>
      </c>
      <c r="BC27" s="199">
        <f t="shared" si="15"/>
        <v>923.00150624080493</v>
      </c>
      <c r="BD27" s="199">
        <f t="shared" si="15"/>
        <v>959.07032738871658</v>
      </c>
      <c r="BE27" s="147">
        <f t="shared" si="15"/>
        <v>923.00150624080493</v>
      </c>
      <c r="BF27" s="200">
        <f t="shared" si="15"/>
        <v>1160</v>
      </c>
      <c r="BG27" s="201">
        <f>BF27-BE27</f>
        <v>236.99849375919507</v>
      </c>
      <c r="BH27" s="202">
        <f>BG27/BE27</f>
        <v>0.25676934669851315</v>
      </c>
      <c r="BJ27" s="109">
        <f>'Hảo_R&amp;D (Hạt) (full stage)-Chai'!BE27</f>
        <v>897.93247013480334</v>
      </c>
      <c r="BK27" s="109">
        <f>'Hảo_R&amp;D (Hạt) (full stage)-MN'!BE27</f>
        <v>948.07054234680652</v>
      </c>
      <c r="BL27" s="109">
        <f>BE27</f>
        <v>923.00150624080493</v>
      </c>
      <c r="BM27" s="130">
        <f>BJ27-BK27</f>
        <v>-50.138072212003181</v>
      </c>
      <c r="BO27" s="109">
        <f>'Hảo_R&amp;D (Hạt) (full stage)-Chai'!AO27</f>
        <v>23795.210458572288</v>
      </c>
      <c r="BP27" s="109">
        <f>'Hảo_R&amp;D (Hạt) (full stage)-MN'!AO27</f>
        <v>25123.869372190373</v>
      </c>
      <c r="BQ27" s="109">
        <f>AO27</f>
        <v>24459.539915381331</v>
      </c>
      <c r="BR27" s="130">
        <f>BO27-BP27</f>
        <v>-1328.6589136180846</v>
      </c>
    </row>
    <row r="28" spans="20:7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1"/>
        <v>1</v>
      </c>
      <c r="AH28" s="177">
        <f t="shared" si="11"/>
        <v>18853.682855909705</v>
      </c>
      <c r="AI28" s="175">
        <f t="shared" si="12"/>
        <v>20718.632838790989</v>
      </c>
      <c r="AJ28" s="194">
        <f t="shared" si="12"/>
        <v>21992.488688599726</v>
      </c>
      <c r="AK28" s="175">
        <f t="shared" si="13"/>
        <v>21746.867625313171</v>
      </c>
      <c r="AL28" s="322">
        <f>AL$1+AK28*$AK$2+AJ28*$AJ$2</f>
        <v>23870.61756168642</v>
      </c>
      <c r="AM28" s="172">
        <f>AL28+$AM$1</f>
        <v>25246.67990383365</v>
      </c>
      <c r="AN28" s="172">
        <f>AL28+$AN$1</f>
        <v>26202.503664253309</v>
      </c>
      <c r="AO28" s="323">
        <f>AL28</f>
        <v>23870.61756168642</v>
      </c>
      <c r="AP28" s="196">
        <f>$AP$4*AQ28/1000</f>
        <v>21200</v>
      </c>
      <c r="AQ28" s="130">
        <f>AQ10</f>
        <v>800</v>
      </c>
      <c r="AR28" s="273">
        <f>AP28-AO28</f>
        <v>-2670.6175616864202</v>
      </c>
      <c r="AS28" s="274">
        <f>AR28/AP28</f>
        <v>-0.12597252649464247</v>
      </c>
      <c r="AU28" s="109">
        <f t="shared" si="14"/>
        <v>912.89575688527168</v>
      </c>
      <c r="AX28" s="147">
        <f t="shared" si="15"/>
        <v>711.45973041168702</v>
      </c>
      <c r="AY28" s="198">
        <f t="shared" si="15"/>
        <v>781.8352014638109</v>
      </c>
      <c r="AZ28" s="198">
        <f t="shared" si="15"/>
        <v>829.90523353206515</v>
      </c>
      <c r="BA28" s="198">
        <f t="shared" si="15"/>
        <v>820.63651416276116</v>
      </c>
      <c r="BB28" s="199">
        <f t="shared" si="15"/>
        <v>900.7780211957139</v>
      </c>
      <c r="BC28" s="199">
        <f t="shared" si="15"/>
        <v>952.70490203145857</v>
      </c>
      <c r="BD28" s="199">
        <f t="shared" si="15"/>
        <v>988.77372317937022</v>
      </c>
      <c r="BE28" s="147">
        <f t="shared" si="15"/>
        <v>900.7780211957139</v>
      </c>
      <c r="BF28" s="200">
        <f t="shared" si="15"/>
        <v>800</v>
      </c>
      <c r="BG28" s="268">
        <f>BF28-BE28</f>
        <v>-100.7780211957139</v>
      </c>
      <c r="BH28" s="269">
        <f>BG28/BE28</f>
        <v>-0.11187886340958762</v>
      </c>
      <c r="BJ28" s="109">
        <f>'Hảo_R&amp;D (Hạt) (full stage)-Chai'!BE28</f>
        <v>905.41238088036596</v>
      </c>
      <c r="BK28" s="109">
        <f>'Hảo_R&amp;D (Hạt) (full stage)-MN'!BE28</f>
        <v>896.14366151106196</v>
      </c>
      <c r="BL28" s="109">
        <f>BE28</f>
        <v>900.7780211957139</v>
      </c>
      <c r="BM28" s="130">
        <f>BJ28-BK28</f>
        <v>9.2687193693039944</v>
      </c>
      <c r="BO28" s="109">
        <f>'Hảo_R&amp;D (Hạt) (full stage)-Chai'!AO28</f>
        <v>23993.428093329698</v>
      </c>
      <c r="BP28" s="109">
        <f>'Hảo_R&amp;D (Hạt) (full stage)-MN'!AO28</f>
        <v>23747.807030043143</v>
      </c>
      <c r="BQ28" s="109">
        <f>AO28</f>
        <v>23870.61756168642</v>
      </c>
      <c r="BR28" s="130">
        <f>BO28-BP28</f>
        <v>245.621063286555</v>
      </c>
      <c r="BU28" s="179" t="s">
        <v>460</v>
      </c>
      <c r="BV28" t="s">
        <v>459</v>
      </c>
      <c r="BW28" s="181" t="s">
        <v>461</v>
      </c>
    </row>
    <row r="29" spans="20:7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11"/>
        <v>1</v>
      </c>
      <c r="AH29" s="177">
        <f t="shared" si="11"/>
        <v>18504.154010131388</v>
      </c>
      <c r="AI29" s="175">
        <f t="shared" si="12"/>
        <v>20369.103993012672</v>
      </c>
      <c r="AJ29" s="194">
        <f>AJ$1+AI29</f>
        <v>21642.959842821409</v>
      </c>
      <c r="AK29" s="323">
        <f t="shared" si="13"/>
        <v>21746.867625313171</v>
      </c>
      <c r="AL29" s="172">
        <f>AL$1+AK29*$AK$2+AJ29*$AJ$2</f>
        <v>23695.853138797262</v>
      </c>
      <c r="AM29" s="172">
        <f>AL29</f>
        <v>23695.853138797262</v>
      </c>
      <c r="AN29" s="172">
        <f>AM29</f>
        <v>23695.853138797262</v>
      </c>
      <c r="AO29" s="323">
        <f>+AK29*$AK$2+AJ29*$AJ$2</f>
        <v>21694.91373406729</v>
      </c>
      <c r="AP29" s="196">
        <f>$AP$4*AQ29/1000</f>
        <v>19610</v>
      </c>
      <c r="AQ29" s="267">
        <v>740</v>
      </c>
      <c r="AR29" s="183">
        <f>AP29-AO29</f>
        <v>-2084.9137340672896</v>
      </c>
      <c r="AS29" s="157">
        <f>AR29/AP29</f>
        <v>-0.10631890535784241</v>
      </c>
      <c r="AU29" s="109">
        <f t="shared" si="14"/>
        <v>898.38701234353027</v>
      </c>
      <c r="AX29" s="147">
        <f t="shared" si="15"/>
        <v>698.26996264646743</v>
      </c>
      <c r="AY29" s="198">
        <f t="shared" si="15"/>
        <v>768.64543369859143</v>
      </c>
      <c r="AZ29" s="198">
        <f t="shared" si="15"/>
        <v>816.71546576684557</v>
      </c>
      <c r="BA29" s="198">
        <f t="shared" si="15"/>
        <v>820.63651416276116</v>
      </c>
      <c r="BB29" s="199">
        <f t="shared" si="15"/>
        <v>894.18313731310423</v>
      </c>
      <c r="BC29" s="199">
        <f t="shared" si="15"/>
        <v>894.18313731310423</v>
      </c>
      <c r="BD29" s="199">
        <f t="shared" si="15"/>
        <v>894.18313731310423</v>
      </c>
      <c r="BE29" s="147">
        <f>AO29/$AP$4*1000</f>
        <v>818.67598996480342</v>
      </c>
      <c r="BF29" s="403">
        <f t="shared" si="15"/>
        <v>740</v>
      </c>
      <c r="BG29" s="404">
        <f>BF29-BE29</f>
        <v>-78.675989964803421</v>
      </c>
      <c r="BH29" s="405">
        <f>BG29/BE29</f>
        <v>-9.6101499163528503E-2</v>
      </c>
      <c r="BJ29" s="109">
        <f>'Hảo_R&amp;D (Hạt) (full stage)-Chai'!BE29</f>
        <v>816.71546576684557</v>
      </c>
      <c r="BK29" s="109">
        <f>'Hảo_R&amp;D (Hạt) (full stage)-MN'!BE29</f>
        <v>820.63651416276116</v>
      </c>
      <c r="BL29" s="109">
        <f>BE29</f>
        <v>818.67598996480342</v>
      </c>
      <c r="BM29" s="130">
        <f>BJ29-BK29</f>
        <v>-3.9210483959155908</v>
      </c>
      <c r="BO29" s="109">
        <f>'Hảo_R&amp;D (Hạt) (full stage)-Chai'!AO29</f>
        <v>21642.959842821409</v>
      </c>
      <c r="BP29" s="109">
        <f>'Hảo_R&amp;D (Hạt) (full stage)-MN'!AO29</f>
        <v>21746.867625313171</v>
      </c>
      <c r="BQ29" s="109">
        <f>AO29</f>
        <v>21694.91373406729</v>
      </c>
      <c r="BR29" s="130">
        <f>BO29-BP29</f>
        <v>-103.90778249176219</v>
      </c>
      <c r="BS29" s="130">
        <f>AQ29-AU29</f>
        <v>-158.38701234353027</v>
      </c>
      <c r="BT29" s="185">
        <f>BS29/AQ29</f>
        <v>-0.21403650316693279</v>
      </c>
    </row>
    <row r="30" spans="20:78" x14ac:dyDescent="0.35">
      <c r="AJ30" s="191"/>
    </row>
    <row r="31" spans="20:78" x14ac:dyDescent="0.35">
      <c r="AJ31" s="191"/>
    </row>
    <row r="32" spans="20:78" x14ac:dyDescent="0.35">
      <c r="T32" s="119" t="s">
        <v>389</v>
      </c>
      <c r="AG32" s="126">
        <v>0.02</v>
      </c>
      <c r="AJ32" s="191"/>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AK$1+$V$3</f>
        <v>21746.867625313171</v>
      </c>
      <c r="AL33" s="172">
        <f>AL$1+AK33*$AK$2+AJ33*$AJ$2</f>
        <v>23041.305733797763</v>
      </c>
      <c r="AM33" s="172">
        <f>AL33+$AM$1</f>
        <v>24417.368075944993</v>
      </c>
      <c r="AN33" s="172">
        <f>AL33+$AN$1</f>
        <v>25373.191836364651</v>
      </c>
      <c r="AO33" s="175">
        <f>AM33</f>
        <v>24417.368075944993</v>
      </c>
      <c r="AP33" s="196">
        <f>$AP$4*AQ33/1000</f>
        <v>21200</v>
      </c>
      <c r="AQ33" s="130">
        <v>800</v>
      </c>
      <c r="AR33" s="273">
        <f>AP33-AO33</f>
        <v>-3217.3680759449926</v>
      </c>
      <c r="AS33" s="274">
        <f>AR33/AP33</f>
        <v>-0.15176264509174495</v>
      </c>
      <c r="AU33" s="171">
        <f t="shared" ref="AU33" si="16">AJ33/$AP$4*1.1*1000</f>
        <v>844.04722777753409</v>
      </c>
      <c r="AX33" s="147">
        <f t="shared" ref="AX33:BF33" si="17">AH33/$AP$4*1000</f>
        <v>648.8701584955619</v>
      </c>
      <c r="AY33" s="198">
        <f t="shared" si="17"/>
        <v>719.24562954768578</v>
      </c>
      <c r="AZ33" s="198">
        <f t="shared" si="17"/>
        <v>767.31566161594003</v>
      </c>
      <c r="BA33" s="198">
        <f t="shared" si="17"/>
        <v>820.63651416276116</v>
      </c>
      <c r="BB33" s="199">
        <f t="shared" si="17"/>
        <v>869.48323523765134</v>
      </c>
      <c r="BC33" s="199">
        <f t="shared" si="17"/>
        <v>921.41011607339601</v>
      </c>
      <c r="BD33" s="199">
        <f t="shared" si="17"/>
        <v>957.47893722130766</v>
      </c>
      <c r="BE33" s="147">
        <f t="shared" si="17"/>
        <v>921.41011607339601</v>
      </c>
      <c r="BF33" s="200">
        <f t="shared" si="17"/>
        <v>800</v>
      </c>
      <c r="BG33" s="268">
        <f>BF33-BE33</f>
        <v>-121.41011607339601</v>
      </c>
      <c r="BH33" s="269">
        <f>BG33/BE33</f>
        <v>-0.1317655558100308</v>
      </c>
      <c r="BJ33" s="109">
        <f>'Hảo_R&amp;D (Hạt) (full stage)-Chai'!BE33</f>
        <v>842.82280896424083</v>
      </c>
      <c r="BK33" s="109">
        <f>'Hảo_R&amp;D (Hạt) (full stage)-MN'!BE33</f>
        <v>948.07054234680652</v>
      </c>
      <c r="BL33" s="109">
        <f>BE33</f>
        <v>921.41011607339601</v>
      </c>
      <c r="BM33" s="130">
        <f>BJ33-BK33</f>
        <v>-105.24773338256568</v>
      </c>
      <c r="BO33" s="109">
        <f>'Hảo_R&amp;D (Hạt) (full stage)-Chai'!AO33</f>
        <v>22334.804437552382</v>
      </c>
      <c r="BP33" s="109">
        <f>'Hảo_R&amp;D (Hạt) (full stage)-MN'!AO33</f>
        <v>25123.869372190373</v>
      </c>
      <c r="BQ33" s="109">
        <f>AO33</f>
        <v>24417.368075944993</v>
      </c>
      <c r="BR33" s="183">
        <f>BO33-BP33</f>
        <v>-2789.0649346379905</v>
      </c>
    </row>
    <row r="35" spans="20:70" x14ac:dyDescent="0.35">
      <c r="AE35" s="147">
        <f>'Giá mua Chai-Vảy'!O40</f>
        <v>12550</v>
      </c>
    </row>
    <row r="36" spans="20:70" x14ac:dyDescent="0.35">
      <c r="T36" s="119" t="s">
        <v>446</v>
      </c>
      <c r="AG36" s="126">
        <v>0.01</v>
      </c>
      <c r="AH36" s="121"/>
      <c r="AI36"/>
      <c r="AJ36"/>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AI$1+AH37</f>
        <v>14414.949982881282</v>
      </c>
      <c r="AJ37" s="194">
        <f>AJ$1+AI37</f>
        <v>15688.805832690021</v>
      </c>
      <c r="AK37" s="175">
        <f>AK$1+$V$3</f>
        <v>21746.867625313171</v>
      </c>
      <c r="AL37" s="172">
        <f>AL$1+AK37*$AK$2+AJ37*$AJ$2</f>
        <v>20718.776133731568</v>
      </c>
      <c r="AM37" s="172">
        <f>AL37+$AM$1</f>
        <v>22094.838475878798</v>
      </c>
      <c r="AN37" s="172">
        <f>AL37+$AN$1</f>
        <v>23050.662236298456</v>
      </c>
      <c r="AO37" s="175">
        <f>AM37</f>
        <v>22094.838475878798</v>
      </c>
      <c r="AP37" s="196">
        <f>$AP$4*AQ37/1000</f>
        <v>19000.5</v>
      </c>
      <c r="AQ37" s="130">
        <v>717</v>
      </c>
      <c r="AR37" s="273">
        <f>AP37-AO37</f>
        <v>-3094.3384758787979</v>
      </c>
      <c r="AS37" s="274">
        <f>AR37/AP37</f>
        <v>-0.16285563410851284</v>
      </c>
      <c r="AU37" s="171">
        <f t="shared" ref="AU37" si="18">AJ37/$AP$4*1.1*1000</f>
        <v>651.23344965883109</v>
      </c>
      <c r="AX37" s="147">
        <f t="shared" ref="AX37:BF37" si="19">AH37/$AP$4*1000</f>
        <v>473.58490566037739</v>
      </c>
      <c r="AY37" s="198">
        <f t="shared" si="19"/>
        <v>543.96037671250122</v>
      </c>
      <c r="AZ37" s="198">
        <f t="shared" si="19"/>
        <v>592.03040878075558</v>
      </c>
      <c r="BA37" s="198">
        <f t="shared" si="19"/>
        <v>820.63651416276116</v>
      </c>
      <c r="BB37" s="199">
        <f t="shared" si="19"/>
        <v>781.84060882005917</v>
      </c>
      <c r="BC37" s="199">
        <f t="shared" si="19"/>
        <v>833.76748965580373</v>
      </c>
      <c r="BD37" s="199">
        <f t="shared" si="19"/>
        <v>869.83631080371538</v>
      </c>
      <c r="BE37" s="147">
        <f t="shared" si="19"/>
        <v>833.76748965580373</v>
      </c>
      <c r="BF37" s="200">
        <f t="shared" si="19"/>
        <v>717</v>
      </c>
      <c r="BG37" s="268">
        <f>BF37-BE37</f>
        <v>-116.76748965580373</v>
      </c>
      <c r="BH37" s="269">
        <f>BG37/BE37</f>
        <v>-0.14004802430472282</v>
      </c>
      <c r="BJ37" s="109">
        <f>'Hảo_R&amp;D (Hạt) (full stage)-Chai'!BE37</f>
        <v>631.27894410716067</v>
      </c>
      <c r="BK37" s="109">
        <f>'Hảo_R&amp;D (Hạt) (full stage)-MN'!BE37</f>
        <v>948.07054234680652</v>
      </c>
      <c r="BL37" s="109">
        <f>BE37</f>
        <v>833.76748965580373</v>
      </c>
      <c r="BM37" s="130">
        <f>BJ37-BK37</f>
        <v>-316.79159823964585</v>
      </c>
      <c r="BO37" s="109">
        <f>'Hảo_R&amp;D (Hạt) (full stage)-Chai'!AO37</f>
        <v>16728.892018839757</v>
      </c>
      <c r="BP37" s="109">
        <f>'Hảo_R&amp;D (Hạt) (full stage)-MN'!AO37</f>
        <v>25123.869372190373</v>
      </c>
      <c r="BQ37" s="109">
        <f>AO37</f>
        <v>22094.838475878798</v>
      </c>
      <c r="BR37" s="130">
        <f>BO37-BP37</f>
        <v>-8394.9773533506159</v>
      </c>
    </row>
  </sheetData>
  <mergeCells count="2">
    <mergeCell ref="AG3:AH3"/>
    <mergeCell ref="AW3:AX3"/>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3876-698B-43F8-9065-DC6FE2F5BFA5}">
  <sheetPr>
    <tabColor theme="5" tint="0.39997558519241921"/>
  </sheetPr>
  <dimension ref="A3:U25"/>
  <sheetViews>
    <sheetView topLeftCell="A4" zoomScale="85" zoomScaleNormal="85" workbookViewId="0">
      <selection activeCell="E22" sqref="E22"/>
    </sheetView>
  </sheetViews>
  <sheetFormatPr defaultRowHeight="14.5" x14ac:dyDescent="0.35"/>
  <cols>
    <col min="2" max="2" width="39.90625" customWidth="1"/>
    <col min="3" max="3" width="8.1796875" customWidth="1"/>
    <col min="4" max="4" width="9.81640625" customWidth="1"/>
    <col min="5" max="5" width="12.1796875" customWidth="1"/>
    <col min="6" max="6" width="10.7265625" customWidth="1"/>
    <col min="8" max="8" width="6.7265625" customWidth="1"/>
    <col min="9" max="9" width="22.08984375" customWidth="1"/>
    <col min="10" max="10" width="6.453125" customWidth="1"/>
    <col min="12" max="12" width="7.36328125" customWidth="1"/>
    <col min="13" max="13" width="14.08984375" customWidth="1"/>
    <col min="14" max="14" width="4.6328125" bestFit="1" customWidth="1"/>
    <col min="15" max="15" width="2.90625" bestFit="1" customWidth="1"/>
    <col min="16" max="16" width="4.453125" bestFit="1" customWidth="1"/>
    <col min="17" max="17" width="13.08984375" customWidth="1"/>
    <col min="18" max="18" width="10" customWidth="1"/>
    <col min="19" max="19" width="5.36328125" bestFit="1" customWidth="1"/>
    <col min="20" max="20" width="7.7265625" bestFit="1" customWidth="1"/>
    <col min="21" max="21" width="5.1796875" bestFit="1" customWidth="1"/>
  </cols>
  <sheetData>
    <row r="3" spans="1:21" ht="29" x14ac:dyDescent="0.35">
      <c r="M3" t="s">
        <v>327</v>
      </c>
      <c r="N3" t="s">
        <v>328</v>
      </c>
      <c r="P3" s="69"/>
      <c r="R3" s="74" t="s">
        <v>336</v>
      </c>
    </row>
    <row r="4" spans="1:21" x14ac:dyDescent="0.35">
      <c r="A4" s="67" t="s">
        <v>47</v>
      </c>
      <c r="D4" s="1147" t="s">
        <v>293</v>
      </c>
      <c r="E4" s="1148"/>
      <c r="F4" s="1148"/>
      <c r="K4" s="68" t="s">
        <v>324</v>
      </c>
      <c r="L4" s="68"/>
      <c r="M4" s="77" t="s">
        <v>48</v>
      </c>
      <c r="N4" t="s">
        <v>6</v>
      </c>
      <c r="O4" t="s">
        <v>326</v>
      </c>
      <c r="P4" s="69">
        <v>0.05</v>
      </c>
      <c r="Q4" s="73" t="s">
        <v>335</v>
      </c>
      <c r="R4" t="s">
        <v>337</v>
      </c>
      <c r="S4" t="s">
        <v>338</v>
      </c>
      <c r="T4" t="s">
        <v>339</v>
      </c>
      <c r="U4" t="s">
        <v>36</v>
      </c>
    </row>
    <row r="5" spans="1:21" x14ac:dyDescent="0.35">
      <c r="D5" t="s">
        <v>323</v>
      </c>
      <c r="E5" t="s">
        <v>321</v>
      </c>
      <c r="F5" t="s">
        <v>322</v>
      </c>
      <c r="N5" t="s">
        <v>10</v>
      </c>
      <c r="O5" t="s">
        <v>326</v>
      </c>
      <c r="P5" s="69">
        <v>0.1</v>
      </c>
    </row>
    <row r="6" spans="1:21" ht="16" x14ac:dyDescent="0.4">
      <c r="A6" s="7" t="s">
        <v>264</v>
      </c>
      <c r="B6" s="8" t="s">
        <v>265</v>
      </c>
      <c r="C6" s="108" t="s">
        <v>361</v>
      </c>
    </row>
    <row r="7" spans="1:21" ht="16" x14ac:dyDescent="0.35">
      <c r="A7" s="89" t="s">
        <v>47</v>
      </c>
      <c r="B7" s="90" t="s">
        <v>266</v>
      </c>
      <c r="C7" s="70"/>
      <c r="M7" s="76" t="s">
        <v>325</v>
      </c>
      <c r="N7" t="s">
        <v>6</v>
      </c>
      <c r="O7" t="s">
        <v>326</v>
      </c>
      <c r="P7" s="69">
        <v>0.05</v>
      </c>
      <c r="Q7" s="73" t="s">
        <v>335</v>
      </c>
      <c r="R7" t="s">
        <v>340</v>
      </c>
      <c r="S7" t="s">
        <v>341</v>
      </c>
      <c r="T7" t="s">
        <v>342</v>
      </c>
    </row>
    <row r="8" spans="1:21" ht="16" x14ac:dyDescent="0.35">
      <c r="A8" s="84" t="s">
        <v>267</v>
      </c>
      <c r="B8" s="96" t="s">
        <v>307</v>
      </c>
      <c r="C8" s="70">
        <v>20</v>
      </c>
      <c r="N8" t="s">
        <v>10</v>
      </c>
      <c r="O8" t="s">
        <v>326</v>
      </c>
      <c r="P8" s="69">
        <v>0.1</v>
      </c>
    </row>
    <row r="9" spans="1:21" ht="16" x14ac:dyDescent="0.35">
      <c r="A9" s="85" t="s">
        <v>51</v>
      </c>
      <c r="B9" s="86" t="s">
        <v>304</v>
      </c>
      <c r="C9" s="70">
        <v>13</v>
      </c>
      <c r="D9">
        <v>560</v>
      </c>
      <c r="E9" s="109">
        <f>D9*1000000/C9</f>
        <v>43076923.07692308</v>
      </c>
      <c r="N9" t="s">
        <v>13</v>
      </c>
      <c r="O9" t="s">
        <v>326</v>
      </c>
      <c r="P9" s="69">
        <v>0.15</v>
      </c>
    </row>
    <row r="10" spans="1:21" ht="16" x14ac:dyDescent="0.35">
      <c r="A10" s="59" t="s">
        <v>52</v>
      </c>
      <c r="B10" s="60" t="s">
        <v>305</v>
      </c>
      <c r="C10" s="70">
        <v>10</v>
      </c>
      <c r="D10">
        <v>8</v>
      </c>
      <c r="E10" s="109">
        <f>D10*1000000/C10</f>
        <v>800000</v>
      </c>
      <c r="F10" s="110">
        <f>E10/($E$10+$E$9)</f>
        <v>1.82328190743338E-2</v>
      </c>
    </row>
    <row r="11" spans="1:21" ht="16" x14ac:dyDescent="0.35">
      <c r="A11" s="87" t="s">
        <v>53</v>
      </c>
      <c r="B11" s="88" t="s">
        <v>308</v>
      </c>
      <c r="C11" s="70"/>
      <c r="F11" s="69">
        <v>0.6</v>
      </c>
      <c r="I11" s="69">
        <v>0.4</v>
      </c>
      <c r="M11" s="81" t="s">
        <v>329</v>
      </c>
    </row>
    <row r="12" spans="1:21" ht="29" x14ac:dyDescent="0.35">
      <c r="A12" s="63" t="s">
        <v>54</v>
      </c>
      <c r="B12" s="64" t="s">
        <v>268</v>
      </c>
      <c r="C12" s="71"/>
      <c r="E12" s="95" t="s">
        <v>356</v>
      </c>
      <c r="G12" s="94" t="s">
        <v>355</v>
      </c>
      <c r="I12" s="93" t="s">
        <v>304</v>
      </c>
      <c r="K12" t="s">
        <v>357</v>
      </c>
    </row>
    <row r="13" spans="1:21" ht="16" x14ac:dyDescent="0.35">
      <c r="A13" s="61" t="s">
        <v>55</v>
      </c>
      <c r="B13" s="62" t="s">
        <v>269</v>
      </c>
      <c r="C13" s="72"/>
      <c r="D13" s="77" t="s">
        <v>330</v>
      </c>
      <c r="E13" s="75" t="s">
        <v>331</v>
      </c>
      <c r="F13" s="65" t="s">
        <v>334</v>
      </c>
      <c r="G13" s="75" t="s">
        <v>53</v>
      </c>
      <c r="H13" s="65" t="s">
        <v>334</v>
      </c>
      <c r="I13" s="75" t="s">
        <v>51</v>
      </c>
      <c r="J13" s="65" t="s">
        <v>334</v>
      </c>
      <c r="K13" s="75" t="s">
        <v>332</v>
      </c>
      <c r="L13" s="65" t="s">
        <v>333</v>
      </c>
      <c r="M13" s="78">
        <v>1</v>
      </c>
      <c r="Q13" s="82" t="s">
        <v>351</v>
      </c>
    </row>
    <row r="14" spans="1:21" ht="58" x14ac:dyDescent="0.35">
      <c r="A14" s="91" t="s">
        <v>270</v>
      </c>
      <c r="B14" s="92" t="s">
        <v>271</v>
      </c>
      <c r="C14" s="70"/>
      <c r="E14" s="1149" t="s">
        <v>360</v>
      </c>
      <c r="F14" s="1149"/>
      <c r="G14" s="1149"/>
      <c r="I14" s="107">
        <v>0.192</v>
      </c>
      <c r="Q14" s="74" t="s">
        <v>350</v>
      </c>
    </row>
    <row r="15" spans="1:21" ht="16" x14ac:dyDescent="0.35">
      <c r="A15" s="9" t="s">
        <v>56</v>
      </c>
      <c r="B15" s="10" t="s">
        <v>352</v>
      </c>
      <c r="C15" s="70"/>
      <c r="D15" s="76" t="s">
        <v>343</v>
      </c>
      <c r="E15" s="75" t="s">
        <v>344</v>
      </c>
      <c r="F15" s="65" t="s">
        <v>334</v>
      </c>
      <c r="G15" s="75" t="s">
        <v>345</v>
      </c>
      <c r="H15" s="65" t="s">
        <v>334</v>
      </c>
      <c r="I15" s="75" t="s">
        <v>346</v>
      </c>
      <c r="J15" s="65" t="s">
        <v>334</v>
      </c>
      <c r="K15" s="75" t="s">
        <v>332</v>
      </c>
      <c r="L15" s="65" t="s">
        <v>333</v>
      </c>
      <c r="M15" s="78">
        <v>1</v>
      </c>
    </row>
    <row r="16" spans="1:21" ht="18" customHeight="1" x14ac:dyDescent="0.35">
      <c r="A16" s="97" t="s">
        <v>57</v>
      </c>
      <c r="B16" s="98" t="s">
        <v>353</v>
      </c>
      <c r="C16" s="70"/>
      <c r="E16" s="79" t="s">
        <v>349</v>
      </c>
      <c r="G16" s="66" t="s">
        <v>348</v>
      </c>
      <c r="I16" s="80" t="s">
        <v>347</v>
      </c>
    </row>
    <row r="17" spans="1:21" ht="16" x14ac:dyDescent="0.35">
      <c r="A17" s="9"/>
      <c r="B17" s="10"/>
      <c r="C17" s="70"/>
      <c r="G17" s="83">
        <f>100-45-15</f>
        <v>40</v>
      </c>
      <c r="Q17">
        <v>1</v>
      </c>
      <c r="R17">
        <v>2</v>
      </c>
      <c r="S17">
        <v>3</v>
      </c>
      <c r="T17">
        <v>4</v>
      </c>
      <c r="U17">
        <v>5</v>
      </c>
    </row>
    <row r="18" spans="1:21" ht="16" x14ac:dyDescent="0.35">
      <c r="A18" s="9"/>
      <c r="B18" s="10"/>
      <c r="C18" s="70"/>
      <c r="Q18" s="111" t="s">
        <v>362</v>
      </c>
      <c r="R18" s="111"/>
      <c r="S18" s="111"/>
      <c r="T18" s="111"/>
      <c r="U18" s="111"/>
    </row>
    <row r="19" spans="1:21" ht="16" x14ac:dyDescent="0.35">
      <c r="A19" s="9"/>
      <c r="B19" s="10"/>
      <c r="Q19" s="112"/>
      <c r="R19" s="111" t="s">
        <v>362</v>
      </c>
      <c r="S19" s="111"/>
      <c r="T19" s="111"/>
      <c r="U19" s="111"/>
    </row>
    <row r="20" spans="1:21" ht="16" x14ac:dyDescent="0.35">
      <c r="A20" s="61" t="s">
        <v>58</v>
      </c>
      <c r="B20" s="62" t="s">
        <v>272</v>
      </c>
      <c r="Q20" s="112" t="s">
        <v>267</v>
      </c>
      <c r="R20" s="112"/>
      <c r="S20" s="111" t="s">
        <v>362</v>
      </c>
      <c r="T20" s="111"/>
      <c r="U20" s="111"/>
    </row>
    <row r="21" spans="1:21" ht="16" x14ac:dyDescent="0.35">
      <c r="A21" s="61" t="s">
        <v>260</v>
      </c>
      <c r="B21" s="62" t="s">
        <v>273</v>
      </c>
      <c r="Q21" s="112" t="s">
        <v>363</v>
      </c>
      <c r="R21" s="112" t="s">
        <v>267</v>
      </c>
      <c r="S21" s="112"/>
      <c r="T21" s="111" t="s">
        <v>362</v>
      </c>
      <c r="U21" s="111"/>
    </row>
    <row r="22" spans="1:21" ht="16" x14ac:dyDescent="0.35">
      <c r="A22" s="61" t="s">
        <v>274</v>
      </c>
      <c r="B22" s="62" t="s">
        <v>275</v>
      </c>
      <c r="Q22" s="112"/>
      <c r="R22" s="112" t="s">
        <v>363</v>
      </c>
      <c r="S22" s="112" t="s">
        <v>267</v>
      </c>
      <c r="T22" s="112"/>
      <c r="U22" s="111" t="s">
        <v>362</v>
      </c>
    </row>
    <row r="23" spans="1:21" ht="16" x14ac:dyDescent="0.35">
      <c r="A23" s="11" t="s">
        <v>276</v>
      </c>
      <c r="B23" s="12" t="s">
        <v>277</v>
      </c>
      <c r="Q23" s="112"/>
      <c r="R23" s="112"/>
      <c r="S23" s="112" t="s">
        <v>363</v>
      </c>
      <c r="T23" s="112" t="s">
        <v>267</v>
      </c>
      <c r="U23" s="112"/>
    </row>
    <row r="24" spans="1:21" x14ac:dyDescent="0.35">
      <c r="Q24" s="112"/>
      <c r="R24" s="112"/>
      <c r="S24" s="112"/>
      <c r="T24" s="112" t="s">
        <v>363</v>
      </c>
      <c r="U24" s="112" t="s">
        <v>267</v>
      </c>
    </row>
    <row r="25" spans="1:21" x14ac:dyDescent="0.35">
      <c r="Q25" s="112"/>
      <c r="R25" s="112"/>
      <c r="S25" s="112"/>
      <c r="T25" s="112"/>
      <c r="U25" s="112" t="s">
        <v>363</v>
      </c>
    </row>
  </sheetData>
  <mergeCells count="2">
    <mergeCell ref="D4:F4"/>
    <mergeCell ref="E14:G1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933F-CBD4-42A1-B656-83854007E63B}">
  <sheetPr>
    <tabColor rgb="FF00B050"/>
  </sheetPr>
  <dimension ref="A1:I82"/>
  <sheetViews>
    <sheetView showGridLines="0" zoomScale="70" zoomScaleNormal="70" workbookViewId="0">
      <pane xSplit="4" ySplit="4" topLeftCell="E5" activePane="bottomRight" state="frozen"/>
      <selection pane="topRight" activeCell="E1" sqref="E1"/>
      <selection pane="bottomLeft" activeCell="A5" sqref="A5"/>
      <selection pane="bottomRight" activeCell="D8" sqref="D8"/>
    </sheetView>
  </sheetViews>
  <sheetFormatPr defaultRowHeight="16" outlineLevelRow="2" x14ac:dyDescent="0.35"/>
  <cols>
    <col min="1" max="1" width="4.54296875" style="1" customWidth="1"/>
    <col min="2" max="2" width="11.81640625" style="3" customWidth="1"/>
    <col min="3" max="3" width="12.26953125" style="49" customWidth="1"/>
    <col min="4" max="4" width="32.36328125" style="45" customWidth="1"/>
    <col min="5" max="5" width="50.7265625" style="4" customWidth="1"/>
    <col min="6" max="6" width="17.6328125" style="1" customWidth="1"/>
    <col min="7" max="7" width="40" style="1" customWidth="1"/>
    <col min="8" max="8" width="45.6328125" style="1" customWidth="1"/>
    <col min="9" max="16384" width="8.7265625" style="1"/>
  </cols>
  <sheetData>
    <row r="1" spans="1:9" x14ac:dyDescent="0.35">
      <c r="F1" s="6"/>
    </row>
    <row r="2" spans="1:9" ht="21" x14ac:dyDescent="0.35">
      <c r="A2" s="56"/>
      <c r="B2" s="57" t="s">
        <v>1</v>
      </c>
      <c r="E2" s="52"/>
      <c r="F2" s="53"/>
      <c r="G2" s="45"/>
      <c r="H2" s="45"/>
    </row>
    <row r="3" spans="1:9" x14ac:dyDescent="0.4">
      <c r="A3" s="45"/>
      <c r="B3" s="49"/>
      <c r="C3" s="50" t="s">
        <v>258</v>
      </c>
      <c r="D3" s="46">
        <v>45985</v>
      </c>
      <c r="E3" s="52"/>
      <c r="F3" s="53"/>
      <c r="G3" s="45"/>
      <c r="H3" s="45"/>
    </row>
    <row r="4" spans="1:9" s="5" customFormat="1" ht="32" x14ac:dyDescent="0.35">
      <c r="A4" s="13" t="s">
        <v>0</v>
      </c>
      <c r="B4" s="13" t="s">
        <v>71</v>
      </c>
      <c r="C4" s="13" t="s">
        <v>72</v>
      </c>
      <c r="D4" s="14" t="s">
        <v>2</v>
      </c>
      <c r="E4" s="15" t="s">
        <v>3</v>
      </c>
      <c r="F4" s="13" t="s">
        <v>256</v>
      </c>
      <c r="G4" s="13" t="s">
        <v>156</v>
      </c>
      <c r="H4" s="13" t="s">
        <v>16</v>
      </c>
    </row>
    <row r="5" spans="1:9" x14ac:dyDescent="0.35">
      <c r="A5" s="51" t="s">
        <v>6</v>
      </c>
      <c r="B5" s="51"/>
      <c r="C5" s="51"/>
      <c r="D5" s="47" t="s">
        <v>7</v>
      </c>
      <c r="E5" s="54"/>
      <c r="F5" s="55"/>
      <c r="G5" s="55"/>
      <c r="H5" s="55"/>
    </row>
    <row r="6" spans="1:9" s="2" customFormat="1" x14ac:dyDescent="0.35">
      <c r="A6" s="16" t="s">
        <v>4</v>
      </c>
      <c r="B6" s="16"/>
      <c r="C6" s="16"/>
      <c r="D6" s="17" t="s">
        <v>8</v>
      </c>
      <c r="E6" s="18"/>
      <c r="F6" s="19"/>
      <c r="G6" s="19"/>
      <c r="H6" s="19"/>
    </row>
    <row r="7" spans="1:9" s="25" customFormat="1" ht="80.5" customHeight="1" outlineLevel="1" x14ac:dyDescent="0.35">
      <c r="A7" s="21">
        <f t="shared" ref="A7:A22" si="0">ROW()-ROW($A$6)</f>
        <v>1</v>
      </c>
      <c r="B7" s="22"/>
      <c r="C7" s="22" t="s">
        <v>47</v>
      </c>
      <c r="D7" s="23" t="s">
        <v>17</v>
      </c>
      <c r="E7" s="20" t="s">
        <v>290</v>
      </c>
      <c r="F7" s="24" t="s">
        <v>279</v>
      </c>
      <c r="G7" s="27" t="s">
        <v>314</v>
      </c>
      <c r="H7" s="23" t="s">
        <v>281</v>
      </c>
    </row>
    <row r="8" spans="1:9" s="25" customFormat="1" ht="80" outlineLevel="1" x14ac:dyDescent="0.35">
      <c r="A8" s="21">
        <f t="shared" si="0"/>
        <v>2</v>
      </c>
      <c r="B8" s="22"/>
      <c r="C8" s="22" t="s">
        <v>47</v>
      </c>
      <c r="D8" s="23" t="s">
        <v>18</v>
      </c>
      <c r="E8" s="20" t="s">
        <v>291</v>
      </c>
      <c r="F8" s="24" t="s">
        <v>279</v>
      </c>
      <c r="G8" s="27" t="s">
        <v>314</v>
      </c>
      <c r="H8" s="24"/>
    </row>
    <row r="9" spans="1:9" s="25" customFormat="1" ht="7.5" hidden="1" customHeight="1" outlineLevel="2" x14ac:dyDescent="0.35">
      <c r="A9" s="21">
        <f t="shared" si="0"/>
        <v>3</v>
      </c>
      <c r="B9" s="22"/>
      <c r="C9" s="22"/>
      <c r="D9" s="23" t="s">
        <v>263</v>
      </c>
      <c r="E9" s="26" t="s">
        <v>280</v>
      </c>
      <c r="F9" s="24"/>
      <c r="G9" s="24"/>
      <c r="H9" s="24"/>
    </row>
    <row r="10" spans="1:9" s="25" customFormat="1" ht="99" customHeight="1" outlineLevel="1" collapsed="1" x14ac:dyDescent="0.35">
      <c r="A10" s="21">
        <f t="shared" si="0"/>
        <v>4</v>
      </c>
      <c r="B10" s="22"/>
      <c r="C10" s="28" t="s">
        <v>283</v>
      </c>
      <c r="D10" s="48" t="s">
        <v>278</v>
      </c>
      <c r="E10" s="20" t="s">
        <v>297</v>
      </c>
      <c r="F10" s="24" t="s">
        <v>279</v>
      </c>
      <c r="G10" s="27" t="s">
        <v>314</v>
      </c>
      <c r="H10" s="27" t="s">
        <v>289</v>
      </c>
    </row>
    <row r="11" spans="1:9" s="25" customFormat="1" ht="80" outlineLevel="1" x14ac:dyDescent="0.35">
      <c r="A11" s="21">
        <f t="shared" si="0"/>
        <v>5</v>
      </c>
      <c r="B11" s="102" t="s">
        <v>20</v>
      </c>
      <c r="C11" s="22" t="s">
        <v>48</v>
      </c>
      <c r="D11" s="48" t="s">
        <v>14</v>
      </c>
      <c r="E11" s="20" t="s">
        <v>306</v>
      </c>
      <c r="F11" s="24" t="s">
        <v>65</v>
      </c>
      <c r="G11" s="27" t="s">
        <v>358</v>
      </c>
      <c r="H11" s="27" t="s">
        <v>288</v>
      </c>
      <c r="I11" s="25" t="s">
        <v>299</v>
      </c>
    </row>
    <row r="12" spans="1:9" s="25" customFormat="1" ht="154.5" customHeight="1" outlineLevel="1" x14ac:dyDescent="0.35">
      <c r="A12" s="21">
        <f t="shared" si="0"/>
        <v>6</v>
      </c>
      <c r="B12" s="22" t="s">
        <v>21</v>
      </c>
      <c r="C12" s="28" t="s">
        <v>282</v>
      </c>
      <c r="D12" s="48" t="s">
        <v>15</v>
      </c>
      <c r="E12" s="20" t="s">
        <v>300</v>
      </c>
      <c r="F12" s="24" t="s">
        <v>65</v>
      </c>
      <c r="G12" s="27" t="s">
        <v>359</v>
      </c>
      <c r="H12" s="23" t="s">
        <v>287</v>
      </c>
    </row>
    <row r="13" spans="1:9" s="25" customFormat="1" ht="96" outlineLevel="1" x14ac:dyDescent="0.35">
      <c r="A13" s="21">
        <f t="shared" si="0"/>
        <v>7</v>
      </c>
      <c r="B13" s="22" t="s">
        <v>49</v>
      </c>
      <c r="C13" s="28" t="s">
        <v>286</v>
      </c>
      <c r="D13" s="58" t="s">
        <v>50</v>
      </c>
      <c r="E13" s="20" t="s">
        <v>298</v>
      </c>
      <c r="F13" s="24" t="s">
        <v>293</v>
      </c>
      <c r="G13" s="27" t="s">
        <v>313</v>
      </c>
      <c r="H13" s="27" t="s">
        <v>354</v>
      </c>
    </row>
    <row r="14" spans="1:9" s="25" customFormat="1" ht="63.5" customHeight="1" outlineLevel="1" x14ac:dyDescent="0.35">
      <c r="A14" s="21">
        <f t="shared" si="0"/>
        <v>8</v>
      </c>
      <c r="B14" s="22">
        <v>150000004</v>
      </c>
      <c r="C14" s="22" t="s">
        <v>51</v>
      </c>
      <c r="D14" s="48" t="s">
        <v>23</v>
      </c>
      <c r="E14" s="20" t="s">
        <v>292</v>
      </c>
      <c r="F14" s="24" t="s">
        <v>64</v>
      </c>
      <c r="G14" s="27" t="s">
        <v>315</v>
      </c>
      <c r="H14" s="24"/>
    </row>
    <row r="15" spans="1:9" s="25" customFormat="1" outlineLevel="1" x14ac:dyDescent="0.35">
      <c r="A15" s="21">
        <f t="shared" si="0"/>
        <v>9</v>
      </c>
      <c r="B15" s="22" t="s">
        <v>24</v>
      </c>
      <c r="C15" s="22" t="s">
        <v>52</v>
      </c>
      <c r="D15" s="48" t="s">
        <v>22</v>
      </c>
      <c r="E15" s="20" t="s">
        <v>59</v>
      </c>
      <c r="F15" s="24" t="s">
        <v>294</v>
      </c>
      <c r="G15" s="99" t="s">
        <v>319</v>
      </c>
      <c r="H15" s="24"/>
    </row>
    <row r="16" spans="1:9" s="25" customFormat="1" outlineLevel="1" x14ac:dyDescent="0.35">
      <c r="A16" s="21">
        <f t="shared" si="0"/>
        <v>10</v>
      </c>
      <c r="B16" s="22">
        <v>150000005</v>
      </c>
      <c r="C16" s="22" t="s">
        <v>53</v>
      </c>
      <c r="D16" s="48" t="s">
        <v>25</v>
      </c>
      <c r="E16" s="20" t="s">
        <v>309</v>
      </c>
      <c r="F16" s="24" t="s">
        <v>294</v>
      </c>
      <c r="G16" s="99" t="s">
        <v>319</v>
      </c>
      <c r="H16" s="24" t="s">
        <v>257</v>
      </c>
    </row>
    <row r="17" spans="1:9" s="25" customFormat="1" outlineLevel="1" x14ac:dyDescent="0.35">
      <c r="A17" s="21">
        <f t="shared" si="0"/>
        <v>11</v>
      </c>
      <c r="B17" s="22" t="s">
        <v>26</v>
      </c>
      <c r="C17" s="22" t="s">
        <v>54</v>
      </c>
      <c r="D17" s="48" t="s">
        <v>27</v>
      </c>
      <c r="E17" s="20" t="s">
        <v>62</v>
      </c>
      <c r="F17" s="24" t="s">
        <v>294</v>
      </c>
      <c r="G17" s="99" t="s">
        <v>319</v>
      </c>
      <c r="H17" s="105" t="s">
        <v>63</v>
      </c>
      <c r="I17" s="210" t="s">
        <v>476</v>
      </c>
    </row>
    <row r="18" spans="1:9" s="25" customFormat="1" outlineLevel="1" x14ac:dyDescent="0.35">
      <c r="A18" s="21">
        <f t="shared" si="0"/>
        <v>12</v>
      </c>
      <c r="B18" s="22" t="s">
        <v>28</v>
      </c>
      <c r="C18" s="22" t="s">
        <v>55</v>
      </c>
      <c r="D18" s="48" t="s">
        <v>29</v>
      </c>
      <c r="E18" s="20" t="s">
        <v>30</v>
      </c>
      <c r="F18" s="24" t="s">
        <v>294</v>
      </c>
      <c r="G18" s="99" t="s">
        <v>319</v>
      </c>
      <c r="H18" s="24"/>
    </row>
    <row r="19" spans="1:9" s="25" customFormat="1" ht="32" outlineLevel="1" x14ac:dyDescent="0.35">
      <c r="A19" s="21">
        <f t="shared" si="0"/>
        <v>13</v>
      </c>
      <c r="B19" s="22" t="s">
        <v>31</v>
      </c>
      <c r="C19" s="22" t="s">
        <v>56</v>
      </c>
      <c r="D19" s="48" t="s">
        <v>32</v>
      </c>
      <c r="E19" s="20" t="s">
        <v>60</v>
      </c>
      <c r="F19" s="23" t="s">
        <v>64</v>
      </c>
      <c r="G19" s="27" t="s">
        <v>315</v>
      </c>
      <c r="H19" s="24" t="s">
        <v>61</v>
      </c>
    </row>
    <row r="20" spans="1:9" s="25" customFormat="1" ht="32" outlineLevel="1" x14ac:dyDescent="0.35">
      <c r="A20" s="21">
        <f t="shared" si="0"/>
        <v>14</v>
      </c>
      <c r="B20" s="22" t="s">
        <v>33</v>
      </c>
      <c r="C20" s="22" t="s">
        <v>57</v>
      </c>
      <c r="D20" s="48" t="s">
        <v>19</v>
      </c>
      <c r="E20" s="20" t="s">
        <v>320</v>
      </c>
      <c r="F20" s="24" t="s">
        <v>294</v>
      </c>
      <c r="G20" s="100" t="s">
        <v>316</v>
      </c>
      <c r="H20" s="24"/>
      <c r="I20" s="210" t="s">
        <v>476</v>
      </c>
    </row>
    <row r="21" spans="1:9" s="25" customFormat="1" ht="48" outlineLevel="1" x14ac:dyDescent="0.35">
      <c r="A21" s="21">
        <f t="shared" si="0"/>
        <v>15</v>
      </c>
      <c r="B21" s="22" t="s">
        <v>34</v>
      </c>
      <c r="C21" s="22" t="s">
        <v>58</v>
      </c>
      <c r="D21" s="48" t="s">
        <v>35</v>
      </c>
      <c r="E21" s="20" t="s">
        <v>66</v>
      </c>
      <c r="F21" s="24" t="s">
        <v>36</v>
      </c>
      <c r="G21" s="27" t="s">
        <v>312</v>
      </c>
      <c r="H21" s="24" t="s">
        <v>259</v>
      </c>
    </row>
    <row r="22" spans="1:9" s="25" customFormat="1" ht="69" customHeight="1" outlineLevel="1" x14ac:dyDescent="0.35">
      <c r="A22" s="21">
        <f t="shared" si="0"/>
        <v>16</v>
      </c>
      <c r="B22" s="22">
        <v>150000017</v>
      </c>
      <c r="C22" s="22" t="s">
        <v>260</v>
      </c>
      <c r="D22" s="48" t="s">
        <v>261</v>
      </c>
      <c r="E22" s="20" t="s">
        <v>262</v>
      </c>
      <c r="F22" s="24" t="s">
        <v>293</v>
      </c>
      <c r="G22" s="100" t="s">
        <v>311</v>
      </c>
      <c r="H22" s="23" t="s">
        <v>296</v>
      </c>
    </row>
    <row r="23" spans="1:9" s="2" customFormat="1" x14ac:dyDescent="0.35">
      <c r="A23" s="16" t="s">
        <v>5</v>
      </c>
      <c r="B23" s="16"/>
      <c r="C23" s="16"/>
      <c r="D23" s="17" t="s">
        <v>9</v>
      </c>
      <c r="E23" s="18"/>
      <c r="F23" s="19"/>
      <c r="G23" s="19"/>
      <c r="H23" s="19"/>
    </row>
    <row r="24" spans="1:9" s="30" customFormat="1" ht="48" outlineLevel="1" x14ac:dyDescent="0.35">
      <c r="A24" s="21">
        <f t="shared" ref="A24:A29" si="1">ROW()-ROW($A$23)</f>
        <v>1</v>
      </c>
      <c r="B24" s="22" t="s">
        <v>37</v>
      </c>
      <c r="C24" s="22" t="s">
        <v>237</v>
      </c>
      <c r="D24" s="23" t="s">
        <v>38</v>
      </c>
      <c r="E24" s="20" t="s">
        <v>248</v>
      </c>
      <c r="F24" s="24" t="s">
        <v>64</v>
      </c>
      <c r="G24" s="27" t="s">
        <v>317</v>
      </c>
      <c r="H24" s="29"/>
    </row>
    <row r="25" spans="1:9" s="30" customFormat="1" ht="32" outlineLevel="1" x14ac:dyDescent="0.35">
      <c r="A25" s="21">
        <f t="shared" si="1"/>
        <v>2</v>
      </c>
      <c r="B25" s="22">
        <v>150000189</v>
      </c>
      <c r="C25" s="22" t="s">
        <v>238</v>
      </c>
      <c r="D25" s="23" t="s">
        <v>68</v>
      </c>
      <c r="E25" s="20" t="s">
        <v>284</v>
      </c>
      <c r="F25" s="24" t="s">
        <v>64</v>
      </c>
      <c r="G25" s="24" t="s">
        <v>246</v>
      </c>
      <c r="H25" s="23" t="s">
        <v>247</v>
      </c>
    </row>
    <row r="26" spans="1:9" s="30" customFormat="1" ht="32" outlineLevel="1" x14ac:dyDescent="0.35">
      <c r="A26" s="21">
        <f t="shared" si="1"/>
        <v>3</v>
      </c>
      <c r="B26" s="22" t="s">
        <v>39</v>
      </c>
      <c r="C26" s="22" t="s">
        <v>239</v>
      </c>
      <c r="D26" s="23" t="s">
        <v>67</v>
      </c>
      <c r="E26" s="20" t="s">
        <v>285</v>
      </c>
      <c r="F26" s="24" t="s">
        <v>64</v>
      </c>
      <c r="G26" s="24" t="s">
        <v>246</v>
      </c>
      <c r="H26" s="29"/>
    </row>
    <row r="27" spans="1:9" s="30" customFormat="1" outlineLevel="1" x14ac:dyDescent="0.35">
      <c r="A27" s="21">
        <f t="shared" si="1"/>
        <v>4</v>
      </c>
      <c r="B27" s="22" t="s">
        <v>40</v>
      </c>
      <c r="C27" s="22" t="s">
        <v>240</v>
      </c>
      <c r="D27" s="23" t="s">
        <v>41</v>
      </c>
      <c r="E27" s="20" t="s">
        <v>194</v>
      </c>
      <c r="F27" s="24" t="s">
        <v>64</v>
      </c>
      <c r="G27" s="24" t="s">
        <v>249</v>
      </c>
      <c r="H27" s="29"/>
    </row>
    <row r="28" spans="1:9" s="30" customFormat="1" ht="32" outlineLevel="1" x14ac:dyDescent="0.35">
      <c r="A28" s="21">
        <f t="shared" si="1"/>
        <v>5</v>
      </c>
      <c r="B28" s="101" t="s">
        <v>44</v>
      </c>
      <c r="C28" s="101" t="s">
        <v>242</v>
      </c>
      <c r="D28" s="103" t="s">
        <v>45</v>
      </c>
      <c r="E28" s="104" t="s">
        <v>196</v>
      </c>
      <c r="F28" s="105" t="s">
        <v>295</v>
      </c>
      <c r="G28" s="106" t="s">
        <v>310</v>
      </c>
      <c r="H28" s="29"/>
    </row>
    <row r="29" spans="1:9" s="30" customFormat="1" ht="32" outlineLevel="1" x14ac:dyDescent="0.35">
      <c r="A29" s="21">
        <f t="shared" si="1"/>
        <v>6</v>
      </c>
      <c r="B29" s="22" t="s">
        <v>42</v>
      </c>
      <c r="C29" s="22" t="s">
        <v>241</v>
      </c>
      <c r="D29" s="23" t="s">
        <v>43</v>
      </c>
      <c r="E29" s="20" t="s">
        <v>195</v>
      </c>
      <c r="F29" s="24"/>
      <c r="G29" s="23" t="s">
        <v>250</v>
      </c>
      <c r="H29" s="29"/>
    </row>
    <row r="30" spans="1:9" x14ac:dyDescent="0.35">
      <c r="A30" s="51" t="s">
        <v>10</v>
      </c>
      <c r="B30" s="51"/>
      <c r="C30" s="51"/>
      <c r="D30" s="47" t="s">
        <v>11</v>
      </c>
      <c r="E30" s="54"/>
      <c r="F30" s="55"/>
      <c r="G30" s="55"/>
      <c r="H30" s="55"/>
    </row>
    <row r="31" spans="1:9" s="2" customFormat="1" x14ac:dyDescent="0.35">
      <c r="A31" s="16" t="s">
        <v>4</v>
      </c>
      <c r="B31" s="16"/>
      <c r="C31" s="16"/>
      <c r="D31" s="17" t="s">
        <v>253</v>
      </c>
      <c r="E31" s="18"/>
      <c r="F31" s="19"/>
      <c r="G31" s="19" t="s">
        <v>251</v>
      </c>
      <c r="H31" s="19"/>
    </row>
    <row r="32" spans="1:9" s="25" customFormat="1" outlineLevel="1" x14ac:dyDescent="0.35">
      <c r="A32" s="21">
        <f>ROW()-ROW($A$31)</f>
        <v>1</v>
      </c>
      <c r="B32" s="22" t="s">
        <v>77</v>
      </c>
      <c r="C32" s="22" t="s">
        <v>222</v>
      </c>
      <c r="D32" s="24" t="s">
        <v>78</v>
      </c>
      <c r="E32" s="26" t="s">
        <v>209</v>
      </c>
      <c r="F32" s="24"/>
      <c r="G32" s="24" t="s">
        <v>251</v>
      </c>
      <c r="H32" s="24" t="s">
        <v>210</v>
      </c>
    </row>
    <row r="33" spans="1:8" s="25" customFormat="1" outlineLevel="1" x14ac:dyDescent="0.35">
      <c r="A33" s="21">
        <f t="shared" ref="A33:A57" si="2">ROW()-ROW($A$31)</f>
        <v>2</v>
      </c>
      <c r="B33" s="22" t="s">
        <v>69</v>
      </c>
      <c r="C33" s="22" t="s">
        <v>223</v>
      </c>
      <c r="D33" s="24" t="s">
        <v>70</v>
      </c>
      <c r="E33" s="26" t="s">
        <v>119</v>
      </c>
      <c r="F33" s="24"/>
      <c r="G33" s="24" t="s">
        <v>251</v>
      </c>
      <c r="H33" s="24"/>
    </row>
    <row r="34" spans="1:8" s="25" customFormat="1" outlineLevel="1" x14ac:dyDescent="0.35">
      <c r="A34" s="21">
        <f t="shared" si="2"/>
        <v>3</v>
      </c>
      <c r="B34" s="22" t="s">
        <v>73</v>
      </c>
      <c r="C34" s="22" t="s">
        <v>224</v>
      </c>
      <c r="D34" s="23" t="s">
        <v>74</v>
      </c>
      <c r="E34" s="26" t="s">
        <v>120</v>
      </c>
      <c r="F34" s="24"/>
      <c r="G34" s="24" t="s">
        <v>251</v>
      </c>
      <c r="H34" s="24"/>
    </row>
    <row r="35" spans="1:8" s="25" customFormat="1" outlineLevel="1" x14ac:dyDescent="0.35">
      <c r="A35" s="21">
        <f t="shared" si="2"/>
        <v>4</v>
      </c>
      <c r="B35" s="22" t="s">
        <v>75</v>
      </c>
      <c r="C35" s="22" t="s">
        <v>225</v>
      </c>
      <c r="D35" s="24" t="s">
        <v>76</v>
      </c>
      <c r="E35" s="26" t="s">
        <v>121</v>
      </c>
      <c r="F35" s="24"/>
      <c r="G35" s="24" t="s">
        <v>251</v>
      </c>
      <c r="H35" s="23" t="s">
        <v>200</v>
      </c>
    </row>
    <row r="36" spans="1:8" s="25" customFormat="1" outlineLevel="1" x14ac:dyDescent="0.35">
      <c r="A36" s="21">
        <f t="shared" si="2"/>
        <v>5</v>
      </c>
      <c r="B36" s="22" t="s">
        <v>122</v>
      </c>
      <c r="C36" s="22" t="s">
        <v>226</v>
      </c>
      <c r="D36" s="24" t="s">
        <v>123</v>
      </c>
      <c r="E36" s="26" t="s">
        <v>124</v>
      </c>
      <c r="F36" s="24"/>
      <c r="G36" s="24" t="s">
        <v>251</v>
      </c>
      <c r="H36" s="24"/>
    </row>
    <row r="37" spans="1:8" s="25" customFormat="1" outlineLevel="1" x14ac:dyDescent="0.35">
      <c r="A37" s="21">
        <f t="shared" si="2"/>
        <v>6</v>
      </c>
      <c r="B37" s="22" t="s">
        <v>125</v>
      </c>
      <c r="C37" s="22" t="s">
        <v>227</v>
      </c>
      <c r="D37" s="24" t="s">
        <v>126</v>
      </c>
      <c r="E37" s="26" t="s">
        <v>127</v>
      </c>
      <c r="F37" s="24"/>
      <c r="G37" s="24" t="s">
        <v>251</v>
      </c>
      <c r="H37" s="24"/>
    </row>
    <row r="38" spans="1:8" s="25" customFormat="1" outlineLevel="1" x14ac:dyDescent="0.35">
      <c r="A38" s="21">
        <f t="shared" si="2"/>
        <v>7</v>
      </c>
      <c r="B38" s="22" t="s">
        <v>128</v>
      </c>
      <c r="C38" s="22" t="s">
        <v>228</v>
      </c>
      <c r="D38" s="24" t="s">
        <v>129</v>
      </c>
      <c r="E38" s="26" t="s">
        <v>130</v>
      </c>
      <c r="F38" s="24"/>
      <c r="G38" s="24" t="s">
        <v>251</v>
      </c>
      <c r="H38" s="24"/>
    </row>
    <row r="39" spans="1:8" s="25" customFormat="1" outlineLevel="1" x14ac:dyDescent="0.35">
      <c r="A39" s="21">
        <f t="shared" si="2"/>
        <v>8</v>
      </c>
      <c r="B39" s="22" t="s">
        <v>131</v>
      </c>
      <c r="C39" s="22" t="s">
        <v>229</v>
      </c>
      <c r="D39" s="24" t="s">
        <v>132</v>
      </c>
      <c r="E39" s="26" t="s">
        <v>201</v>
      </c>
      <c r="F39" s="24"/>
      <c r="G39" s="24" t="s">
        <v>251</v>
      </c>
      <c r="H39" s="24"/>
    </row>
    <row r="40" spans="1:8" s="25" customFormat="1" outlineLevel="1" x14ac:dyDescent="0.35">
      <c r="A40" s="21">
        <f t="shared" si="2"/>
        <v>9</v>
      </c>
      <c r="B40" s="22" t="s">
        <v>133</v>
      </c>
      <c r="C40" s="22" t="s">
        <v>230</v>
      </c>
      <c r="D40" s="24" t="s">
        <v>134</v>
      </c>
      <c r="E40" s="26" t="s">
        <v>202</v>
      </c>
      <c r="F40" s="24"/>
      <c r="G40" s="24" t="s">
        <v>251</v>
      </c>
      <c r="H40" s="24"/>
    </row>
    <row r="41" spans="1:8" s="25" customFormat="1" outlineLevel="1" x14ac:dyDescent="0.35">
      <c r="A41" s="21">
        <f t="shared" si="2"/>
        <v>10</v>
      </c>
      <c r="B41" s="22" t="s">
        <v>135</v>
      </c>
      <c r="C41" s="22" t="s">
        <v>231</v>
      </c>
      <c r="D41" s="24" t="s">
        <v>136</v>
      </c>
      <c r="E41" s="26" t="s">
        <v>205</v>
      </c>
      <c r="F41" s="24"/>
      <c r="G41" s="24" t="s">
        <v>251</v>
      </c>
      <c r="H41" s="24"/>
    </row>
    <row r="42" spans="1:8" s="25" customFormat="1" outlineLevel="1" x14ac:dyDescent="0.35">
      <c r="A42" s="21">
        <f t="shared" si="2"/>
        <v>11</v>
      </c>
      <c r="B42" s="22" t="s">
        <v>137</v>
      </c>
      <c r="C42" s="22" t="s">
        <v>232</v>
      </c>
      <c r="D42" s="24" t="s">
        <v>138</v>
      </c>
      <c r="E42" s="26" t="s">
        <v>203</v>
      </c>
      <c r="F42" s="24"/>
      <c r="G42" s="24" t="s">
        <v>251</v>
      </c>
      <c r="H42" s="24"/>
    </row>
    <row r="43" spans="1:8" s="25" customFormat="1" outlineLevel="1" x14ac:dyDescent="0.35">
      <c r="A43" s="21">
        <f t="shared" si="2"/>
        <v>12</v>
      </c>
      <c r="B43" s="22" t="s">
        <v>139</v>
      </c>
      <c r="C43" s="22" t="s">
        <v>233</v>
      </c>
      <c r="D43" s="24" t="s">
        <v>140</v>
      </c>
      <c r="E43" s="26" t="s">
        <v>204</v>
      </c>
      <c r="F43" s="24"/>
      <c r="G43" s="24" t="s">
        <v>251</v>
      </c>
      <c r="H43" s="24"/>
    </row>
    <row r="44" spans="1:8" s="25" customFormat="1" outlineLevel="1" x14ac:dyDescent="0.35">
      <c r="A44" s="21">
        <f t="shared" si="2"/>
        <v>13</v>
      </c>
      <c r="B44" s="22" t="s">
        <v>141</v>
      </c>
      <c r="C44" s="22" t="s">
        <v>234</v>
      </c>
      <c r="D44" s="24" t="s">
        <v>142</v>
      </c>
      <c r="E44" s="26" t="s">
        <v>206</v>
      </c>
      <c r="F44" s="24"/>
      <c r="G44" s="24" t="s">
        <v>251</v>
      </c>
      <c r="H44" s="24"/>
    </row>
    <row r="45" spans="1:8" s="25" customFormat="1" outlineLevel="1" x14ac:dyDescent="0.35">
      <c r="A45" s="21">
        <f t="shared" si="2"/>
        <v>14</v>
      </c>
      <c r="B45" s="22" t="s">
        <v>143</v>
      </c>
      <c r="C45" s="22" t="s">
        <v>235</v>
      </c>
      <c r="D45" s="24" t="s">
        <v>144</v>
      </c>
      <c r="E45" s="26" t="s">
        <v>207</v>
      </c>
      <c r="F45" s="24"/>
      <c r="G45" s="24" t="s">
        <v>251</v>
      </c>
      <c r="H45" s="24"/>
    </row>
    <row r="46" spans="1:8" s="25" customFormat="1" outlineLevel="1" x14ac:dyDescent="0.35">
      <c r="A46" s="21">
        <f t="shared" si="2"/>
        <v>15</v>
      </c>
      <c r="B46" s="22" t="s">
        <v>145</v>
      </c>
      <c r="C46" s="22" t="s">
        <v>236</v>
      </c>
      <c r="D46" s="24" t="s">
        <v>146</v>
      </c>
      <c r="E46" s="26" t="s">
        <v>208</v>
      </c>
      <c r="F46" s="24"/>
      <c r="G46" s="24" t="s">
        <v>251</v>
      </c>
      <c r="H46" s="24"/>
    </row>
    <row r="47" spans="1:8" s="2" customFormat="1" x14ac:dyDescent="0.35">
      <c r="A47" s="16" t="s">
        <v>5</v>
      </c>
      <c r="B47" s="16"/>
      <c r="C47" s="16"/>
      <c r="D47" s="17" t="s">
        <v>254</v>
      </c>
      <c r="E47" s="18"/>
      <c r="F47" s="19"/>
      <c r="G47" s="19" t="s">
        <v>251</v>
      </c>
      <c r="H47" s="19"/>
    </row>
    <row r="48" spans="1:8" s="25" customFormat="1" outlineLevel="1" x14ac:dyDescent="0.35">
      <c r="A48" s="21">
        <f t="shared" si="2"/>
        <v>17</v>
      </c>
      <c r="B48" s="22" t="s">
        <v>107</v>
      </c>
      <c r="C48" s="22" t="s">
        <v>221</v>
      </c>
      <c r="D48" s="24" t="s">
        <v>108</v>
      </c>
      <c r="E48" s="26" t="s">
        <v>155</v>
      </c>
      <c r="F48" s="24"/>
      <c r="G48" s="24" t="s">
        <v>318</v>
      </c>
      <c r="H48" s="24"/>
    </row>
    <row r="49" spans="1:8" s="25" customFormat="1" ht="48" outlineLevel="1" x14ac:dyDescent="0.35">
      <c r="A49" s="21">
        <f t="shared" si="2"/>
        <v>18</v>
      </c>
      <c r="B49" s="22" t="s">
        <v>89</v>
      </c>
      <c r="C49" s="22" t="s">
        <v>147</v>
      </c>
      <c r="D49" s="24" t="s">
        <v>90</v>
      </c>
      <c r="E49" s="26" t="s">
        <v>211</v>
      </c>
      <c r="F49" s="24"/>
      <c r="G49" s="27" t="s">
        <v>317</v>
      </c>
      <c r="H49" s="24"/>
    </row>
    <row r="50" spans="1:8" s="25" customFormat="1" ht="32" outlineLevel="1" x14ac:dyDescent="0.35">
      <c r="A50" s="21">
        <f t="shared" si="2"/>
        <v>19</v>
      </c>
      <c r="B50" s="22" t="s">
        <v>91</v>
      </c>
      <c r="C50" s="22" t="s">
        <v>148</v>
      </c>
      <c r="D50" s="24" t="s">
        <v>92</v>
      </c>
      <c r="E50" s="20" t="s">
        <v>212</v>
      </c>
      <c r="F50" s="24"/>
      <c r="G50" s="24" t="s">
        <v>315</v>
      </c>
      <c r="H50" s="24"/>
    </row>
    <row r="51" spans="1:8" s="25" customFormat="1" outlineLevel="1" x14ac:dyDescent="0.35">
      <c r="A51" s="21">
        <f t="shared" si="2"/>
        <v>20</v>
      </c>
      <c r="B51" s="22" t="s">
        <v>93</v>
      </c>
      <c r="C51" s="22" t="s">
        <v>149</v>
      </c>
      <c r="D51" s="24" t="s">
        <v>94</v>
      </c>
      <c r="E51" s="26" t="s">
        <v>213</v>
      </c>
      <c r="F51" s="24"/>
      <c r="G51" s="24" t="s">
        <v>315</v>
      </c>
      <c r="H51" s="24"/>
    </row>
    <row r="52" spans="1:8" s="25" customFormat="1" ht="32" outlineLevel="1" x14ac:dyDescent="0.35">
      <c r="A52" s="21">
        <f t="shared" si="2"/>
        <v>21</v>
      </c>
      <c r="B52" s="22" t="s">
        <v>95</v>
      </c>
      <c r="C52" s="22" t="s">
        <v>150</v>
      </c>
      <c r="D52" s="24" t="s">
        <v>96</v>
      </c>
      <c r="E52" s="20" t="s">
        <v>214</v>
      </c>
      <c r="F52" s="24"/>
      <c r="G52" s="24" t="s">
        <v>315</v>
      </c>
      <c r="H52" s="24"/>
    </row>
    <row r="53" spans="1:8" s="25" customFormat="1" outlineLevel="1" x14ac:dyDescent="0.35">
      <c r="A53" s="21">
        <f t="shared" si="2"/>
        <v>22</v>
      </c>
      <c r="B53" s="22" t="s">
        <v>97</v>
      </c>
      <c r="C53" s="22" t="s">
        <v>151</v>
      </c>
      <c r="D53" s="24" t="s">
        <v>98</v>
      </c>
      <c r="E53" s="26" t="s">
        <v>215</v>
      </c>
      <c r="F53" s="24"/>
      <c r="G53" s="24" t="s">
        <v>315</v>
      </c>
      <c r="H53" s="24"/>
    </row>
    <row r="54" spans="1:8" s="25" customFormat="1" outlineLevel="1" x14ac:dyDescent="0.35">
      <c r="A54" s="21">
        <f t="shared" si="2"/>
        <v>23</v>
      </c>
      <c r="B54" s="22" t="s">
        <v>99</v>
      </c>
      <c r="C54" s="22" t="s">
        <v>152</v>
      </c>
      <c r="D54" s="24" t="s">
        <v>100</v>
      </c>
      <c r="E54" s="26" t="s">
        <v>216</v>
      </c>
      <c r="F54" s="24"/>
      <c r="G54" s="24" t="s">
        <v>315</v>
      </c>
      <c r="H54" s="24"/>
    </row>
    <row r="55" spans="1:8" s="25" customFormat="1" ht="48" outlineLevel="1" x14ac:dyDescent="0.35">
      <c r="A55" s="21">
        <f t="shared" si="2"/>
        <v>24</v>
      </c>
      <c r="B55" s="22" t="s">
        <v>101</v>
      </c>
      <c r="C55" s="22" t="s">
        <v>153</v>
      </c>
      <c r="D55" s="24" t="s">
        <v>102</v>
      </c>
      <c r="E55" s="20" t="s">
        <v>217</v>
      </c>
      <c r="F55" s="24"/>
      <c r="G55" s="27" t="s">
        <v>317</v>
      </c>
      <c r="H55" s="24"/>
    </row>
    <row r="56" spans="1:8" s="25" customFormat="1" outlineLevel="1" x14ac:dyDescent="0.35">
      <c r="A56" s="21">
        <f t="shared" si="2"/>
        <v>25</v>
      </c>
      <c r="B56" s="22" t="s">
        <v>103</v>
      </c>
      <c r="C56" s="22" t="s">
        <v>154</v>
      </c>
      <c r="D56" s="24" t="s">
        <v>104</v>
      </c>
      <c r="E56" s="20" t="s">
        <v>218</v>
      </c>
      <c r="F56" s="24"/>
      <c r="G56" s="24" t="s">
        <v>315</v>
      </c>
      <c r="H56" s="24"/>
    </row>
    <row r="57" spans="1:8" s="25" customFormat="1" outlineLevel="1" x14ac:dyDescent="0.35">
      <c r="A57" s="21">
        <f t="shared" si="2"/>
        <v>26</v>
      </c>
      <c r="B57" s="22" t="s">
        <v>105</v>
      </c>
      <c r="C57" s="22" t="s">
        <v>220</v>
      </c>
      <c r="D57" s="24" t="s">
        <v>106</v>
      </c>
      <c r="E57" s="20" t="s">
        <v>219</v>
      </c>
      <c r="F57" s="24"/>
      <c r="G57" s="24" t="s">
        <v>315</v>
      </c>
      <c r="H57" s="24"/>
    </row>
    <row r="58" spans="1:8" s="2" customFormat="1" x14ac:dyDescent="0.35">
      <c r="A58" s="16" t="s">
        <v>255</v>
      </c>
      <c r="B58" s="16"/>
      <c r="C58" s="16"/>
      <c r="D58" s="17" t="s">
        <v>12</v>
      </c>
      <c r="E58" s="18"/>
      <c r="F58" s="19"/>
      <c r="G58" s="19" t="s">
        <v>251</v>
      </c>
      <c r="H58" s="19"/>
    </row>
    <row r="59" spans="1:8" s="25" customFormat="1" outlineLevel="1" x14ac:dyDescent="0.35">
      <c r="A59" s="21">
        <f>ROW()-ROW($A$58)</f>
        <v>1</v>
      </c>
      <c r="B59" s="22" t="s">
        <v>81</v>
      </c>
      <c r="C59" s="22"/>
      <c r="D59" s="24" t="s">
        <v>82</v>
      </c>
      <c r="E59" s="26"/>
      <c r="F59" s="24" t="s">
        <v>293</v>
      </c>
      <c r="G59" s="24" t="s">
        <v>318</v>
      </c>
      <c r="H59" s="23" t="s">
        <v>245</v>
      </c>
    </row>
    <row r="60" spans="1:8" s="25" customFormat="1" ht="32" outlineLevel="1" x14ac:dyDescent="0.35">
      <c r="A60" s="21">
        <f t="shared" ref="A60:A68" si="3">ROW()-ROW($A$58)</f>
        <v>2</v>
      </c>
      <c r="B60" s="22" t="s">
        <v>79</v>
      </c>
      <c r="C60" s="22"/>
      <c r="D60" s="24" t="s">
        <v>80</v>
      </c>
      <c r="E60" s="26"/>
      <c r="F60" s="24" t="s">
        <v>293</v>
      </c>
      <c r="G60" s="99" t="s">
        <v>319</v>
      </c>
      <c r="H60" s="23" t="s">
        <v>303</v>
      </c>
    </row>
    <row r="61" spans="1:8" s="25" customFormat="1" outlineLevel="1" x14ac:dyDescent="0.35">
      <c r="A61" s="21">
        <f t="shared" si="3"/>
        <v>3</v>
      </c>
      <c r="B61" s="22" t="s">
        <v>87</v>
      </c>
      <c r="C61" s="22"/>
      <c r="D61" s="24" t="s">
        <v>88</v>
      </c>
      <c r="E61" s="26" t="s">
        <v>243</v>
      </c>
      <c r="F61" s="24" t="s">
        <v>295</v>
      </c>
      <c r="G61" s="99" t="s">
        <v>319</v>
      </c>
      <c r="H61" s="24" t="s">
        <v>302</v>
      </c>
    </row>
    <row r="62" spans="1:8" s="25" customFormat="1" ht="32" outlineLevel="1" x14ac:dyDescent="0.35">
      <c r="A62" s="21">
        <f t="shared" si="3"/>
        <v>4</v>
      </c>
      <c r="B62" s="22" t="s">
        <v>85</v>
      </c>
      <c r="C62" s="22"/>
      <c r="D62" s="24" t="s">
        <v>86</v>
      </c>
      <c r="E62" s="20" t="s">
        <v>301</v>
      </c>
      <c r="F62" s="24"/>
      <c r="G62" s="24" t="s">
        <v>251</v>
      </c>
      <c r="H62" s="24"/>
    </row>
    <row r="63" spans="1:8" s="25" customFormat="1" outlineLevel="1" x14ac:dyDescent="0.35">
      <c r="A63" s="21">
        <f t="shared" si="3"/>
        <v>5</v>
      </c>
      <c r="B63" s="22" t="s">
        <v>83</v>
      </c>
      <c r="C63" s="22"/>
      <c r="D63" s="24" t="s">
        <v>84</v>
      </c>
      <c r="E63" s="26"/>
      <c r="F63" s="24"/>
      <c r="G63" s="24" t="s">
        <v>251</v>
      </c>
      <c r="H63" s="24"/>
    </row>
    <row r="64" spans="1:8" s="25" customFormat="1" outlineLevel="1" x14ac:dyDescent="0.35">
      <c r="A64" s="21">
        <f t="shared" si="3"/>
        <v>6</v>
      </c>
      <c r="B64" s="22" t="s">
        <v>109</v>
      </c>
      <c r="C64" s="22"/>
      <c r="D64" s="24" t="s">
        <v>110</v>
      </c>
      <c r="E64" s="26"/>
      <c r="F64" s="24"/>
      <c r="G64" s="24" t="s">
        <v>251</v>
      </c>
      <c r="H64" s="24"/>
    </row>
    <row r="65" spans="1:8" s="25" customFormat="1" outlineLevel="1" x14ac:dyDescent="0.35">
      <c r="A65" s="21">
        <f t="shared" si="3"/>
        <v>7</v>
      </c>
      <c r="B65" s="22" t="s">
        <v>111</v>
      </c>
      <c r="C65" s="22"/>
      <c r="D65" s="24" t="s">
        <v>112</v>
      </c>
      <c r="E65" s="26"/>
      <c r="F65" s="24"/>
      <c r="G65" s="24" t="s">
        <v>251</v>
      </c>
      <c r="H65" s="24"/>
    </row>
    <row r="66" spans="1:8" s="25" customFormat="1" outlineLevel="1" x14ac:dyDescent="0.35">
      <c r="A66" s="21">
        <f t="shared" si="3"/>
        <v>8</v>
      </c>
      <c r="B66" s="22" t="s">
        <v>113</v>
      </c>
      <c r="C66" s="22"/>
      <c r="D66" s="24" t="s">
        <v>114</v>
      </c>
      <c r="E66" s="26"/>
      <c r="F66" s="24"/>
      <c r="G66" s="24" t="s">
        <v>251</v>
      </c>
      <c r="H66" s="24"/>
    </row>
    <row r="67" spans="1:8" s="25" customFormat="1" outlineLevel="1" x14ac:dyDescent="0.35">
      <c r="A67" s="21">
        <f t="shared" si="3"/>
        <v>9</v>
      </c>
      <c r="B67" s="22" t="s">
        <v>115</v>
      </c>
      <c r="C67" s="22"/>
      <c r="D67" s="24" t="s">
        <v>116</v>
      </c>
      <c r="E67" s="26" t="s">
        <v>244</v>
      </c>
      <c r="F67" s="24"/>
      <c r="G67" s="24" t="s">
        <v>251</v>
      </c>
      <c r="H67" s="24"/>
    </row>
    <row r="68" spans="1:8" s="25" customFormat="1" outlineLevel="1" x14ac:dyDescent="0.35">
      <c r="A68" s="21">
        <f t="shared" si="3"/>
        <v>10</v>
      </c>
      <c r="B68" s="22" t="s">
        <v>117</v>
      </c>
      <c r="C68" s="22"/>
      <c r="D68" s="24" t="s">
        <v>118</v>
      </c>
      <c r="E68" s="26"/>
      <c r="F68" s="24"/>
      <c r="G68" s="24" t="s">
        <v>251</v>
      </c>
      <c r="H68" s="24"/>
    </row>
    <row r="69" spans="1:8" x14ac:dyDescent="0.35">
      <c r="A69" s="51" t="s">
        <v>13</v>
      </c>
      <c r="B69" s="51"/>
      <c r="C69" s="51"/>
      <c r="D69" s="47" t="s">
        <v>46</v>
      </c>
      <c r="E69" s="54"/>
      <c r="F69" s="55"/>
      <c r="G69" s="55"/>
      <c r="H69" s="55"/>
    </row>
    <row r="70" spans="1:8" s="25" customFormat="1" ht="32" outlineLevel="1" x14ac:dyDescent="0.35">
      <c r="A70" s="21">
        <f>ROW()-ROW($A$69)</f>
        <v>1</v>
      </c>
      <c r="B70" s="22" t="s">
        <v>171</v>
      </c>
      <c r="C70" s="22" t="s">
        <v>184</v>
      </c>
      <c r="D70" s="26" t="s">
        <v>172</v>
      </c>
      <c r="E70" s="20" t="s">
        <v>198</v>
      </c>
      <c r="F70" s="24"/>
      <c r="G70" s="24" t="s">
        <v>252</v>
      </c>
      <c r="H70" s="24"/>
    </row>
    <row r="71" spans="1:8" s="25" customFormat="1" ht="32" outlineLevel="1" x14ac:dyDescent="0.35">
      <c r="A71" s="21">
        <f t="shared" ref="A71:A79" si="4">ROW()-ROW($A$69)</f>
        <v>2</v>
      </c>
      <c r="B71" s="22" t="s">
        <v>173</v>
      </c>
      <c r="C71" s="22" t="s">
        <v>185</v>
      </c>
      <c r="D71" s="26" t="s">
        <v>174</v>
      </c>
      <c r="E71" s="20" t="s">
        <v>199</v>
      </c>
      <c r="F71" s="24"/>
      <c r="G71" s="24" t="s">
        <v>252</v>
      </c>
      <c r="H71" s="24"/>
    </row>
    <row r="72" spans="1:8" s="25" customFormat="1" outlineLevel="1" x14ac:dyDescent="0.35">
      <c r="A72" s="21">
        <f t="shared" si="4"/>
        <v>3</v>
      </c>
      <c r="B72" s="22" t="s">
        <v>159</v>
      </c>
      <c r="C72" s="22" t="s">
        <v>178</v>
      </c>
      <c r="D72" s="26" t="s">
        <v>160</v>
      </c>
      <c r="E72" s="26" t="s">
        <v>187</v>
      </c>
      <c r="F72" s="24"/>
      <c r="G72" s="24" t="s">
        <v>252</v>
      </c>
      <c r="H72" s="24"/>
    </row>
    <row r="73" spans="1:8" s="25" customFormat="1" outlineLevel="1" x14ac:dyDescent="0.35">
      <c r="A73" s="21">
        <f t="shared" si="4"/>
        <v>4</v>
      </c>
      <c r="B73" s="22" t="s">
        <v>157</v>
      </c>
      <c r="C73" s="22" t="s">
        <v>177</v>
      </c>
      <c r="D73" s="26" t="s">
        <v>158</v>
      </c>
      <c r="E73" s="26" t="s">
        <v>188</v>
      </c>
      <c r="F73" s="24"/>
      <c r="G73" s="24" t="s">
        <v>252</v>
      </c>
      <c r="H73" s="24"/>
    </row>
    <row r="74" spans="1:8" s="25" customFormat="1" outlineLevel="1" x14ac:dyDescent="0.35">
      <c r="A74" s="21">
        <f t="shared" si="4"/>
        <v>5</v>
      </c>
      <c r="B74" s="22" t="s">
        <v>169</v>
      </c>
      <c r="C74" s="22" t="s">
        <v>183</v>
      </c>
      <c r="D74" s="26" t="s">
        <v>170</v>
      </c>
      <c r="E74" s="26" t="s">
        <v>189</v>
      </c>
      <c r="F74" s="24"/>
      <c r="G74" s="24" t="s">
        <v>252</v>
      </c>
      <c r="H74" s="24"/>
    </row>
    <row r="75" spans="1:8" s="25" customFormat="1" outlineLevel="1" x14ac:dyDescent="0.35">
      <c r="A75" s="21">
        <f t="shared" si="4"/>
        <v>6</v>
      </c>
      <c r="B75" s="22" t="s">
        <v>165</v>
      </c>
      <c r="C75" s="22" t="s">
        <v>181</v>
      </c>
      <c r="D75" s="26" t="s">
        <v>166</v>
      </c>
      <c r="E75" s="26" t="s">
        <v>190</v>
      </c>
      <c r="F75" s="24"/>
      <c r="G75" s="24" t="s">
        <v>252</v>
      </c>
      <c r="H75" s="24"/>
    </row>
    <row r="76" spans="1:8" s="25" customFormat="1" outlineLevel="1" x14ac:dyDescent="0.35">
      <c r="A76" s="21">
        <f t="shared" si="4"/>
        <v>7</v>
      </c>
      <c r="B76" s="22" t="s">
        <v>167</v>
      </c>
      <c r="C76" s="22" t="s">
        <v>182</v>
      </c>
      <c r="D76" s="26" t="s">
        <v>168</v>
      </c>
      <c r="E76" s="26" t="s">
        <v>191</v>
      </c>
      <c r="F76" s="24"/>
      <c r="G76" s="24" t="s">
        <v>252</v>
      </c>
      <c r="H76" s="24"/>
    </row>
    <row r="77" spans="1:8" s="25" customFormat="1" outlineLevel="1" x14ac:dyDescent="0.35">
      <c r="A77" s="21">
        <f t="shared" si="4"/>
        <v>8</v>
      </c>
      <c r="B77" s="22" t="s">
        <v>161</v>
      </c>
      <c r="C77" s="22" t="s">
        <v>179</v>
      </c>
      <c r="D77" s="26" t="s">
        <v>162</v>
      </c>
      <c r="E77" s="26" t="s">
        <v>193</v>
      </c>
      <c r="F77" s="24"/>
      <c r="G77" s="24" t="s">
        <v>252</v>
      </c>
      <c r="H77" s="24"/>
    </row>
    <row r="78" spans="1:8" s="25" customFormat="1" outlineLevel="1" x14ac:dyDescent="0.35">
      <c r="A78" s="21">
        <f t="shared" si="4"/>
        <v>9</v>
      </c>
      <c r="B78" s="22" t="s">
        <v>163</v>
      </c>
      <c r="C78" s="22" t="s">
        <v>180</v>
      </c>
      <c r="D78" s="26" t="s">
        <v>164</v>
      </c>
      <c r="E78" s="26" t="s">
        <v>192</v>
      </c>
      <c r="F78" s="24"/>
      <c r="G78" s="24" t="s">
        <v>252</v>
      </c>
      <c r="H78" s="24"/>
    </row>
    <row r="79" spans="1:8" s="25" customFormat="1" outlineLevel="1" x14ac:dyDescent="0.35">
      <c r="A79" s="21">
        <f t="shared" si="4"/>
        <v>10</v>
      </c>
      <c r="B79" s="22" t="s">
        <v>175</v>
      </c>
      <c r="C79" s="22" t="s">
        <v>186</v>
      </c>
      <c r="D79" s="26" t="s">
        <v>176</v>
      </c>
      <c r="E79" s="26" t="s">
        <v>197</v>
      </c>
      <c r="F79" s="24"/>
      <c r="G79" s="24" t="s">
        <v>252</v>
      </c>
      <c r="H79" s="24"/>
    </row>
    <row r="80" spans="1:8" s="25" customFormat="1" x14ac:dyDescent="0.35">
      <c r="A80" s="31"/>
      <c r="B80" s="32"/>
      <c r="C80" s="32"/>
      <c r="D80" s="33"/>
      <c r="E80" s="34"/>
      <c r="F80" s="35"/>
      <c r="G80" s="35"/>
      <c r="H80" s="35"/>
    </row>
    <row r="81" spans="1:8" s="25" customFormat="1" x14ac:dyDescent="0.35">
      <c r="A81" s="36"/>
      <c r="B81" s="37"/>
      <c r="C81" s="37"/>
      <c r="D81" s="38"/>
      <c r="E81" s="39"/>
      <c r="F81" s="40"/>
      <c r="G81" s="40"/>
      <c r="H81" s="40"/>
    </row>
    <row r="82" spans="1:8" s="25" customFormat="1" x14ac:dyDescent="0.35">
      <c r="A82" s="41"/>
      <c r="B82" s="41"/>
      <c r="C82" s="41"/>
      <c r="D82" s="42"/>
      <c r="E82" s="43"/>
      <c r="F82" s="44"/>
      <c r="G82" s="44"/>
      <c r="H82" s="44"/>
    </row>
  </sheetData>
  <hyperlinks>
    <hyperlink ref="D11" location="'02. HÌNH ẢNH _ CHAI PET'!B26" display="Chai B1" xr:uid="{1E3B54D1-E178-4966-89E9-45E1FEF65BA5}"/>
    <hyperlink ref="D12" location="'02. HÌNH ẢNH _ CHAI PET'!B44" display="Chai B1 không phân loại" xr:uid="{91E40258-1C6F-40C2-81FD-05B58AE47255}"/>
    <hyperlink ref="D14" location="'02. HÌNH ẢNH _ CHAI PET'!B63" display="Chai PET B2.1" xr:uid="{EFFC9693-9795-4DC0-9808-E1792E31982C}"/>
    <hyperlink ref="D15" location="'02. HÌNH ẢNH _ CHAI PET'!B81" display="Chai PET B2.2" xr:uid="{99CB7547-EE87-49E0-A910-24825A289D58}"/>
    <hyperlink ref="D16" location="'02. HÌNH ẢNH _ CHAI PET'!B95" display="Chai PET B3" xr:uid="{ABEAD36A-D0F6-46D1-ABDB-37849EB5BD1F}"/>
    <hyperlink ref="D17" location="'02. HÌNH ẢNH _ CHAI PET'!B114" display="Chai PET B4" xr:uid="{4DB4D3F8-0413-4C69-86B7-5E94D1F1AB32}"/>
    <hyperlink ref="D18" location="'02. HÌNH ẢNH _ CHAI PET'!B131" display="Chai PET B5" xr:uid="{3DEAA263-78FC-4677-8E28-889B1572389F}"/>
    <hyperlink ref="D19" location="'02. HÌNH ẢNH _ CHAI PET'!B146" display="Chai PET B6.1" xr:uid="{744F5F25-F6F0-452C-878D-E7001926BA64}"/>
    <hyperlink ref="D20" location="'02. HÌNH ẢNH _ CHAI PET'!B163" display="Chai PET B6.2" xr:uid="{FE02E7B2-0D89-4D67-A5CC-339FAE5338B8}"/>
    <hyperlink ref="D10" location="'02. HÌNH ẢNH _ CHAI PET'!B234" display="Chai PET B1.4" xr:uid="{F86F0679-AFD1-4831-B3FF-1FF00EB7C81D}"/>
    <hyperlink ref="D21" location="'02. HÌNH ẢNH _ CHAI PET'!B187" display="Chai PET B7.1" xr:uid="{13D304A5-90F9-4569-A1DE-EE28A3A22AFA}"/>
    <hyperlink ref="D22" location="'02. HÌNH ẢNH _ CHAI PET'!B201" display="Chai PET B7.2" xr:uid="{E1EEC993-738A-45FA-856A-F7CF4016A354}"/>
    <hyperlink ref="D13" location="'02. HÌNH ẢNH _ CHAI PET'!B273" display="Chai PET B1.3" xr:uid="{9C0EC291-DDC9-4196-BD36-7BC6B92822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3</vt:i4>
      </vt:variant>
    </vt:vector>
  </HeadingPairs>
  <TitlesOfParts>
    <vt:vector size="34" baseType="lpstr">
      <vt:lpstr>Sheet1</vt:lpstr>
      <vt:lpstr>Cảnh báo giá mua từ trạm</vt:lpstr>
      <vt:lpstr>BOM chuẩn DLOC</vt:lpstr>
      <vt:lpstr>BOM chuẩn KN</vt:lpstr>
      <vt:lpstr>BOM chuẩn DLA</vt:lpstr>
      <vt:lpstr>BOM&amp;NRV</vt:lpstr>
      <vt:lpstr>GAP</vt:lpstr>
      <vt:lpstr>GAP (KN)</vt:lpstr>
      <vt:lpstr>GAP (DLA)</vt:lpstr>
      <vt:lpstr>GAP (DLO)</vt:lpstr>
      <vt:lpstr>So sánh thiệt hại</vt:lpstr>
      <vt:lpstr>Giá mua Chai-Vảy (KN)</vt:lpstr>
      <vt:lpstr>Giá mua Chai-Vảy (DLA)</vt:lpstr>
      <vt:lpstr>Giá mua Chai-Vảy (DLO)</vt:lpstr>
      <vt:lpstr>Giá mua Chai-Vảy</vt:lpstr>
      <vt:lpstr>Giá mua Chai-Vảy (Giá giảm)</vt:lpstr>
      <vt:lpstr>Hiệu suất</vt:lpstr>
      <vt:lpstr>H_Tỷ lệ HH&amp;PS</vt:lpstr>
      <vt:lpstr>H_Tỷ lệ HH&amp;PS (-PS)</vt:lpstr>
      <vt:lpstr>Chart</vt:lpstr>
      <vt:lpstr>Hảo_R&amp;D</vt:lpstr>
      <vt:lpstr>Hảo_R&amp;D (Vảy sạch)</vt:lpstr>
      <vt:lpstr>Hảo_R&amp;D (Vảy sạch) (-PS)</vt:lpstr>
      <vt:lpstr>Hảo_R&amp;D (Vảy sạch) (-PS) (2)</vt:lpstr>
      <vt:lpstr>Hảo_R&amp;D (Vảy sạch) (giảm giá)</vt:lpstr>
      <vt:lpstr>Hảo_R&amp;D (Hạt)</vt:lpstr>
      <vt:lpstr>Hảo_R&amp;D (Hạt) (full stage)-Chai</vt:lpstr>
      <vt:lpstr>Hảo_R&amp;D (Hạt) (full stage)-MN</vt:lpstr>
      <vt:lpstr>Hảo_R&amp;D (Hạt-Full stage-Mix)</vt:lpstr>
      <vt:lpstr>Phượng_QC</vt:lpstr>
      <vt:lpstr>01. ĐỊNH NGHĨA</vt:lpstr>
      <vt:lpstr>'H_Tỷ lệ HH&amp;PS (-PS)'!Print_Area</vt:lpstr>
      <vt:lpstr>'Hảo_R&amp;D (Vảy sạch) (-PS)'!Print_Area</vt:lpstr>
      <vt:lpstr>'Hảo_R&amp;D (Vảy sạch) (-PS)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Tâm, Lưu Thị Minh</dc:creator>
  <cp:lastModifiedBy>Cư, Lê Hoành</cp:lastModifiedBy>
  <cp:lastPrinted>2026-04-29T04:47:22Z</cp:lastPrinted>
  <dcterms:created xsi:type="dcterms:W3CDTF">2025-01-15T02:42:05Z</dcterms:created>
  <dcterms:modified xsi:type="dcterms:W3CDTF">2026-06-05T09:27:52Z</dcterms:modified>
</cp:coreProperties>
</file>