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comments3.xml" ContentType="application/vnd.openxmlformats-officedocument.spreadsheetml.comment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ml.chartshapes+xml"/>
  <Override PartName="/xl/comments4.xml" ContentType="application/vnd.openxmlformats-officedocument.spreadsheetml.comment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8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"/>
    </mc:Choice>
  </mc:AlternateContent>
  <xr:revisionPtr revIDLastSave="770" documentId="13_ncr:1_{84EF211F-6679-4F28-9DA9-E22A34FB89BF}" xr6:coauthVersionLast="47" xr6:coauthVersionMax="47" xr10:uidLastSave="{12AAF36E-99E2-418A-99B1-951114F9E5BC}"/>
  <bookViews>
    <workbookView xWindow="-110" yWindow="-110" windowWidth="19420" windowHeight="10300" tabRatio="914" activeTab="9" xr2:uid="{00000000-000D-0000-FFFF-FFFF00000000}"/>
  </bookViews>
  <sheets>
    <sheet name="PET-tháng" sheetId="54" r:id="rId1"/>
    <sheet name="PET_tuan" sheetId="63" r:id="rId2"/>
    <sheet name="Ma trận PET" sheetId="27" state="hidden" r:id="rId3"/>
    <sheet name="PET Fiber_tháng" sheetId="86" r:id="rId4"/>
    <sheet name="PET Fiber_tuan " sheetId="77" r:id="rId5"/>
    <sheet name="Ma trận PET- Fiber" sheetId="76" state="hidden" r:id="rId6"/>
    <sheet name="HD thổi-tháng" sheetId="55" r:id="rId7"/>
    <sheet name="HD thổi_tuần" sheetId="39" r:id="rId8"/>
    <sheet name="Ma trận HDPE thổi" sheetId="22" state="hidden" r:id="rId9"/>
    <sheet name="HD Ép-tháng" sheetId="70" r:id="rId10"/>
    <sheet name="HD Ép_tuần" sheetId="71" r:id="rId11"/>
    <sheet name="Ma trận HDPE Ép" sheetId="69" state="hidden" r:id="rId12"/>
    <sheet name="PP-tháng" sheetId="68" r:id="rId13"/>
    <sheet name="PP_tuần" sheetId="66" r:id="rId14"/>
    <sheet name="Ma trận giá bán rPP" sheetId="65" state="hidden" r:id="rId15"/>
    <sheet name="Vảy PP_tháng" sheetId="88" r:id="rId16"/>
    <sheet name="Vảy PP_tuần" sheetId="82" r:id="rId17"/>
    <sheet name="Ma trận giá bán vảy PP" sheetId="81" state="hidden" r:id="rId18"/>
    <sheet name="Vảy HD ÉP_tháng" sheetId="84" r:id="rId19"/>
    <sheet name="Vảy HD ÉP_tuần" sheetId="87" r:id="rId20"/>
    <sheet name="Ma trận giá bán vảy HDPE ÉP" sheetId="83" state="hidden" r:id="rId21"/>
  </sheets>
  <externalReferences>
    <externalReference r:id="rId22"/>
  </externalReferences>
  <definedNames>
    <definedName name="\T" localSheetId="7">#REF!</definedName>
    <definedName name="\T" localSheetId="6">#REF!</definedName>
    <definedName name="\T" localSheetId="4">#REF!</definedName>
    <definedName name="\T" localSheetId="3">#REF!</definedName>
    <definedName name="\T" localSheetId="1">#REF!</definedName>
    <definedName name="\T" localSheetId="0">#REF!</definedName>
    <definedName name="\T">#REF!</definedName>
    <definedName name="__dao1">#REF!</definedName>
    <definedName name="__dao2">#REF!</definedName>
    <definedName name="__dap2">#REF!</definedName>
    <definedName name="__day1">#REF!</definedName>
    <definedName name="__day2">#REF!</definedName>
    <definedName name="__dbu1">#REF!</definedName>
    <definedName name="__dbu2">#REF!</definedName>
    <definedName name="__doi3">#REF!</definedName>
    <definedName name="__E99999">#REF!</definedName>
    <definedName name="__Jan02">#REF!</definedName>
    <definedName name="__lap1">#REF!</definedName>
    <definedName name="__lap2">#REF!</definedName>
    <definedName name="__vc1">#REF!</definedName>
    <definedName name="__vc2">#REF!</definedName>
    <definedName name="__vc3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#REF!</definedName>
    <definedName name="_2STREO7">#REF!</definedName>
    <definedName name="_4GOIC01">#REF!</definedName>
    <definedName name="_4OSLCTT">#REF!</definedName>
    <definedName name="_6BNTTTH">#REF!</definedName>
    <definedName name="_6DCTTBO">#REF!</definedName>
    <definedName name="_6DD24TT">#REF!</definedName>
    <definedName name="_6FCOTBU">#REF!</definedName>
    <definedName name="_6LATUBU">#REF!</definedName>
    <definedName name="_6SDTT24">#REF!</definedName>
    <definedName name="_6TBUDTT">#REF!</definedName>
    <definedName name="_6TDDDTT">#REF!</definedName>
    <definedName name="_6TLTTTH">#REF!</definedName>
    <definedName name="_6TUBUTT">#REF!</definedName>
    <definedName name="_6UCLVIS">#REF!</definedName>
    <definedName name="_7DNCABC">#REF!</definedName>
    <definedName name="_7HDCTBU">#REF!</definedName>
    <definedName name="_7PKTUBU">#REF!</definedName>
    <definedName name="_7TBHT20">#REF!</definedName>
    <definedName name="_7TBHT30">#REF!</definedName>
    <definedName name="_7TDCABC">#REF!</definedName>
    <definedName name="_dao1">#REF!</definedName>
    <definedName name="_dao2">#REF!</definedName>
    <definedName name="_dap2">#REF!</definedName>
    <definedName name="_day1">#REF!</definedName>
    <definedName name="_day2">#REF!</definedName>
    <definedName name="_dbu1">#REF!</definedName>
    <definedName name="_dbu2">#REF!</definedName>
    <definedName name="_doi3">#REF!</definedName>
    <definedName name="_E99999">#REF!</definedName>
    <definedName name="_Fill" hidden="1">#REF!</definedName>
    <definedName name="_Jan02">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#REF!</definedName>
    <definedName name="_tram" hidden="1">#REF!</definedName>
    <definedName name="_vc1">#REF!</definedName>
    <definedName name="_vc2">#REF!</definedName>
    <definedName name="_vc3">#REF!</definedName>
    <definedName name="A">#REF!</definedName>
    <definedName name="AAA">#REF!</definedName>
    <definedName name="Account">#REF!</definedName>
    <definedName name="All_list">#REF!</definedName>
    <definedName name="anscount" hidden="1">2</definedName>
    <definedName name="AOP">#REF!</definedName>
    <definedName name="AOPP">#REF!</definedName>
    <definedName name="Apr">#REF!</definedName>
    <definedName name="Asset">#REF!</definedName>
    <definedName name="aù0">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#REF!</definedName>
    <definedName name="Brand_Label">#REF!</definedName>
    <definedName name="BREAKDOWN">#REF!</definedName>
    <definedName name="C_">#REF!</definedName>
    <definedName name="cap">#REF!</definedName>
    <definedName name="cap0.7">#REF!</definedName>
    <definedName name="CCNK">#REF!</definedName>
    <definedName name="CL" localSheetId="7">#REF!</definedName>
    <definedName name="CL" localSheetId="6">#REF!</definedName>
    <definedName name="CL" localSheetId="4">#REF!</definedName>
    <definedName name="CL" localSheetId="3">#REF!</definedName>
    <definedName name="CL" localSheetId="1">#REF!</definedName>
    <definedName name="CL" localSheetId="0">#REF!</definedName>
    <definedName name="CL">#REF!</definedName>
    <definedName name="CLTMP" localSheetId="7">#REF!</definedName>
    <definedName name="CLTMP" localSheetId="6">#REF!</definedName>
    <definedName name="CLTMP" localSheetId="4">#REF!</definedName>
    <definedName name="CLTMP" localSheetId="3">#REF!</definedName>
    <definedName name="CLTMP" localSheetId="1">#REF!</definedName>
    <definedName name="CLTMP" localSheetId="0">#REF!</definedName>
    <definedName name="CLTMP">#REF!</definedName>
    <definedName name="CLVC">#REF!</definedName>
    <definedName name="Contingency">#REF!</definedName>
    <definedName name="cong_bq" localSheetId="7">#REF!</definedName>
    <definedName name="cong_bq" localSheetId="6">#REF!</definedName>
    <definedName name="cong_bq" localSheetId="4">#REF!</definedName>
    <definedName name="cong_bq" localSheetId="3">#REF!</definedName>
    <definedName name="cong_bq" localSheetId="1">#REF!</definedName>
    <definedName name="cong_bq" localSheetId="0">#REF!</definedName>
    <definedName name="cong_bq">#REF!</definedName>
    <definedName name="cong_bv" localSheetId="7">#REF!</definedName>
    <definedName name="cong_bv" localSheetId="6">#REF!</definedName>
    <definedName name="cong_bv" localSheetId="4">#REF!</definedName>
    <definedName name="cong_bv" localSheetId="3">#REF!</definedName>
    <definedName name="cong_bv" localSheetId="1">#REF!</definedName>
    <definedName name="cong_bv" localSheetId="0">#REF!</definedName>
    <definedName name="cong_bv">#REF!</definedName>
    <definedName name="cong_ck" localSheetId="7">#REF!</definedName>
    <definedName name="cong_ck" localSheetId="6">#REF!</definedName>
    <definedName name="cong_ck" localSheetId="4">#REF!</definedName>
    <definedName name="cong_ck" localSheetId="3">#REF!</definedName>
    <definedName name="cong_ck" localSheetId="1">#REF!</definedName>
    <definedName name="cong_ck" localSheetId="0">#REF!</definedName>
    <definedName name="cong_ck">#REF!</definedName>
    <definedName name="cong_d1" localSheetId="7">#REF!</definedName>
    <definedName name="cong_d1" localSheetId="6">#REF!</definedName>
    <definedName name="cong_d1" localSheetId="4">#REF!</definedName>
    <definedName name="cong_d1" localSheetId="3">#REF!</definedName>
    <definedName name="cong_d1" localSheetId="1">#REF!</definedName>
    <definedName name="cong_d1" localSheetId="0">#REF!</definedName>
    <definedName name="cong_d1">#REF!</definedName>
    <definedName name="cong_d2">#REF!</definedName>
    <definedName name="cong_d3">#REF!</definedName>
    <definedName name="cong_dl">#REF!</definedName>
    <definedName name="cong_kcs">#REF!</definedName>
    <definedName name="cong_nb">#REF!</definedName>
    <definedName name="cong_nv">#REF!</definedName>
    <definedName name="cong_ngio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s">#REF!</definedName>
    <definedName name="cong_xh">#REF!</definedName>
    <definedName name="COPY" localSheetId="7">#REF!</definedName>
    <definedName name="COPY" localSheetId="6">#REF!</definedName>
    <definedName name="COPY" localSheetId="4">#REF!</definedName>
    <definedName name="COPY" localSheetId="3">#REF!</definedName>
    <definedName name="COPY" localSheetId="1">#REF!</definedName>
    <definedName name="COPY" localSheetId="0">#REF!</definedName>
    <definedName name="COPY">#REF!</definedName>
    <definedName name="COST" localSheetId="7">#REF!</definedName>
    <definedName name="COST" localSheetId="6">#REF!</definedName>
    <definedName name="COST" localSheetId="4">#REF!</definedName>
    <definedName name="COST" localSheetId="3">#REF!</definedName>
    <definedName name="COST" localSheetId="1">#REF!</definedName>
    <definedName name="COST" localSheetId="0">#REF!</definedName>
    <definedName name="COST">#REF!</definedName>
    <definedName name="Cost_Allocation_wage" localSheetId="7">#REF!</definedName>
    <definedName name="Cost_Allocation_wage" localSheetId="6">#REF!</definedName>
    <definedName name="Cost_Allocation_wage" localSheetId="4">#REF!</definedName>
    <definedName name="Cost_Allocation_wage" localSheetId="3">#REF!</definedName>
    <definedName name="Cost_Allocation_wage" localSheetId="1">#REF!</definedName>
    <definedName name="Cost_Allocation_wage" localSheetId="0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hemicalReagent" localSheetId="7">#REF!</definedName>
    <definedName name="ChemicalReagent" localSheetId="6">#REF!</definedName>
    <definedName name="ChemicalReagent" localSheetId="4">#REF!</definedName>
    <definedName name="ChemicalReagent" localSheetId="3">#REF!</definedName>
    <definedName name="ChemicalReagent" localSheetId="1">#REF!</definedName>
    <definedName name="ChemicalReagent" localSheetId="0">#REF!</definedName>
    <definedName name="ChemicalReagent">#REF!</definedName>
    <definedName name="D">#REF!</definedName>
    <definedName name="Dandoc">#REF!</definedName>
    <definedName name="daotd">#REF!</definedName>
    <definedName name="dap">#REF!</definedName>
    <definedName name="daptd">#REF!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#REF!</definedName>
    <definedName name="ddtt1pvl">#REF!</definedName>
    <definedName name="ddtt3pnc">#REF!</definedName>
    <definedName name="ddtt3pvl">#REF!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7">{"Book1"}</definedName>
    <definedName name="Document_array" localSheetId="6">{"Book1"}</definedName>
    <definedName name="Document_array" localSheetId="4">{"Book1"}</definedName>
    <definedName name="Document_array" localSheetId="3">{"Book1"}</definedName>
    <definedName name="Document_array" localSheetId="1">{"Book1"}</definedName>
    <definedName name="Document_array" localSheetId="0">{"Book1"}</definedName>
    <definedName name="Document_array">{"Book1"}</definedName>
    <definedName name="DocumentYear">#REF!</definedName>
    <definedName name="domestic">#REF!</definedName>
    <definedName name="domesticcost">#REF!</definedName>
    <definedName name="domesticcostt">#REF!</definedName>
    <definedName name="domesticostts">#REF!</definedName>
    <definedName name="domestics">#REF!</definedName>
    <definedName name="DONVI">OFFSET(#REF!,1,0,COUNTA(#REF!)-1,5)</definedName>
    <definedName name="DONVIDG">OFFSET(#REF!,COUNTIF(#REF!,"&lt;&gt;0")-1,0,1)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#REF!</definedName>
    <definedName name="G">#REF!</definedName>
    <definedName name="G23_">#REF!</definedName>
    <definedName name="Gas">#REF!</definedName>
    <definedName name="Graph_Contract">OFFSET(#REF!,#REF!,COLUMN(#REF!)-COLUMN(#REF!),1,2)</definedName>
    <definedName name="Graph_DA">OFFSET(#REF!,#REF!,COLUMN(#REF!)-COLUMN(#REF!),1,2)</definedName>
    <definedName name="Graph_Discret">OFFSET(#REF!,#REF!,COLUMN(#REF!)-COLUMN(#REF!),1,2)</definedName>
    <definedName name="Graph_growth">OFFSET(#REF!,#REF!,COLUMN(#REF!)-COLUMN(#REF!),1,2)</definedName>
    <definedName name="Graph_growth2">OFFSET(#REF!,#REF!,COLUMN(#REF!)-COLUMN(#REF!),1,2)</definedName>
    <definedName name="Graph_NDisc">OFFSET(#REF!,#REF!,COLUMN(#REF!)-COLUMN(#REF!),1,2)</definedName>
    <definedName name="Graph_Stale">OFFSET(#REF!,#REF!,COLUMN(#REF!)-COLUMN(#REF!),1,2)</definedName>
    <definedName name="Graph_volume">OFFSET(#REF!,#REF!,COLUMN(#REF!)-COLUMN(#REF!),1,2)</definedName>
    <definedName name="Graph_volume2">OFFSET(#REF!,#REF!,COLUMN(#REF!)-COLUMN(#REF!),1,2)</definedName>
    <definedName name="giaca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v">#REF!</definedName>
    <definedName name="gica_ngio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HDCCT" localSheetId="7">#REF!</definedName>
    <definedName name="HDCCT" localSheetId="6">#REF!</definedName>
    <definedName name="HDCCT" localSheetId="4">#REF!</definedName>
    <definedName name="HDCCT" localSheetId="3">#REF!</definedName>
    <definedName name="HDCCT" localSheetId="1">#REF!</definedName>
    <definedName name="HDCCT" localSheetId="0">#REF!</definedName>
    <definedName name="HDCCT">#REF!</definedName>
    <definedName name="HDCD" localSheetId="7">#REF!</definedName>
    <definedName name="HDCD" localSheetId="6">#REF!</definedName>
    <definedName name="HDCD" localSheetId="4">#REF!</definedName>
    <definedName name="HDCD" localSheetId="3">#REF!</definedName>
    <definedName name="HDCD" localSheetId="1">#REF!</definedName>
    <definedName name="HDCD" localSheetId="0">#REF!</definedName>
    <definedName name="HDCD">#REF!</definedName>
    <definedName name="HM" localSheetId="7">#REF!</definedName>
    <definedName name="HM" localSheetId="6">#REF!</definedName>
    <definedName name="HM" localSheetId="4">#REF!</definedName>
    <definedName name="HM" localSheetId="3">#REF!</definedName>
    <definedName name="HM" localSheetId="1">#REF!</definedName>
    <definedName name="HM" localSheetId="0">#REF!</definedName>
    <definedName name="HM">#REF!</definedName>
    <definedName name="HSKK">#REF!</definedName>
    <definedName name="Index">100%</definedName>
    <definedName name="Inflation_WC">#REF!</definedName>
    <definedName name="jan">#REF!</definedName>
    <definedName name="Jul">#REF!</definedName>
    <definedName name="Jun">#REF!</definedName>
    <definedName name="Justification">#REF!</definedName>
    <definedName name="K">#REF!</definedName>
    <definedName name="K_1" localSheetId="7">#REF!</definedName>
    <definedName name="K_1" localSheetId="6">#REF!</definedName>
    <definedName name="K_1" localSheetId="14">#REF!</definedName>
    <definedName name="K_1" localSheetId="20">#REF!</definedName>
    <definedName name="K_1" localSheetId="17">#REF!</definedName>
    <definedName name="K_1" localSheetId="11">#REF!</definedName>
    <definedName name="K_1" localSheetId="2">#REF!</definedName>
    <definedName name="K_1" localSheetId="5">#REF!</definedName>
    <definedName name="K_1" localSheetId="4">#REF!</definedName>
    <definedName name="K_1" localSheetId="3">#REF!</definedName>
    <definedName name="K_1" localSheetId="1">#REF!</definedName>
    <definedName name="K_1" localSheetId="0">#REF!</definedName>
    <definedName name="K_1" localSheetId="12">#REF!</definedName>
    <definedName name="K_1" localSheetId="19">#REF!</definedName>
    <definedName name="K_1" localSheetId="18">#REF!</definedName>
    <definedName name="K_1" localSheetId="16">#REF!</definedName>
    <definedName name="K_1" localSheetId="15">#REF!</definedName>
    <definedName name="K_1">#REF!</definedName>
    <definedName name="K_2" localSheetId="7">#REF!</definedName>
    <definedName name="K_2" localSheetId="6">#REF!</definedName>
    <definedName name="K_2" localSheetId="14">#REF!</definedName>
    <definedName name="K_2" localSheetId="20">#REF!</definedName>
    <definedName name="K_2" localSheetId="17">#REF!</definedName>
    <definedName name="K_2" localSheetId="11">#REF!</definedName>
    <definedName name="K_2" localSheetId="2">#REF!</definedName>
    <definedName name="K_2" localSheetId="5">#REF!</definedName>
    <definedName name="K_2" localSheetId="4">#REF!</definedName>
    <definedName name="K_2" localSheetId="3">#REF!</definedName>
    <definedName name="K_2" localSheetId="1">#REF!</definedName>
    <definedName name="K_2" localSheetId="0">#REF!</definedName>
    <definedName name="K_2" localSheetId="12">#REF!</definedName>
    <definedName name="K_2" localSheetId="19">#REF!</definedName>
    <definedName name="K_2" localSheetId="18">#REF!</definedName>
    <definedName name="K_2" localSheetId="16">#REF!</definedName>
    <definedName name="K_2" localSheetId="15">#REF!</definedName>
    <definedName name="K_2">#REF!</definedName>
    <definedName name="KCSCM">#REF!</definedName>
    <definedName name="KVC">#REF!</definedName>
    <definedName name="L">#REF!</definedName>
    <definedName name="Lab_supplies_lists">#REF!</definedName>
    <definedName name="Labsupplieslist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v">#REF!</definedName>
    <definedName name="lanh_ngio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pa">#REF!</definedName>
    <definedName name="lapb">#REF!</definedName>
    <definedName name="lapc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v">#REF!</definedName>
    <definedName name="lcb_ngio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kcs">#REF!</definedName>
    <definedName name="le_nb">#REF!</definedName>
    <definedName name="le_nv">#REF!</definedName>
    <definedName name="le_ngio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imcount" hidden="1">1</definedName>
    <definedName name="list">#REF!</definedName>
    <definedName name="Location">#REF!</definedName>
    <definedName name="lVC">#REF!</definedName>
    <definedName name="MADONVI">OFFSET(#REF!,COUNTA(#REF!)-1,0,1)</definedName>
    <definedName name="MajorHeader">#REF!</definedName>
    <definedName name="mar">#REF!</definedName>
    <definedName name="mat">#REF!</definedName>
    <definedName name="may">#REF!</definedName>
    <definedName name="MPETABLE">#REF!</definedName>
    <definedName name="NCcap0.7">#REF!</definedName>
    <definedName name="NCcap1">#REF!</definedName>
    <definedName name="NOIDUNG">OFFSET(#REF!,COUNTA(#REF!)-1,0,1)</definedName>
    <definedName name="Nov">#REF!</definedName>
    <definedName name="NToS" localSheetId="7">#REF!</definedName>
    <definedName name="NToS" localSheetId="6">#REF!</definedName>
    <definedName name="NToS" localSheetId="14">#REF!</definedName>
    <definedName name="NToS" localSheetId="20">#REF!</definedName>
    <definedName name="NToS" localSheetId="17">#REF!</definedName>
    <definedName name="NToS" localSheetId="11">#REF!</definedName>
    <definedName name="NToS" localSheetId="2">#REF!</definedName>
    <definedName name="NToS" localSheetId="5">#REF!</definedName>
    <definedName name="NToS" localSheetId="4">#REF!</definedName>
    <definedName name="NToS" localSheetId="3">#REF!</definedName>
    <definedName name="NToS" localSheetId="1">#REF!</definedName>
    <definedName name="NToS" localSheetId="0">#REF!</definedName>
    <definedName name="NToS" localSheetId="12">#REF!</definedName>
    <definedName name="NToS" localSheetId="19">#REF!</definedName>
    <definedName name="NToS" localSheetId="18">#REF!</definedName>
    <definedName name="NToS" localSheetId="16">#REF!</definedName>
    <definedName name="NToS" localSheetId="15">#REF!</definedName>
    <definedName name="NToS">#REF!</definedName>
    <definedName name="NGANHANG">OFFSET(#REF!,COUNTIF(#REF!,"&lt;&gt;0")-1,0,1)</definedName>
    <definedName name="NGAØY">#REF!</definedName>
    <definedName name="NGAY">OFFSET(#REF!,COUNTA(#REF!)-1,0,1)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v">#REF!</definedName>
    <definedName name="nghi_ngio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hap">#REF!</definedName>
    <definedName name="NHAP1">#REF!</definedName>
    <definedName name="NHAP2">#REF!</definedName>
    <definedName name="Oct" localSheetId="7">#REF!</definedName>
    <definedName name="Oct" localSheetId="6">#REF!</definedName>
    <definedName name="Oct" localSheetId="4">#REF!</definedName>
    <definedName name="Oct" localSheetId="3">#REF!</definedName>
    <definedName name="Oct" localSheetId="1">#REF!</definedName>
    <definedName name="Oct" localSheetId="0">#REF!</definedName>
    <definedName name="Oct">#REF!</definedName>
    <definedName name="OneTwoThree" localSheetId="7">#REF!</definedName>
    <definedName name="OneTwoThree" localSheetId="6">#REF!</definedName>
    <definedName name="OneTwoThree" localSheetId="4">#REF!</definedName>
    <definedName name="OneTwoThree" localSheetId="3">#REF!</definedName>
    <definedName name="OneTwoThree" localSheetId="1">#REF!</definedName>
    <definedName name="OneTwoThree" localSheetId="0">#REF!</definedName>
    <definedName name="OneTwoThree">#REF!</definedName>
    <definedName name="oo">#REF!</definedName>
    <definedName name="ooo">#REF!</definedName>
    <definedName name="Other_Lab_Supplies">#REF!</definedName>
    <definedName name="oversea">#REF!</definedName>
    <definedName name="PackMat">#REF!</definedName>
    <definedName name="PC_LB">#REF!</definedName>
    <definedName name="PG_LB">#REF!</definedName>
    <definedName name="_xlnm.Print_Area" localSheetId="7">'HD thổi_tuần'!$A$37:$S$85</definedName>
    <definedName name="_xlnm.Print_Area" localSheetId="6">'HD thổi-tháng'!$B$38:$W$86</definedName>
    <definedName name="_xlnm.Print_Area" localSheetId="4">'PET Fiber_tuan '!$A$39:$R$85</definedName>
    <definedName name="_xlnm.Print_Area" localSheetId="3">'PET Fiber_tháng'!$A$39:$R$85</definedName>
    <definedName name="_xlnm.Print_Area" localSheetId="1">PET_tuan!$A$39:$R$85</definedName>
    <definedName name="_xlnm.Print_Area" localSheetId="0">'PET-tháng'!$A$41:$T$87</definedName>
    <definedName name="Print_Area_MI">#REF!</definedName>
    <definedName name="_xlnm.Print_Titles">#N/A</definedName>
    <definedName name="PHUONG" localSheetId="7" hidden="1">#REF!</definedName>
    <definedName name="PHUONG" localSheetId="6" hidden="1">#REF!</definedName>
    <definedName name="PHUONG" localSheetId="4" hidden="1">#REF!</definedName>
    <definedName name="PHUONG" localSheetId="3" hidden="1">#REF!</definedName>
    <definedName name="PHUONG" localSheetId="1" hidden="1">#REF!</definedName>
    <definedName name="PHUONG" localSheetId="0" hidden="1">#REF!</definedName>
    <definedName name="PHUONG" hidden="1">#REF!</definedName>
    <definedName name="QUYLUONG" localSheetId="7">#REF!</definedName>
    <definedName name="QUYLUONG" localSheetId="6">#REF!</definedName>
    <definedName name="QUYLUONG" localSheetId="4">#REF!</definedName>
    <definedName name="QUYLUONG" localSheetId="3">#REF!</definedName>
    <definedName name="QUYLUONG" localSheetId="1">#REF!</definedName>
    <definedName name="QUYLUONG" localSheetId="0">#REF!</definedName>
    <definedName name="QUYLUONG">#REF!</definedName>
    <definedName name="RawMat">#REF!</definedName>
    <definedName name="re" localSheetId="7">#REF!</definedName>
    <definedName name="re" localSheetId="6">#REF!</definedName>
    <definedName name="re" localSheetId="4">#REF!</definedName>
    <definedName name="re" localSheetId="3">#REF!</definedName>
    <definedName name="re" localSheetId="1">#REF!</definedName>
    <definedName name="re" localSheetId="0">#REF!</definedName>
    <definedName name="re">#REF!</definedName>
    <definedName name="ree" localSheetId="7">#REF!</definedName>
    <definedName name="ree" localSheetId="6">#REF!</definedName>
    <definedName name="ree" localSheetId="4">#REF!</definedName>
    <definedName name="ree" localSheetId="3">#REF!</definedName>
    <definedName name="ree" localSheetId="1">#REF!</definedName>
    <definedName name="ree" localSheetId="0">#REF!</definedName>
    <definedName name="ree">#REF!</definedName>
    <definedName name="rr">#REF!</definedName>
    <definedName name="SALES" localSheetId="7">#REF!</definedName>
    <definedName name="SALES" localSheetId="6">#REF!</definedName>
    <definedName name="SALES" localSheetId="4">#REF!</definedName>
    <definedName name="SALES" localSheetId="3">#REF!</definedName>
    <definedName name="SALES" localSheetId="1">#REF!</definedName>
    <definedName name="SALES" localSheetId="0">#REF!</definedName>
    <definedName name="SALES">#REF!</definedName>
    <definedName name="sau">#REF!</definedName>
    <definedName name="sdafds">#REF!</definedName>
    <definedName name="SDDL">#REF!</definedName>
    <definedName name="sdgt" hidden="1">#REF!</definedName>
    <definedName name="sencount" hidden="1">1</definedName>
    <definedName name="Sep">#REF!</definedName>
    <definedName name="Sheet1">#REF!</definedName>
    <definedName name="shii">#REF!</definedName>
    <definedName name="SKU">#REF!</definedName>
    <definedName name="SO">OFFSET(#REF!,COUNTA(#REF!)-1,0,1)</definedName>
    <definedName name="Sort" hidden="1">#REF!</definedName>
    <definedName name="SORT_AREA">#REF!</definedName>
    <definedName name="SOTIEN">OFFSET(#REF!,COUNTA(#REF!)-1,0,1)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kcs">#REF!</definedName>
    <definedName name="sp_nb">#REF!</definedName>
    <definedName name="sp_nv">#REF!</definedName>
    <definedName name="sp_ngio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ss">#REF!</definedName>
    <definedName name="TAIKHOAN">OFFSET(#REF!,COUNTIF(#REF!,"&lt;&gt;0")-1,0,1)</definedName>
    <definedName name="TAMTINH">#REF!</definedName>
    <definedName name="tdtrnc">#REF!</definedName>
    <definedName name="tdtrvl">#REF!</definedName>
    <definedName name="TG">#REF!</definedName>
    <definedName name="TGxayduong">#REF!</definedName>
    <definedName name="TINHTP">OFFSET(#REF!,COUNTIF(#REF!,"&lt;&gt;0")-1,0,1)</definedName>
    <definedName name="tluong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v">#REF!</definedName>
    <definedName name="tnh_ngio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ON">#REF!</definedName>
    <definedName name="TOP">#REF!</definedName>
    <definedName name="TSSCM" localSheetId="7">#REF!</definedName>
    <definedName name="TSSCM" localSheetId="6">#REF!</definedName>
    <definedName name="TSSCM" localSheetId="4">#REF!</definedName>
    <definedName name="TSSCM" localSheetId="3">#REF!</definedName>
    <definedName name="TSSCM" localSheetId="1">#REF!</definedName>
    <definedName name="TSSCM" localSheetId="0">#REF!</definedName>
    <definedName name="TSSCM">#REF!</definedName>
    <definedName name="TSSlist" localSheetId="7">#REF!</definedName>
    <definedName name="TSSlist" localSheetId="6">#REF!</definedName>
    <definedName name="TSSlist" localSheetId="4">#REF!</definedName>
    <definedName name="TSSlist" localSheetId="3">#REF!</definedName>
    <definedName name="TSSlist" localSheetId="1">#REF!</definedName>
    <definedName name="TSSlist" localSheetId="0">#REF!</definedName>
    <definedName name="TSSlist">#REF!</definedName>
    <definedName name="ttbt" localSheetId="7">#REF!</definedName>
    <definedName name="ttbt" localSheetId="6">#REF!</definedName>
    <definedName name="ttbt" localSheetId="4">#REF!</definedName>
    <definedName name="ttbt" localSheetId="3">#REF!</definedName>
    <definedName name="ttbt" localSheetId="1">#REF!</definedName>
    <definedName name="ttbt" localSheetId="0">#REF!</definedName>
    <definedName name="ttbt">#REF!</definedName>
    <definedName name="ttt">#REF!</definedName>
    <definedName name="tttb">#REF!</definedName>
    <definedName name="thgian_bq" localSheetId="7">#REF!</definedName>
    <definedName name="thgian_bq" localSheetId="6">#REF!</definedName>
    <definedName name="thgian_bq" localSheetId="4">#REF!</definedName>
    <definedName name="thgian_bq" localSheetId="3">#REF!</definedName>
    <definedName name="thgian_bq" localSheetId="1">#REF!</definedName>
    <definedName name="thgian_bq" localSheetId="0">#REF!</definedName>
    <definedName name="thgian_bq">#REF!</definedName>
    <definedName name="thgian_bv" localSheetId="7">#REF!</definedName>
    <definedName name="thgian_bv" localSheetId="6">#REF!</definedName>
    <definedName name="thgian_bv" localSheetId="4">#REF!</definedName>
    <definedName name="thgian_bv" localSheetId="3">#REF!</definedName>
    <definedName name="thgian_bv" localSheetId="1">#REF!</definedName>
    <definedName name="thgian_bv" localSheetId="0">#REF!</definedName>
    <definedName name="thgian_bv">#REF!</definedName>
    <definedName name="thgian_ck" localSheetId="7">#REF!</definedName>
    <definedName name="thgian_ck" localSheetId="6">#REF!</definedName>
    <definedName name="thgian_ck" localSheetId="4">#REF!</definedName>
    <definedName name="thgian_ck" localSheetId="3">#REF!</definedName>
    <definedName name="thgian_ck" localSheetId="1">#REF!</definedName>
    <definedName name="thgian_ck" localSheetId="0">#REF!</definedName>
    <definedName name="thgian_ck">#REF!</definedName>
    <definedName name="thgian_d1" localSheetId="7">#REF!</definedName>
    <definedName name="thgian_d1" localSheetId="6">#REF!</definedName>
    <definedName name="thgian_d1" localSheetId="4">#REF!</definedName>
    <definedName name="thgian_d1" localSheetId="3">#REF!</definedName>
    <definedName name="thgian_d1" localSheetId="1">#REF!</definedName>
    <definedName name="thgian_d1" localSheetId="0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v">#REF!</definedName>
    <definedName name="thgian_ngio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v">#REF!</definedName>
    <definedName name="thgio_ngio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ram" localSheetId="7" hidden="1">#REF!</definedName>
    <definedName name="tram" localSheetId="6" hidden="1">#REF!</definedName>
    <definedName name="tram" localSheetId="4" hidden="1">#REF!</definedName>
    <definedName name="tram" localSheetId="3" hidden="1">#REF!</definedName>
    <definedName name="tram" localSheetId="1" hidden="1">#REF!</definedName>
    <definedName name="tram" localSheetId="0" hidden="1">#REF!</definedName>
    <definedName name="tram" hidden="1">#REF!</definedName>
    <definedName name="vc3.">#REF!</definedName>
    <definedName name="vca">#REF!</definedName>
    <definedName name="vccot" localSheetId="7">#REF!</definedName>
    <definedName name="vccot" localSheetId="6">#REF!</definedName>
    <definedName name="vccot" localSheetId="4">#REF!</definedName>
    <definedName name="vccot" localSheetId="3">#REF!</definedName>
    <definedName name="vccot" localSheetId="1">#REF!</definedName>
    <definedName name="vccot" localSheetId="0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t">#REF!</definedName>
    <definedName name="vcdtb">#REF!</definedName>
    <definedName name="vctb">#REF!</definedName>
    <definedName name="vctt">#REF!</definedName>
    <definedName name="VDCLY">#REF!</definedName>
    <definedName name="Vlcap0.7">#REF!</definedName>
    <definedName name="VLcap1">#REF!</definedName>
    <definedName name="WeekNumbers">#REF!</definedName>
    <definedName name="xfconc">#REF!</definedName>
    <definedName name="xfcovl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v">#REF!</definedName>
    <definedName name="xh_ngio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Yomos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v">#REF!</definedName>
    <definedName name="yt_ngio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ZYX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B22" i="22" l="1"/>
  <c r="KG21" i="22"/>
  <c r="KG20" i="22"/>
  <c r="KF21" i="22"/>
  <c r="KF20" i="22"/>
  <c r="KG19" i="22"/>
  <c r="CB12" i="27"/>
  <c r="CB13" i="27"/>
  <c r="CB14" i="27"/>
  <c r="CB11" i="27"/>
  <c r="AQ9" i="76"/>
  <c r="CB18" i="22"/>
  <c r="CB19" i="22" s="1"/>
  <c r="KF19" i="22"/>
  <c r="AY13" i="69"/>
  <c r="AY13" i="65"/>
  <c r="AN7" i="81"/>
  <c r="AJ7" i="83"/>
  <c r="FS8" i="83"/>
  <c r="FR8" i="83"/>
  <c r="FQ8" i="83"/>
  <c r="FP8" i="83"/>
  <c r="FO8" i="83"/>
  <c r="FX8" i="81"/>
  <c r="FW8" i="81"/>
  <c r="FV8" i="81"/>
  <c r="FU8" i="81"/>
  <c r="FT8" i="81"/>
  <c r="IE18" i="65"/>
  <c r="ID18" i="65"/>
  <c r="IC18" i="65"/>
  <c r="IB18" i="65"/>
  <c r="IA18" i="65"/>
  <c r="IE14" i="65"/>
  <c r="ID14" i="65"/>
  <c r="IC14" i="65"/>
  <c r="IB14" i="65"/>
  <c r="IA14" i="65"/>
  <c r="IE19" i="69"/>
  <c r="ID19" i="69"/>
  <c r="IC19" i="69"/>
  <c r="IB19" i="69"/>
  <c r="IA19" i="69"/>
  <c r="IE14" i="69"/>
  <c r="ID14" i="69"/>
  <c r="IC14" i="69"/>
  <c r="IB14" i="69"/>
  <c r="IA14" i="69"/>
  <c r="KJ24" i="22"/>
  <c r="KI24" i="22"/>
  <c r="KH24" i="22"/>
  <c r="KG24" i="22"/>
  <c r="KF24" i="22"/>
  <c r="KJ13" i="22"/>
  <c r="KI13" i="22"/>
  <c r="KH13" i="22"/>
  <c r="KG13" i="22"/>
  <c r="KF13" i="22"/>
  <c r="KJ12" i="22"/>
  <c r="KI12" i="22"/>
  <c r="KH12" i="22"/>
  <c r="KG12" i="22"/>
  <c r="KF12" i="22"/>
  <c r="KJ11" i="22"/>
  <c r="KI11" i="22"/>
  <c r="KH11" i="22"/>
  <c r="KG11" i="22"/>
  <c r="KF11" i="22"/>
  <c r="KJ10" i="22"/>
  <c r="KI10" i="22"/>
  <c r="KH10" i="22"/>
  <c r="KG10" i="22"/>
  <c r="KF10" i="22"/>
  <c r="GN10" i="76"/>
  <c r="GM10" i="76"/>
  <c r="GL10" i="76"/>
  <c r="GK10" i="76"/>
  <c r="GJ10" i="76"/>
  <c r="GN7" i="76"/>
  <c r="GM7" i="76"/>
  <c r="GL7" i="76"/>
  <c r="GK7" i="76"/>
  <c r="GJ7" i="76"/>
  <c r="LG20" i="27"/>
  <c r="LF20" i="27"/>
  <c r="LE20" i="27"/>
  <c r="LD20" i="27"/>
  <c r="LC20" i="27"/>
  <c r="LG17" i="27"/>
  <c r="LF17" i="27"/>
  <c r="LE17" i="27"/>
  <c r="LD17" i="27"/>
  <c r="LC17" i="27"/>
  <c r="LG16" i="27"/>
  <c r="LF16" i="27"/>
  <c r="LE16" i="27"/>
  <c r="LD16" i="27"/>
  <c r="LC16" i="27"/>
  <c r="KE21" i="22"/>
  <c r="KD21" i="22"/>
  <c r="KC21" i="22"/>
  <c r="KE19" i="22"/>
  <c r="KC20" i="22"/>
  <c r="KE20" i="22"/>
  <c r="KD20" i="22"/>
  <c r="KD19" i="22"/>
  <c r="AQ8" i="76"/>
  <c r="AQ7" i="76"/>
  <c r="CB29" i="22"/>
  <c r="CB13" i="22"/>
  <c r="CB10" i="22"/>
  <c r="CB7" i="22"/>
  <c r="KC19" i="22"/>
  <c r="CA12" i="27"/>
  <c r="CA13" i="27"/>
  <c r="CA14" i="27"/>
  <c r="CA11" i="27"/>
  <c r="AP9" i="76"/>
  <c r="CA22" i="22"/>
  <c r="CA18" i="22"/>
  <c r="KB19" i="22"/>
  <c r="AX13" i="69"/>
  <c r="AX13" i="65"/>
  <c r="AM7" i="81"/>
  <c r="AI7" i="83"/>
  <c r="BZ12" i="27"/>
  <c r="BZ13" i="27"/>
  <c r="BZ14" i="27"/>
  <c r="BZ11" i="27"/>
  <c r="KA19" i="22"/>
  <c r="LB20" i="27"/>
  <c r="LA20" i="27"/>
  <c r="KZ20" i="27"/>
  <c r="KY20" i="27"/>
  <c r="LB17" i="27"/>
  <c r="LB18" i="27" s="1"/>
  <c r="LB19" i="27" s="1"/>
  <c r="LA17" i="27"/>
  <c r="LA18" i="27" s="1"/>
  <c r="LA19" i="27" s="1"/>
  <c r="KZ17" i="27"/>
  <c r="KZ18" i="27" s="1"/>
  <c r="KZ19" i="27" s="1"/>
  <c r="KY17" i="27"/>
  <c r="KY18" i="27" s="1"/>
  <c r="KY19" i="27" s="1"/>
  <c r="LB16" i="27"/>
  <c r="LA16" i="27"/>
  <c r="KZ16" i="27"/>
  <c r="KY16" i="27"/>
  <c r="GI10" i="76"/>
  <c r="GH10" i="76"/>
  <c r="GG10" i="76"/>
  <c r="GF10" i="76"/>
  <c r="GI7" i="76"/>
  <c r="GI11" i="76" s="1"/>
  <c r="GI12" i="76" s="1"/>
  <c r="GH7" i="76"/>
  <c r="GH11" i="76" s="1"/>
  <c r="GH12" i="76" s="1"/>
  <c r="GG7" i="76"/>
  <c r="GG11" i="76" s="1"/>
  <c r="GG12" i="76" s="1"/>
  <c r="GF7" i="76"/>
  <c r="GF11" i="76" s="1"/>
  <c r="GF12" i="76" s="1"/>
  <c r="KE24" i="22"/>
  <c r="KE25" i="22" s="1"/>
  <c r="KE26" i="22" s="1"/>
  <c r="KD24" i="22"/>
  <c r="KD25" i="22" s="1"/>
  <c r="KD26" i="22" s="1"/>
  <c r="KC24" i="22"/>
  <c r="KC25" i="22" s="1"/>
  <c r="KC26" i="22" s="1"/>
  <c r="KB24" i="22"/>
  <c r="KB25" i="22" s="1"/>
  <c r="KB26" i="22" s="1"/>
  <c r="KE13" i="22"/>
  <c r="KD13" i="22"/>
  <c r="KC13" i="22"/>
  <c r="KB13" i="22"/>
  <c r="KE12" i="22"/>
  <c r="KD12" i="22"/>
  <c r="KC12" i="22"/>
  <c r="KB12" i="22"/>
  <c r="KE11" i="22"/>
  <c r="KD11" i="22"/>
  <c r="KC11" i="22"/>
  <c r="KB11" i="22"/>
  <c r="KE10" i="22"/>
  <c r="KD10" i="22"/>
  <c r="KC10" i="22"/>
  <c r="KB10" i="22"/>
  <c r="HZ19" i="69"/>
  <c r="HY19" i="69"/>
  <c r="HX19" i="69"/>
  <c r="HW19" i="69"/>
  <c r="HZ14" i="69"/>
  <c r="HZ15" i="69" s="1"/>
  <c r="HZ16" i="69" s="1"/>
  <c r="HY14" i="69"/>
  <c r="HY15" i="69" s="1"/>
  <c r="HY16" i="69" s="1"/>
  <c r="HX14" i="69"/>
  <c r="HX15" i="69" s="1"/>
  <c r="HX16" i="69" s="1"/>
  <c r="HW14" i="69"/>
  <c r="HW15" i="69" s="1"/>
  <c r="HW16" i="69" s="1"/>
  <c r="HZ18" i="65"/>
  <c r="HY18" i="65"/>
  <c r="HX18" i="65"/>
  <c r="HW18" i="65"/>
  <c r="HZ14" i="65"/>
  <c r="HZ15" i="65" s="1"/>
  <c r="HZ16" i="65" s="1"/>
  <c r="HY14" i="65"/>
  <c r="HY15" i="65" s="1"/>
  <c r="HY16" i="65" s="1"/>
  <c r="HX14" i="65"/>
  <c r="HX15" i="65" s="1"/>
  <c r="HX16" i="65" s="1"/>
  <c r="HW14" i="65"/>
  <c r="FS8" i="81"/>
  <c r="FS9" i="81" s="1"/>
  <c r="FS10" i="81" s="1"/>
  <c r="FR8" i="81"/>
  <c r="FR9" i="81" s="1"/>
  <c r="FR10" i="81" s="1"/>
  <c r="FQ8" i="81"/>
  <c r="FQ9" i="81" s="1"/>
  <c r="FQ10" i="81" s="1"/>
  <c r="FP8" i="81"/>
  <c r="FP9" i="81" s="1"/>
  <c r="FP10" i="81" s="1"/>
  <c r="FN8" i="83"/>
  <c r="FN9" i="83" s="1"/>
  <c r="FN10" i="83" s="1"/>
  <c r="FM8" i="83"/>
  <c r="FM9" i="83" s="1"/>
  <c r="FM10" i="83" s="1"/>
  <c r="FL8" i="83"/>
  <c r="FL9" i="83" s="1"/>
  <c r="FL10" i="83" s="1"/>
  <c r="FK8" i="83"/>
  <c r="FK9" i="83" s="1"/>
  <c r="FK10" i="83" s="1"/>
  <c r="JZ19" i="22"/>
  <c r="FR9" i="83" l="1"/>
  <c r="FR10" i="83" s="1"/>
  <c r="FO9" i="83"/>
  <c r="FO10" i="83" s="1"/>
  <c r="FS9" i="83"/>
  <c r="FS10" i="83" s="1"/>
  <c r="FQ9" i="83"/>
  <c r="FQ10" i="83" s="1"/>
  <c r="FP9" i="83"/>
  <c r="FP10" i="83" s="1"/>
  <c r="FW9" i="81"/>
  <c r="FW10" i="81" s="1"/>
  <c r="FX9" i="81"/>
  <c r="FX10" i="81" s="1"/>
  <c r="FT9" i="81"/>
  <c r="FT10" i="81" s="1"/>
  <c r="FU9" i="81"/>
  <c r="FU10" i="81" s="1"/>
  <c r="FV9" i="81"/>
  <c r="FV10" i="81" s="1"/>
  <c r="IA15" i="65"/>
  <c r="IA16" i="65" s="1"/>
  <c r="IE15" i="65"/>
  <c r="IE16" i="65" s="1"/>
  <c r="ID15" i="65"/>
  <c r="ID16" i="65" s="1"/>
  <c r="IC15" i="65"/>
  <c r="IC16" i="65" s="1"/>
  <c r="IB15" i="65"/>
  <c r="IB16" i="65" s="1"/>
  <c r="ID15" i="69"/>
  <c r="ID16" i="69" s="1"/>
  <c r="IB15" i="69"/>
  <c r="IB16" i="69" s="1"/>
  <c r="IE15" i="69"/>
  <c r="IE16" i="69" s="1"/>
  <c r="IC15" i="69"/>
  <c r="IC16" i="69" s="1"/>
  <c r="IA15" i="69"/>
  <c r="IA16" i="69" s="1"/>
  <c r="KG25" i="22"/>
  <c r="KG26" i="22" s="1"/>
  <c r="KI25" i="22"/>
  <c r="KI26" i="22" s="1"/>
  <c r="KF25" i="22"/>
  <c r="KF26" i="22" s="1"/>
  <c r="KJ25" i="22"/>
  <c r="KJ26" i="22" s="1"/>
  <c r="KH25" i="22"/>
  <c r="KH26" i="22" s="1"/>
  <c r="GN11" i="76"/>
  <c r="GN12" i="76" s="1"/>
  <c r="GL11" i="76"/>
  <c r="GL12" i="76" s="1"/>
  <c r="GJ11" i="76"/>
  <c r="GJ12" i="76" s="1"/>
  <c r="GM11" i="76"/>
  <c r="GM12" i="76" s="1"/>
  <c r="GK11" i="76"/>
  <c r="GK12" i="76" s="1"/>
  <c r="LG18" i="27"/>
  <c r="LG19" i="27" s="1"/>
  <c r="LF18" i="27"/>
  <c r="LF19" i="27" s="1"/>
  <c r="LE18" i="27"/>
  <c r="LE19" i="27" s="1"/>
  <c r="LD18" i="27"/>
  <c r="LD19" i="27" s="1"/>
  <c r="LC18" i="27"/>
  <c r="LC19" i="27" s="1"/>
  <c r="CB17" i="27"/>
  <c r="CB18" i="27" s="1"/>
  <c r="CB19" i="27" s="1"/>
  <c r="CB16" i="27"/>
  <c r="AQ11" i="76"/>
  <c r="AQ10" i="76"/>
  <c r="CB23" i="22"/>
  <c r="CB25" i="22" s="1"/>
  <c r="CB26" i="22" s="1"/>
  <c r="CB27" i="22" s="1"/>
  <c r="CB12" i="22"/>
  <c r="AY14" i="69"/>
  <c r="AY15" i="69" s="1"/>
  <c r="AY16" i="69" s="1"/>
  <c r="AY14" i="65"/>
  <c r="AY15" i="65" s="1"/>
  <c r="AY16" i="65" s="1"/>
  <c r="AN8" i="81"/>
  <c r="AN9" i="81" s="1"/>
  <c r="AN10" i="81" s="1"/>
  <c r="AJ8" i="83"/>
  <c r="AJ9" i="83" s="1"/>
  <c r="AJ10" i="83" s="1"/>
  <c r="CA19" i="22"/>
  <c r="HW15" i="65"/>
  <c r="HW16" i="65" s="1"/>
  <c r="CA24" i="27"/>
  <c r="CA17" i="27"/>
  <c r="CA18" i="27" s="1"/>
  <c r="CA19" i="27" s="1"/>
  <c r="AP8" i="76"/>
  <c r="AP7" i="76"/>
  <c r="CA29" i="22"/>
  <c r="CA23" i="22"/>
  <c r="CA25" i="22" s="1"/>
  <c r="CA26" i="22" s="1"/>
  <c r="CA27" i="22" s="1"/>
  <c r="CA13" i="22"/>
  <c r="CA10" i="22"/>
  <c r="CA7" i="22"/>
  <c r="AX14" i="69"/>
  <c r="AX15" i="69" s="1"/>
  <c r="AX16" i="69" s="1"/>
  <c r="AQ12" i="76" l="1"/>
  <c r="CA12" i="22"/>
  <c r="CA16" i="27"/>
  <c r="AP11" i="76"/>
  <c r="AP10" i="76"/>
  <c r="AP12" i="76" l="1"/>
  <c r="AI8" i="83"/>
  <c r="AI9" i="83" s="1"/>
  <c r="AI10" i="83" s="1"/>
  <c r="JY19" i="22"/>
  <c r="HT13" i="65"/>
  <c r="FM7" i="81"/>
  <c r="AM8" i="81" s="1"/>
  <c r="AM9" i="81" s="1"/>
  <c r="AM10" i="81" s="1"/>
  <c r="FL7" i="81"/>
  <c r="AH7" i="83"/>
  <c r="AH8" i="83" s="1"/>
  <c r="AH9" i="83" s="1"/>
  <c r="AH10" i="83" s="1"/>
  <c r="KX20" i="27"/>
  <c r="KW20" i="27"/>
  <c r="KV20" i="27"/>
  <c r="KU20" i="27"/>
  <c r="KX17" i="27"/>
  <c r="KX18" i="27" s="1"/>
  <c r="KX19" i="27" s="1"/>
  <c r="KW17" i="27"/>
  <c r="KW18" i="27" s="1"/>
  <c r="KW19" i="27" s="1"/>
  <c r="KV17" i="27"/>
  <c r="KV18" i="27" s="1"/>
  <c r="KV19" i="27" s="1"/>
  <c r="KU17" i="27"/>
  <c r="KU18" i="27" s="1"/>
  <c r="KU19" i="27" s="1"/>
  <c r="KX16" i="27"/>
  <c r="KW16" i="27"/>
  <c r="KV16" i="27"/>
  <c r="KU16" i="27"/>
  <c r="AN9" i="76"/>
  <c r="AO9" i="76"/>
  <c r="AO10" i="76" s="1"/>
  <c r="GE10" i="76"/>
  <c r="GD10" i="76"/>
  <c r="GC10" i="76"/>
  <c r="GB10" i="76"/>
  <c r="GE7" i="76"/>
  <c r="GE11" i="76" s="1"/>
  <c r="GE12" i="76" s="1"/>
  <c r="GD7" i="76"/>
  <c r="GD11" i="76" s="1"/>
  <c r="GD12" i="76" s="1"/>
  <c r="GC7" i="76"/>
  <c r="GC11" i="76" s="1"/>
  <c r="GB7" i="76"/>
  <c r="GB11" i="76" s="1"/>
  <c r="BZ22" i="22"/>
  <c r="BZ23" i="22" s="1"/>
  <c r="BZ18" i="22"/>
  <c r="KA24" i="22"/>
  <c r="KA25" i="22" s="1"/>
  <c r="KA26" i="22" s="1"/>
  <c r="JZ24" i="22"/>
  <c r="JZ25" i="22" s="1"/>
  <c r="JZ26" i="22" s="1"/>
  <c r="JY24" i="22"/>
  <c r="JY25" i="22" s="1"/>
  <c r="JY26" i="22" s="1"/>
  <c r="JX24" i="22"/>
  <c r="JX25" i="22" s="1"/>
  <c r="JX26" i="22" s="1"/>
  <c r="JX19" i="22"/>
  <c r="KA13" i="22"/>
  <c r="JZ13" i="22"/>
  <c r="JY13" i="22"/>
  <c r="JX13" i="22"/>
  <c r="KA12" i="22"/>
  <c r="JZ12" i="22"/>
  <c r="JY12" i="22"/>
  <c r="JX12" i="22"/>
  <c r="KA11" i="22"/>
  <c r="JZ11" i="22"/>
  <c r="JY11" i="22"/>
  <c r="JX11" i="22"/>
  <c r="KA10" i="22"/>
  <c r="JZ10" i="22"/>
  <c r="JY10" i="22"/>
  <c r="JX10" i="22"/>
  <c r="JW19" i="22"/>
  <c r="JW13" i="22"/>
  <c r="JW12" i="22"/>
  <c r="JW11" i="22"/>
  <c r="JW10" i="22"/>
  <c r="AW13" i="69"/>
  <c r="HV19" i="69"/>
  <c r="HU19" i="69"/>
  <c r="HT19" i="69"/>
  <c r="HS19" i="69"/>
  <c r="HV14" i="69"/>
  <c r="HV15" i="69" s="1"/>
  <c r="HV16" i="69" s="1"/>
  <c r="HU14" i="69"/>
  <c r="HU15" i="69" s="1"/>
  <c r="HU16" i="69" s="1"/>
  <c r="HT14" i="69"/>
  <c r="HT15" i="69" s="1"/>
  <c r="HT16" i="69" s="1"/>
  <c r="HS14" i="69"/>
  <c r="HS15" i="69" s="1"/>
  <c r="HS16" i="69" s="1"/>
  <c r="HS13" i="65"/>
  <c r="HS14" i="65" s="1"/>
  <c r="HS15" i="65" s="1"/>
  <c r="HS16" i="65" s="1"/>
  <c r="HR13" i="65"/>
  <c r="HV18" i="65"/>
  <c r="HU18" i="65"/>
  <c r="HT18" i="65"/>
  <c r="HS18" i="65"/>
  <c r="HV14" i="65"/>
  <c r="HV15" i="65" s="1"/>
  <c r="HV16" i="65" s="1"/>
  <c r="HU14" i="65"/>
  <c r="HU15" i="65" s="1"/>
  <c r="HU16" i="65" s="1"/>
  <c r="AL7" i="81"/>
  <c r="AL8" i="81" s="1"/>
  <c r="AL9" i="81" s="1"/>
  <c r="AL10" i="81" s="1"/>
  <c r="FO8" i="81"/>
  <c r="FO9" i="81" s="1"/>
  <c r="FO10" i="81" s="1"/>
  <c r="FN8" i="81"/>
  <c r="FN9" i="81" s="1"/>
  <c r="FN10" i="81" s="1"/>
  <c r="FL8" i="81"/>
  <c r="FL9" i="81" s="1"/>
  <c r="FL10" i="81" s="1"/>
  <c r="FJ8" i="83"/>
  <c r="FJ9" i="83" s="1"/>
  <c r="FJ10" i="83" s="1"/>
  <c r="FI8" i="83"/>
  <c r="FI9" i="83" s="1"/>
  <c r="FI10" i="83" s="1"/>
  <c r="FH8" i="83"/>
  <c r="FH9" i="83" s="1"/>
  <c r="FH10" i="83" s="1"/>
  <c r="FG8" i="83"/>
  <c r="FG9" i="83" s="1"/>
  <c r="FG10" i="83" s="1"/>
  <c r="FK7" i="81"/>
  <c r="JV19" i="22"/>
  <c r="JV10" i="22"/>
  <c r="HQ13" i="65"/>
  <c r="FJ7" i="81"/>
  <c r="BZ24" i="27"/>
  <c r="BZ17" i="27"/>
  <c r="BZ18" i="27" s="1"/>
  <c r="BZ19" i="27" s="1"/>
  <c r="AO8" i="76"/>
  <c r="AO7" i="76"/>
  <c r="BZ29" i="22"/>
  <c r="BZ13" i="22"/>
  <c r="BZ10" i="22"/>
  <c r="BZ7" i="22"/>
  <c r="BZ12" i="22" s="1"/>
  <c r="JU19" i="22"/>
  <c r="HP13" i="65"/>
  <c r="FI7" i="81"/>
  <c r="BZ19" i="22" l="1"/>
  <c r="AW13" i="65"/>
  <c r="AW14" i="65" s="1"/>
  <c r="AW15" i="65" s="1"/>
  <c r="AW16" i="65" s="1"/>
  <c r="BZ25" i="22"/>
  <c r="BZ26" i="22" s="1"/>
  <c r="BZ27" i="22" s="1"/>
  <c r="HT14" i="65"/>
  <c r="HT15" i="65" s="1"/>
  <c r="HT16" i="65" s="1"/>
  <c r="AX14" i="65"/>
  <c r="AX15" i="65" s="1"/>
  <c r="AX16" i="65" s="1"/>
  <c r="FM8" i="81"/>
  <c r="FM9" i="81" s="1"/>
  <c r="FM10" i="81" s="1"/>
  <c r="GC12" i="76"/>
  <c r="AW14" i="69"/>
  <c r="AW15" i="69" s="1"/>
  <c r="AW16" i="69" s="1"/>
  <c r="GB12" i="76"/>
  <c r="AO11" i="76"/>
  <c r="AO12" i="76" s="1"/>
  <c r="BZ16" i="27"/>
  <c r="JU10" i="22"/>
  <c r="BY18" i="22"/>
  <c r="JT19" i="22"/>
  <c r="JT10" i="22"/>
  <c r="BX12" i="27"/>
  <c r="BY24" i="27"/>
  <c r="BY12" i="27"/>
  <c r="BY13" i="27"/>
  <c r="BY14" i="27"/>
  <c r="BY11" i="27"/>
  <c r="KT20" i="27"/>
  <c r="KS20" i="27"/>
  <c r="KR20" i="27"/>
  <c r="KQ20" i="27"/>
  <c r="KT17" i="27"/>
  <c r="KT18" i="27" s="1"/>
  <c r="KT19" i="27" s="1"/>
  <c r="KS17" i="27"/>
  <c r="KS18" i="27" s="1"/>
  <c r="KS19" i="27" s="1"/>
  <c r="KR17" i="27"/>
  <c r="KR18" i="27" s="1"/>
  <c r="KR19" i="27" s="1"/>
  <c r="KQ17" i="27"/>
  <c r="KQ18" i="27" s="1"/>
  <c r="KQ19" i="27" s="1"/>
  <c r="KT16" i="27"/>
  <c r="KS16" i="27"/>
  <c r="KR16" i="27"/>
  <c r="KQ16" i="27"/>
  <c r="KP20" i="27"/>
  <c r="KP17" i="27"/>
  <c r="KP18" i="27" s="1"/>
  <c r="KP19" i="27" s="1"/>
  <c r="KP16" i="27"/>
  <c r="GA10" i="76"/>
  <c r="FZ10" i="76"/>
  <c r="FY10" i="76"/>
  <c r="FX10" i="76"/>
  <c r="FW10" i="76"/>
  <c r="GA7" i="76"/>
  <c r="GA11" i="76" s="1"/>
  <c r="FZ7" i="76"/>
  <c r="FZ11" i="76" s="1"/>
  <c r="FY7" i="76"/>
  <c r="FY11" i="76" s="1"/>
  <c r="FX7" i="76"/>
  <c r="FX11" i="76" s="1"/>
  <c r="FW7" i="76"/>
  <c r="FW11" i="76" s="1"/>
  <c r="BY22" i="22"/>
  <c r="JW24" i="22"/>
  <c r="JV24" i="22"/>
  <c r="JV25" i="22" s="1"/>
  <c r="JV26" i="22" s="1"/>
  <c r="JU24" i="22"/>
  <c r="JU25" i="22" s="1"/>
  <c r="JU26" i="22" s="1"/>
  <c r="JT24" i="22"/>
  <c r="JT25" i="22" s="1"/>
  <c r="JT26" i="22" s="1"/>
  <c r="JS24" i="22"/>
  <c r="JS19" i="22"/>
  <c r="JV13" i="22"/>
  <c r="JU13" i="22"/>
  <c r="JT13" i="22"/>
  <c r="JS13" i="22"/>
  <c r="JV12" i="22"/>
  <c r="JT12" i="22"/>
  <c r="JV11" i="22"/>
  <c r="JU11" i="22"/>
  <c r="JT11" i="22"/>
  <c r="JS11" i="22"/>
  <c r="JS10" i="22"/>
  <c r="JU12" i="22"/>
  <c r="AV13" i="69"/>
  <c r="HR19" i="69"/>
  <c r="HQ19" i="69"/>
  <c r="HP19" i="69"/>
  <c r="HO19" i="69"/>
  <c r="HN19" i="69"/>
  <c r="HR14" i="69"/>
  <c r="HR15" i="69" s="1"/>
  <c r="HR16" i="69" s="1"/>
  <c r="HQ14" i="69"/>
  <c r="HQ15" i="69" s="1"/>
  <c r="HQ16" i="69" s="1"/>
  <c r="HP14" i="69"/>
  <c r="HP15" i="69" s="1"/>
  <c r="HP16" i="69" s="1"/>
  <c r="HO14" i="69"/>
  <c r="HO15" i="69" s="1"/>
  <c r="HO16" i="69" s="1"/>
  <c r="HN14" i="69"/>
  <c r="HN15" i="69" s="1"/>
  <c r="HN16" i="69" s="1"/>
  <c r="AV13" i="65"/>
  <c r="HR18" i="65"/>
  <c r="HQ18" i="65"/>
  <c r="HP18" i="65"/>
  <c r="HO18" i="65"/>
  <c r="HN18" i="65"/>
  <c r="HR14" i="65"/>
  <c r="HR15" i="65" s="1"/>
  <c r="HR16" i="65" s="1"/>
  <c r="HQ14" i="65"/>
  <c r="HQ15" i="65" s="1"/>
  <c r="HQ16" i="65" s="1"/>
  <c r="HP14" i="65"/>
  <c r="HP15" i="65" s="1"/>
  <c r="HP16" i="65" s="1"/>
  <c r="HO14" i="65"/>
  <c r="HO15" i="65" s="1"/>
  <c r="HO16" i="65" s="1"/>
  <c r="HN14" i="65"/>
  <c r="HN15" i="65" s="1"/>
  <c r="HN16" i="65" s="1"/>
  <c r="AK7" i="81"/>
  <c r="FK8" i="81"/>
  <c r="FJ8" i="81"/>
  <c r="FJ9" i="81" s="1"/>
  <c r="FJ10" i="81" s="1"/>
  <c r="FI8" i="81"/>
  <c r="FI9" i="81" s="1"/>
  <c r="FI10" i="81" s="1"/>
  <c r="FH8" i="81"/>
  <c r="FH9" i="81" s="1"/>
  <c r="FH10" i="81" s="1"/>
  <c r="FG8" i="81"/>
  <c r="FG9" i="81" s="1"/>
  <c r="FG10" i="81" s="1"/>
  <c r="FK9" i="81"/>
  <c r="FK10" i="81" s="1"/>
  <c r="AG7" i="83"/>
  <c r="FF8" i="83"/>
  <c r="FF9" i="83" s="1"/>
  <c r="FF10" i="83" s="1"/>
  <c r="FE8" i="83"/>
  <c r="FE9" i="83" s="1"/>
  <c r="FE10" i="83" s="1"/>
  <c r="FD8" i="83"/>
  <c r="FD9" i="83" s="1"/>
  <c r="FD10" i="83" s="1"/>
  <c r="FC8" i="83"/>
  <c r="FC9" i="83" s="1"/>
  <c r="FC10" i="83" s="1"/>
  <c r="FB8" i="83"/>
  <c r="FB9" i="83" s="1"/>
  <c r="FB10" i="83" s="1"/>
  <c r="JS25" i="22" l="1"/>
  <c r="JS26" i="22" s="1"/>
  <c r="FW12" i="76"/>
  <c r="FY12" i="76"/>
  <c r="FZ12" i="76"/>
  <c r="GA12" i="76"/>
  <c r="BY19" i="22"/>
  <c r="FX12" i="76"/>
  <c r="JS12" i="22"/>
  <c r="JW25" i="22"/>
  <c r="JW26" i="22" s="1"/>
  <c r="FV7" i="76"/>
  <c r="JR19" i="22" l="1"/>
  <c r="AU13" i="65" l="1"/>
  <c r="FA6" i="83"/>
  <c r="EZ6" i="83"/>
  <c r="FF6" i="81"/>
  <c r="FE6" i="81"/>
  <c r="HM9" i="65"/>
  <c r="HL9" i="65"/>
  <c r="HM8" i="69"/>
  <c r="HL8" i="69"/>
  <c r="JR9" i="22"/>
  <c r="JR11" i="22" s="1"/>
  <c r="JQ9" i="22"/>
  <c r="JQ11" i="22" s="1"/>
  <c r="KN6" i="27"/>
  <c r="FU6" i="76"/>
  <c r="FU7" i="76" s="1"/>
  <c r="FU11" i="76" s="1"/>
  <c r="FU12" i="76" s="1"/>
  <c r="JQ19" i="22"/>
  <c r="BY17" i="27"/>
  <c r="AN10" i="76"/>
  <c r="AN8" i="76"/>
  <c r="AN7" i="76"/>
  <c r="AN11" i="76" s="1"/>
  <c r="BY29" i="22"/>
  <c r="BY23" i="22"/>
  <c r="BY25" i="22" s="1"/>
  <c r="BY26" i="22" s="1"/>
  <c r="BY27" i="22" s="1"/>
  <c r="BY13" i="22"/>
  <c r="BY10" i="22"/>
  <c r="BY7" i="22"/>
  <c r="BY12" i="22" s="1"/>
  <c r="AV14" i="69"/>
  <c r="AV15" i="69" s="1"/>
  <c r="AV16" i="69" s="1"/>
  <c r="AV14" i="65"/>
  <c r="AV15" i="65" s="1"/>
  <c r="AV16" i="65" s="1"/>
  <c r="AK8" i="81"/>
  <c r="AK9" i="81" s="1"/>
  <c r="AK10" i="81" s="1"/>
  <c r="AG8" i="83"/>
  <c r="AG9" i="83" s="1"/>
  <c r="AG10" i="83" s="1"/>
  <c r="BX13" i="27"/>
  <c r="BX11" i="27"/>
  <c r="KL14" i="27"/>
  <c r="KL20" i="27" s="1"/>
  <c r="KO20" i="27"/>
  <c r="KN20" i="27"/>
  <c r="KM20" i="27"/>
  <c r="KO17" i="27"/>
  <c r="KO18" i="27" s="1"/>
  <c r="KO19" i="27" s="1"/>
  <c r="KN17" i="27"/>
  <c r="KM17" i="27"/>
  <c r="KM18" i="27" s="1"/>
  <c r="KM19" i="27" s="1"/>
  <c r="KO16" i="27"/>
  <c r="KN16" i="27"/>
  <c r="KM16" i="27"/>
  <c r="KL16" i="27"/>
  <c r="FS9" i="76"/>
  <c r="FS10" i="76" s="1"/>
  <c r="FV10" i="76"/>
  <c r="FU10" i="76"/>
  <c r="FT10" i="76"/>
  <c r="FV11" i="76"/>
  <c r="FT6" i="76"/>
  <c r="FT7" i="76" s="1"/>
  <c r="FT11" i="76" s="1"/>
  <c r="FT12" i="76" s="1"/>
  <c r="FS6" i="76"/>
  <c r="FS7" i="76" s="1"/>
  <c r="BX18" i="22"/>
  <c r="JO22" i="22"/>
  <c r="JO24" i="22" s="1"/>
  <c r="JR24" i="22"/>
  <c r="JQ24" i="22"/>
  <c r="JP24" i="22"/>
  <c r="JP19" i="22"/>
  <c r="JO19" i="22"/>
  <c r="JP9" i="22"/>
  <c r="JP11" i="22" s="1"/>
  <c r="JO9" i="22"/>
  <c r="AU13" i="69"/>
  <c r="HK19" i="69"/>
  <c r="HJ19" i="69"/>
  <c r="HM14" i="69"/>
  <c r="HM15" i="69" s="1"/>
  <c r="HM16" i="69" s="1"/>
  <c r="HL14" i="69"/>
  <c r="HL15" i="69" s="1"/>
  <c r="HL16" i="69" s="1"/>
  <c r="HK14" i="69"/>
  <c r="HK15" i="69" s="1"/>
  <c r="HK16" i="69" s="1"/>
  <c r="HJ14" i="69"/>
  <c r="HJ15" i="69" s="1"/>
  <c r="HJ16" i="69" s="1"/>
  <c r="HM19" i="69" l="1"/>
  <c r="HL19" i="69"/>
  <c r="AM9" i="76"/>
  <c r="JP12" i="22"/>
  <c r="BX19" i="22"/>
  <c r="JP25" i="22"/>
  <c r="JP26" i="22" s="1"/>
  <c r="JQ25" i="22"/>
  <c r="JQ26" i="22" s="1"/>
  <c r="AN12" i="76"/>
  <c r="FV12" i="76"/>
  <c r="KN18" i="27"/>
  <c r="KN19" i="27" s="1"/>
  <c r="BY18" i="27"/>
  <c r="BY19" i="27" s="1"/>
  <c r="BX14" i="27"/>
  <c r="BY16" i="27"/>
  <c r="BX22" i="22"/>
  <c r="JR12" i="22"/>
  <c r="JR25" i="22"/>
  <c r="JR26" i="22" s="1"/>
  <c r="JQ12" i="22"/>
  <c r="KL17" i="27"/>
  <c r="KL18" i="27" s="1"/>
  <c r="KL19" i="27" s="1"/>
  <c r="FS11" i="76"/>
  <c r="FS12" i="76" s="1"/>
  <c r="JO25" i="22"/>
  <c r="JO26" i="22" s="1"/>
  <c r="JP13" i="22"/>
  <c r="JQ13" i="22"/>
  <c r="JO10" i="22"/>
  <c r="JP10" i="22"/>
  <c r="JQ10" i="22"/>
  <c r="JR10" i="22"/>
  <c r="JO13" i="22"/>
  <c r="JR13" i="22"/>
  <c r="JO11" i="22"/>
  <c r="JO12" i="22"/>
  <c r="HM18" i="65" l="1"/>
  <c r="HL18" i="65"/>
  <c r="HK18" i="65"/>
  <c r="HJ18" i="65"/>
  <c r="HM14" i="65"/>
  <c r="HM15" i="65" s="1"/>
  <c r="HM16" i="65" s="1"/>
  <c r="HL14" i="65"/>
  <c r="HL15" i="65" s="1"/>
  <c r="HL16" i="65" s="1"/>
  <c r="HK14" i="65"/>
  <c r="HK15" i="65" s="1"/>
  <c r="HK16" i="65" s="1"/>
  <c r="HJ14" i="65"/>
  <c r="HJ15" i="65" s="1"/>
  <c r="HJ16" i="65" s="1"/>
  <c r="AI7" i="81" l="1"/>
  <c r="FC7" i="81"/>
  <c r="AJ7" i="81" s="1"/>
  <c r="FE8" i="81"/>
  <c r="FE9" i="81" s="1"/>
  <c r="FE10" i="81" s="1"/>
  <c r="FF8" i="81"/>
  <c r="FF9" i="81" s="1"/>
  <c r="FF10" i="81" s="1"/>
  <c r="FD8" i="81"/>
  <c r="FD9" i="81" s="1"/>
  <c r="FD10" i="81" s="1"/>
  <c r="AE7" i="83"/>
  <c r="FA8" i="83"/>
  <c r="FA9" i="83" s="1"/>
  <c r="FA10" i="83" s="1"/>
  <c r="EZ8" i="83"/>
  <c r="EZ9" i="83" s="1"/>
  <c r="EZ10" i="83" s="1"/>
  <c r="EX7" i="83"/>
  <c r="AF7" i="83" s="1"/>
  <c r="EY8" i="83"/>
  <c r="EY9" i="83" s="1"/>
  <c r="EY10" i="83" s="1"/>
  <c r="FC8" i="81" l="1"/>
  <c r="FC9" i="81" s="1"/>
  <c r="FC10" i="81" s="1"/>
  <c r="EX8" i="83"/>
  <c r="EX9" i="83" s="1"/>
  <c r="EX10" i="83" s="1"/>
  <c r="BK10" i="22"/>
  <c r="AT13" i="69" l="1"/>
  <c r="AT14" i="69" s="1"/>
  <c r="AT15" i="69" s="1"/>
  <c r="AT16" i="69" s="1"/>
  <c r="AT13" i="65"/>
  <c r="AT14" i="65" s="1"/>
  <c r="AT15" i="65" s="1"/>
  <c r="AT16" i="65" s="1"/>
  <c r="HI18" i="65"/>
  <c r="HH18" i="65"/>
  <c r="HG18" i="65"/>
  <c r="HF18" i="65"/>
  <c r="HI14" i="65"/>
  <c r="HI15" i="65" s="1"/>
  <c r="HI16" i="65" s="1"/>
  <c r="HH14" i="65"/>
  <c r="HH15" i="65" s="1"/>
  <c r="HH16" i="65" s="1"/>
  <c r="HG14" i="65"/>
  <c r="HG15" i="65" s="1"/>
  <c r="HG16" i="65" s="1"/>
  <c r="HF14" i="65"/>
  <c r="HF15" i="65" s="1"/>
  <c r="HF16" i="65" s="1"/>
  <c r="AI8" i="81"/>
  <c r="AI9" i="81" s="1"/>
  <c r="AI10" i="81" s="1"/>
  <c r="FB8" i="81"/>
  <c r="FB9" i="81" s="1"/>
  <c r="FB10" i="81" s="1"/>
  <c r="FA8" i="81"/>
  <c r="FA9" i="81" s="1"/>
  <c r="FA10" i="81" s="1"/>
  <c r="EZ8" i="81"/>
  <c r="EZ9" i="81" s="1"/>
  <c r="EZ10" i="81" s="1"/>
  <c r="EY8" i="81"/>
  <c r="EY9" i="81" s="1"/>
  <c r="EY10" i="81" s="1"/>
  <c r="EW8" i="83"/>
  <c r="EW9" i="83" s="1"/>
  <c r="EW10" i="83" s="1"/>
  <c r="EV8" i="83"/>
  <c r="EV9" i="83" s="1"/>
  <c r="EV10" i="83" s="1"/>
  <c r="EU8" i="83"/>
  <c r="EU9" i="83" s="1"/>
  <c r="EU10" i="83" s="1"/>
  <c r="ET8" i="83"/>
  <c r="ET9" i="83" s="1"/>
  <c r="ET10" i="83" s="1"/>
  <c r="HI19" i="69"/>
  <c r="HH19" i="69"/>
  <c r="HG19" i="69"/>
  <c r="HF19" i="69"/>
  <c r="HI14" i="69"/>
  <c r="HI15" i="69" s="1"/>
  <c r="HI16" i="69" s="1"/>
  <c r="HH14" i="69"/>
  <c r="HH15" i="69" s="1"/>
  <c r="HH16" i="69" s="1"/>
  <c r="HG14" i="69"/>
  <c r="HG15" i="69" s="1"/>
  <c r="HG16" i="69" s="1"/>
  <c r="HF14" i="69"/>
  <c r="HF15" i="69" s="1"/>
  <c r="HF16" i="69" s="1"/>
  <c r="BW22" i="22"/>
  <c r="BW23" i="22" s="1"/>
  <c r="BW25" i="22" s="1"/>
  <c r="JN19" i="22"/>
  <c r="JM19" i="22"/>
  <c r="JL19" i="22"/>
  <c r="JK19" i="22"/>
  <c r="JJ19" i="22"/>
  <c r="JI19" i="22"/>
  <c r="JN24" i="22"/>
  <c r="JM24" i="22"/>
  <c r="JL24" i="22"/>
  <c r="JK24" i="22"/>
  <c r="JN9" i="22"/>
  <c r="JN10" i="22" s="1"/>
  <c r="JM9" i="22"/>
  <c r="JM12" i="22" s="1"/>
  <c r="JL9" i="22"/>
  <c r="JL12" i="22" s="1"/>
  <c r="JK9" i="22"/>
  <c r="JK12" i="22" s="1"/>
  <c r="AL9" i="76"/>
  <c r="AL10" i="76" s="1"/>
  <c r="FR10" i="76"/>
  <c r="FQ10" i="76"/>
  <c r="FP10" i="76"/>
  <c r="FO10" i="76"/>
  <c r="FR6" i="76"/>
  <c r="FR7" i="76" s="1"/>
  <c r="FR11" i="76" s="1"/>
  <c r="FQ6" i="76"/>
  <c r="FQ7" i="76" s="1"/>
  <c r="FQ11" i="76" s="1"/>
  <c r="FP6" i="76"/>
  <c r="FP7" i="76" s="1"/>
  <c r="FP11" i="76" s="1"/>
  <c r="FO6" i="76"/>
  <c r="FO7" i="76" s="1"/>
  <c r="FO11" i="76" s="1"/>
  <c r="BW12" i="27"/>
  <c r="BW13" i="27"/>
  <c r="BW14" i="27"/>
  <c r="BW17" i="27" s="1"/>
  <c r="BW11" i="27"/>
  <c r="KK20" i="27"/>
  <c r="KJ20" i="27"/>
  <c r="KI20" i="27"/>
  <c r="KH20" i="27"/>
  <c r="KK17" i="27"/>
  <c r="KK18" i="27" s="1"/>
  <c r="KK19" i="27" s="1"/>
  <c r="KJ17" i="27"/>
  <c r="KJ18" i="27" s="1"/>
  <c r="KJ19" i="27" s="1"/>
  <c r="KI17" i="27"/>
  <c r="KI18" i="27" s="1"/>
  <c r="KI19" i="27" s="1"/>
  <c r="KH17" i="27"/>
  <c r="KH18" i="27" s="1"/>
  <c r="KH19" i="27" s="1"/>
  <c r="KK16" i="27"/>
  <c r="KJ16" i="27"/>
  <c r="KI16" i="27"/>
  <c r="KH16" i="27"/>
  <c r="BX16" i="27"/>
  <c r="AM10" i="76"/>
  <c r="AM8" i="76"/>
  <c r="AM7" i="76"/>
  <c r="AM11" i="76" s="1"/>
  <c r="BX29" i="22"/>
  <c r="BX23" i="22"/>
  <c r="BX25" i="22" s="1"/>
  <c r="BX9" i="22"/>
  <c r="BX10" i="22" s="1"/>
  <c r="BX7" i="22"/>
  <c r="BX12" i="22" s="1"/>
  <c r="AU14" i="69"/>
  <c r="AU15" i="69" s="1"/>
  <c r="AU16" i="69" s="1"/>
  <c r="AU10" i="69"/>
  <c r="AU9" i="69"/>
  <c r="AU14" i="65"/>
  <c r="AU15" i="65" s="1"/>
  <c r="AU16" i="65" s="1"/>
  <c r="AJ8" i="81"/>
  <c r="AJ9" i="81" s="1"/>
  <c r="AJ10" i="81" s="1"/>
  <c r="AF8" i="83"/>
  <c r="AF9" i="83" s="1"/>
  <c r="AF10" i="83" s="1"/>
  <c r="BW6" i="27"/>
  <c r="AL8" i="76"/>
  <c r="AL7" i="76"/>
  <c r="BW29" i="22"/>
  <c r="BW9" i="22"/>
  <c r="BW10" i="22" s="1"/>
  <c r="BW7" i="22"/>
  <c r="AT10" i="69"/>
  <c r="AT9" i="69"/>
  <c r="FO12" i="76" l="1"/>
  <c r="FP12" i="76"/>
  <c r="JL11" i="22"/>
  <c r="JL25" i="22"/>
  <c r="JL26" i="22" s="1"/>
  <c r="FQ12" i="76"/>
  <c r="FR12" i="76"/>
  <c r="JM11" i="22"/>
  <c r="JN13" i="22"/>
  <c r="JN11" i="22"/>
  <c r="JN12" i="22"/>
  <c r="JN25" i="22"/>
  <c r="JN26" i="22" s="1"/>
  <c r="JM25" i="22"/>
  <c r="JM26" i="22" s="1"/>
  <c r="BW12" i="22"/>
  <c r="AM12" i="76"/>
  <c r="JK25" i="22"/>
  <c r="JK26" i="22" s="1"/>
  <c r="JK10" i="22"/>
  <c r="JL13" i="22"/>
  <c r="JL10" i="22"/>
  <c r="JM13" i="22"/>
  <c r="JM10" i="22"/>
  <c r="JK13" i="22"/>
  <c r="JK11" i="22"/>
  <c r="AL11" i="76"/>
  <c r="AL12" i="76" s="1"/>
  <c r="BX17" i="27"/>
  <c r="BX18" i="27" s="1"/>
  <c r="BX19" i="27" s="1"/>
  <c r="BX26" i="22"/>
  <c r="BX27" i="22" s="1"/>
  <c r="BX13" i="22"/>
  <c r="BW18" i="27"/>
  <c r="BW19" i="27" s="1"/>
  <c r="BW16" i="27"/>
  <c r="BW26" i="22"/>
  <c r="BW27" i="22" s="1"/>
  <c r="BW13" i="22"/>
  <c r="AE8" i="83" l="1"/>
  <c r="AE9" i="83" s="1"/>
  <c r="AE10" i="83" s="1"/>
  <c r="BV12" i="27"/>
  <c r="BV13" i="27"/>
  <c r="BV14" i="27"/>
  <c r="BV11" i="27"/>
  <c r="AK9" i="76"/>
  <c r="BV22" i="22"/>
  <c r="BV18" i="22"/>
  <c r="AS13" i="69"/>
  <c r="AS13" i="65" l="1"/>
  <c r="AH7" i="81" l="1"/>
  <c r="AD7" i="83"/>
  <c r="JH19" i="22" l="1"/>
  <c r="JG19" i="22"/>
  <c r="JF19" i="22"/>
  <c r="BV19" i="22" s="1"/>
  <c r="FN6" i="76"/>
  <c r="FN7" i="76" s="1"/>
  <c r="FN11" i="76" s="1"/>
  <c r="FM6" i="76"/>
  <c r="FM7" i="76" s="1"/>
  <c r="FM11" i="76" s="1"/>
  <c r="FL6" i="76"/>
  <c r="FL7" i="76" s="1"/>
  <c r="FL11" i="76" s="1"/>
  <c r="FK6" i="76"/>
  <c r="FK7" i="76" s="1"/>
  <c r="FK11" i="76" s="1"/>
  <c r="FJ6" i="76"/>
  <c r="FJ7" i="76" s="1"/>
  <c r="FJ11" i="76" s="1"/>
  <c r="BV6" i="27"/>
  <c r="KG20" i="27"/>
  <c r="KF20" i="27"/>
  <c r="KE20" i="27"/>
  <c r="KD20" i="27"/>
  <c r="KC20" i="27"/>
  <c r="KG17" i="27"/>
  <c r="KG18" i="27" s="1"/>
  <c r="KG19" i="27" s="1"/>
  <c r="KF17" i="27"/>
  <c r="KF18" i="27" s="1"/>
  <c r="KF19" i="27" s="1"/>
  <c r="KE17" i="27"/>
  <c r="KE18" i="27" s="1"/>
  <c r="KE19" i="27" s="1"/>
  <c r="KD17" i="27"/>
  <c r="KD18" i="27" s="1"/>
  <c r="KD19" i="27" s="1"/>
  <c r="KC17" i="27"/>
  <c r="KC18" i="27" s="1"/>
  <c r="KC19" i="27" s="1"/>
  <c r="KG16" i="27"/>
  <c r="KF16" i="27"/>
  <c r="KE16" i="27"/>
  <c r="KD16" i="27"/>
  <c r="KC16" i="27"/>
  <c r="FN10" i="76"/>
  <c r="FM10" i="76"/>
  <c r="FL10" i="76"/>
  <c r="FK10" i="76"/>
  <c r="FJ10" i="76"/>
  <c r="JJ24" i="22"/>
  <c r="JI24" i="22"/>
  <c r="JH24" i="22"/>
  <c r="JG24" i="22"/>
  <c r="JF24" i="22"/>
  <c r="JJ9" i="22"/>
  <c r="JI9" i="22"/>
  <c r="JH9" i="22"/>
  <c r="JG9" i="22"/>
  <c r="JF9" i="22"/>
  <c r="HE19" i="69"/>
  <c r="HD19" i="69"/>
  <c r="HC19" i="69"/>
  <c r="HB19" i="69"/>
  <c r="HA19" i="69"/>
  <c r="HE14" i="69"/>
  <c r="HE15" i="69" s="1"/>
  <c r="HE16" i="69" s="1"/>
  <c r="HD14" i="69"/>
  <c r="HD15" i="69" s="1"/>
  <c r="HD16" i="69" s="1"/>
  <c r="HC14" i="69"/>
  <c r="HC15" i="69" s="1"/>
  <c r="HC16" i="69" s="1"/>
  <c r="HB14" i="69"/>
  <c r="HB15" i="69" s="1"/>
  <c r="HB16" i="69" s="1"/>
  <c r="HA14" i="69"/>
  <c r="HA15" i="69" s="1"/>
  <c r="HA16" i="69" s="1"/>
  <c r="HE11" i="69"/>
  <c r="HD11" i="69"/>
  <c r="HC11" i="69"/>
  <c r="HB11" i="69"/>
  <c r="HA11" i="69"/>
  <c r="HE9" i="69"/>
  <c r="HD9" i="69"/>
  <c r="HC9" i="69"/>
  <c r="HB9" i="69"/>
  <c r="HA9" i="69"/>
  <c r="HE18" i="65"/>
  <c r="HD18" i="65"/>
  <c r="HC18" i="65"/>
  <c r="HB18" i="65"/>
  <c r="HA18" i="65"/>
  <c r="HE14" i="65"/>
  <c r="HE15" i="65" s="1"/>
  <c r="HE16" i="65" s="1"/>
  <c r="HD14" i="65"/>
  <c r="HD15" i="65" s="1"/>
  <c r="HD16" i="65" s="1"/>
  <c r="HC14" i="65"/>
  <c r="HC15" i="65" s="1"/>
  <c r="HC16" i="65" s="1"/>
  <c r="HB14" i="65"/>
  <c r="HB15" i="65" s="1"/>
  <c r="HB16" i="65" s="1"/>
  <c r="HA14" i="65"/>
  <c r="HA15" i="65" s="1"/>
  <c r="HA16" i="65" s="1"/>
  <c r="EX8" i="81"/>
  <c r="EX9" i="81" s="1"/>
  <c r="EX10" i="81" s="1"/>
  <c r="EW8" i="81"/>
  <c r="EW9" i="81" s="1"/>
  <c r="EW10" i="81" s="1"/>
  <c r="EV8" i="81"/>
  <c r="EV9" i="81" s="1"/>
  <c r="EV10" i="81" s="1"/>
  <c r="EU8" i="81"/>
  <c r="EU9" i="81" s="1"/>
  <c r="EU10" i="81" s="1"/>
  <c r="ET8" i="81"/>
  <c r="ET9" i="81" s="1"/>
  <c r="ET10" i="81" s="1"/>
  <c r="ES8" i="83"/>
  <c r="ES9" i="83" s="1"/>
  <c r="ES10" i="83" s="1"/>
  <c r="ER8" i="83"/>
  <c r="ER9" i="83" s="1"/>
  <c r="ER10" i="83" s="1"/>
  <c r="EQ8" i="83"/>
  <c r="EQ9" i="83" s="1"/>
  <c r="EQ10" i="83" s="1"/>
  <c r="EP8" i="83"/>
  <c r="EP9" i="83" s="1"/>
  <c r="EP10" i="83" s="1"/>
  <c r="EO8" i="83"/>
  <c r="EO9" i="83" s="1"/>
  <c r="EO10" i="83" s="1"/>
  <c r="JE19" i="22"/>
  <c r="FL12" i="76" l="1"/>
  <c r="FK12" i="76"/>
  <c r="FJ12" i="76"/>
  <c r="JH11" i="22"/>
  <c r="JH10" i="22"/>
  <c r="JJ11" i="22"/>
  <c r="JJ10" i="22"/>
  <c r="JF12" i="22"/>
  <c r="JF10" i="22"/>
  <c r="JH12" i="22"/>
  <c r="JG12" i="22"/>
  <c r="JG10" i="22"/>
  <c r="JI11" i="22"/>
  <c r="JI10" i="22"/>
  <c r="JI12" i="22"/>
  <c r="JJ12" i="22"/>
  <c r="FM12" i="76"/>
  <c r="FN12" i="76"/>
  <c r="JF25" i="22"/>
  <c r="JF26" i="22" s="1"/>
  <c r="JF13" i="22"/>
  <c r="JG25" i="22"/>
  <c r="JG26" i="22" s="1"/>
  <c r="JG13" i="22"/>
  <c r="JH25" i="22"/>
  <c r="JH26" i="22" s="1"/>
  <c r="JH13" i="22"/>
  <c r="JI25" i="22"/>
  <c r="JI26" i="22" s="1"/>
  <c r="JI13" i="22"/>
  <c r="JJ25" i="22"/>
  <c r="JJ26" i="22" s="1"/>
  <c r="JJ13" i="22"/>
  <c r="JF11" i="22"/>
  <c r="JG11" i="22"/>
  <c r="BV17" i="27"/>
  <c r="BV18" i="27" s="1"/>
  <c r="BV19" i="27" s="1"/>
  <c r="AK10" i="76"/>
  <c r="AK8" i="76"/>
  <c r="AK7" i="76"/>
  <c r="AK11" i="76" s="1"/>
  <c r="BV29" i="22"/>
  <c r="BV23" i="22"/>
  <c r="BV25" i="22" s="1"/>
  <c r="BV9" i="22"/>
  <c r="BV7" i="22"/>
  <c r="BV12" i="22" s="1"/>
  <c r="JD19" i="22"/>
  <c r="JC19" i="22"/>
  <c r="AS14" i="69"/>
  <c r="AS15" i="69" s="1"/>
  <c r="AS16" i="69" s="1"/>
  <c r="AS10" i="69"/>
  <c r="AS9" i="69"/>
  <c r="AS14" i="65"/>
  <c r="AS15" i="65" s="1"/>
  <c r="AS16" i="65" s="1"/>
  <c r="AH8" i="81"/>
  <c r="AH9" i="81" s="1"/>
  <c r="AH10" i="81" s="1"/>
  <c r="AD8" i="83"/>
  <c r="AD9" i="83" s="1"/>
  <c r="AD10" i="83" s="1"/>
  <c r="BU12" i="27"/>
  <c r="BU13" i="27"/>
  <c r="BU14" i="27"/>
  <c r="BU11" i="27"/>
  <c r="KB20" i="27"/>
  <c r="KA20" i="27"/>
  <c r="JZ20" i="27"/>
  <c r="JY20" i="27"/>
  <c r="KB17" i="27"/>
  <c r="KB18" i="27" s="1"/>
  <c r="KB19" i="27" s="1"/>
  <c r="KA17" i="27"/>
  <c r="KA18" i="27" s="1"/>
  <c r="KA19" i="27" s="1"/>
  <c r="JZ17" i="27"/>
  <c r="JZ18" i="27" s="1"/>
  <c r="JZ19" i="27" s="1"/>
  <c r="JY17" i="27"/>
  <c r="JY18" i="27" s="1"/>
  <c r="JY19" i="27" s="1"/>
  <c r="KB16" i="27"/>
  <c r="KA16" i="27"/>
  <c r="JZ16" i="27"/>
  <c r="JY16" i="27"/>
  <c r="AJ9" i="76"/>
  <c r="FI10" i="76"/>
  <c r="FH10" i="76"/>
  <c r="FG10" i="76"/>
  <c r="FF10" i="76"/>
  <c r="FI6" i="76"/>
  <c r="FI7" i="76" s="1"/>
  <c r="FI11" i="76" s="1"/>
  <c r="FH6" i="76"/>
  <c r="FH7" i="76" s="1"/>
  <c r="FH11" i="76" s="1"/>
  <c r="FG6" i="76"/>
  <c r="FG7" i="76" s="1"/>
  <c r="FG11" i="76" s="1"/>
  <c r="FF6" i="76"/>
  <c r="FF7" i="76" s="1"/>
  <c r="FF11" i="76" s="1"/>
  <c r="FF12" i="76" s="1"/>
  <c r="BU22" i="22"/>
  <c r="BU18" i="22"/>
  <c r="JB19" i="22"/>
  <c r="JA19" i="22"/>
  <c r="JE28" i="22"/>
  <c r="JD28" i="22"/>
  <c r="JC28" i="22"/>
  <c r="JB28" i="22"/>
  <c r="JE24" i="22"/>
  <c r="JD24" i="22"/>
  <c r="JC24" i="22"/>
  <c r="JB24" i="22"/>
  <c r="JE9" i="22"/>
  <c r="JE13" i="22" s="1"/>
  <c r="JD9" i="22"/>
  <c r="JD13" i="22" s="1"/>
  <c r="JC9" i="22"/>
  <c r="JC13" i="22" s="1"/>
  <c r="JB9" i="22"/>
  <c r="JB13" i="22" s="1"/>
  <c r="AR13" i="69"/>
  <c r="GZ19" i="69"/>
  <c r="GY19" i="69"/>
  <c r="GX19" i="69"/>
  <c r="GW19" i="69"/>
  <c r="GZ14" i="69"/>
  <c r="GZ15" i="69" s="1"/>
  <c r="GZ16" i="69" s="1"/>
  <c r="GY14" i="69"/>
  <c r="GY15" i="69" s="1"/>
  <c r="GY16" i="69" s="1"/>
  <c r="GX14" i="69"/>
  <c r="GX15" i="69" s="1"/>
  <c r="GX16" i="69" s="1"/>
  <c r="GW14" i="69"/>
  <c r="GW15" i="69" s="1"/>
  <c r="GW16" i="69" s="1"/>
  <c r="GZ11" i="69"/>
  <c r="GY11" i="69"/>
  <c r="GX11" i="69"/>
  <c r="GW11" i="69"/>
  <c r="GZ9" i="69"/>
  <c r="GY9" i="69"/>
  <c r="GX9" i="69"/>
  <c r="GW9" i="69"/>
  <c r="AR13" i="65"/>
  <c r="GZ18" i="65"/>
  <c r="GY18" i="65"/>
  <c r="GX18" i="65"/>
  <c r="GW18" i="65"/>
  <c r="GZ14" i="65"/>
  <c r="GZ15" i="65" s="1"/>
  <c r="GZ16" i="65" s="1"/>
  <c r="GY14" i="65"/>
  <c r="GY15" i="65" s="1"/>
  <c r="GY16" i="65" s="1"/>
  <c r="GX14" i="65"/>
  <c r="GX15" i="65" s="1"/>
  <c r="GX16" i="65" s="1"/>
  <c r="GW14" i="65"/>
  <c r="GW15" i="65" s="1"/>
  <c r="GW16" i="65" s="1"/>
  <c r="AG7" i="81"/>
  <c r="ES8" i="81"/>
  <c r="ES9" i="81" s="1"/>
  <c r="ES10" i="81" s="1"/>
  <c r="ER8" i="81"/>
  <c r="ER9" i="81" s="1"/>
  <c r="ER10" i="81" s="1"/>
  <c r="EQ8" i="81"/>
  <c r="EQ9" i="81" s="1"/>
  <c r="EQ10" i="81" s="1"/>
  <c r="EP8" i="81"/>
  <c r="EP9" i="81" s="1"/>
  <c r="EP10" i="81" s="1"/>
  <c r="BU19" i="22" l="1"/>
  <c r="FI12" i="76"/>
  <c r="BV13" i="22"/>
  <c r="BV10" i="22"/>
  <c r="JC12" i="22"/>
  <c r="JE11" i="22"/>
  <c r="JB12" i="22"/>
  <c r="JD12" i="22"/>
  <c r="JE12" i="22"/>
  <c r="JE25" i="22"/>
  <c r="JE26" i="22" s="1"/>
  <c r="BV26" i="22"/>
  <c r="BV27" i="22" s="1"/>
  <c r="AK12" i="76"/>
  <c r="BV16" i="27"/>
  <c r="FH12" i="76"/>
  <c r="FG12" i="76"/>
  <c r="JC25" i="22"/>
  <c r="JC26" i="22" s="1"/>
  <c r="JB10" i="22"/>
  <c r="JD10" i="22"/>
  <c r="JE10" i="22"/>
  <c r="JB11" i="22"/>
  <c r="JB25" i="22"/>
  <c r="JB26" i="22" s="1"/>
  <c r="JD25" i="22"/>
  <c r="JD26" i="22" s="1"/>
  <c r="JC10" i="22"/>
  <c r="JC11" i="22"/>
  <c r="JD11" i="22"/>
  <c r="AC7" i="83"/>
  <c r="EN8" i="83" l="1"/>
  <c r="EN9" i="83" s="1"/>
  <c r="EN10" i="83" s="1"/>
  <c r="EM8" i="83"/>
  <c r="EM9" i="83" s="1"/>
  <c r="EM10" i="83" s="1"/>
  <c r="EL8" i="83"/>
  <c r="EL9" i="83" s="1"/>
  <c r="EL10" i="83" s="1"/>
  <c r="EK8" i="83"/>
  <c r="EK9" i="83" s="1"/>
  <c r="EK10" i="83" s="1"/>
  <c r="AC8" i="83"/>
  <c r="AC9" i="83" s="1"/>
  <c r="AC10" i="83" s="1"/>
  <c r="AG8" i="81"/>
  <c r="AG9" i="81" s="1"/>
  <c r="AG10" i="81" s="1"/>
  <c r="AR14" i="65"/>
  <c r="AR15" i="65" s="1"/>
  <c r="AR16" i="65" s="1"/>
  <c r="AR14" i="69" l="1"/>
  <c r="AR15" i="69" s="1"/>
  <c r="AR16" i="69" s="1"/>
  <c r="AR10" i="69"/>
  <c r="AR9" i="69"/>
  <c r="BU29" i="22"/>
  <c r="BU23" i="22"/>
  <c r="BU25" i="22" s="1"/>
  <c r="BU9" i="22"/>
  <c r="BU7" i="22"/>
  <c r="AJ10" i="76"/>
  <c r="AJ8" i="76"/>
  <c r="AJ7" i="76"/>
  <c r="BU16" i="27"/>
  <c r="BU6" i="27"/>
  <c r="BU13" i="22" l="1"/>
  <c r="BU10" i="22"/>
  <c r="BU12" i="22"/>
  <c r="BU26" i="22"/>
  <c r="BU27" i="22" s="1"/>
  <c r="BU17" i="27"/>
  <c r="BU18" i="27" s="1"/>
  <c r="BU19" i="27" s="1"/>
  <c r="AJ11" i="76"/>
  <c r="AJ12" i="76" s="1"/>
  <c r="IZ19" i="22" l="1"/>
  <c r="IY19" i="22"/>
  <c r="BT12" i="27"/>
  <c r="BT13" i="27"/>
  <c r="BT14" i="27"/>
  <c r="BT11" i="27"/>
  <c r="JX20" i="27"/>
  <c r="JW20" i="27"/>
  <c r="JV20" i="27"/>
  <c r="JU20" i="27"/>
  <c r="JX17" i="27"/>
  <c r="JW17" i="27"/>
  <c r="JV17" i="27"/>
  <c r="JU17" i="27"/>
  <c r="JX16" i="27"/>
  <c r="JW16" i="27"/>
  <c r="JV16" i="27"/>
  <c r="JU16" i="27"/>
  <c r="AI9" i="76"/>
  <c r="AI8" i="76"/>
  <c r="FE6" i="76"/>
  <c r="FE7" i="76" s="1"/>
  <c r="FE11" i="76" s="1"/>
  <c r="FD6" i="76"/>
  <c r="FD7" i="76" s="1"/>
  <c r="FD11" i="76" s="1"/>
  <c r="FC6" i="76"/>
  <c r="FC7" i="76" s="1"/>
  <c r="FC11" i="76" s="1"/>
  <c r="FB6" i="76"/>
  <c r="FB7" i="76" s="1"/>
  <c r="FB11" i="76" s="1"/>
  <c r="FE10" i="76"/>
  <c r="FD10" i="76"/>
  <c r="FC10" i="76"/>
  <c r="FB10" i="76"/>
  <c r="BT22" i="22"/>
  <c r="BT18" i="22"/>
  <c r="IX19" i="22"/>
  <c r="IW19" i="22"/>
  <c r="JA9" i="22"/>
  <c r="JA10" i="22" s="1"/>
  <c r="IZ9" i="22"/>
  <c r="IY9" i="22"/>
  <c r="IX9" i="22"/>
  <c r="IX12" i="22" s="1"/>
  <c r="JA28" i="22"/>
  <c r="IZ28" i="22"/>
  <c r="IY28" i="22"/>
  <c r="IX28" i="22"/>
  <c r="JA24" i="22"/>
  <c r="IZ24" i="22"/>
  <c r="IY24" i="22"/>
  <c r="IX24" i="22"/>
  <c r="AQ13" i="69"/>
  <c r="AQ14" i="69" s="1"/>
  <c r="GV19" i="69"/>
  <c r="GU19" i="69"/>
  <c r="GT19" i="69"/>
  <c r="GS19" i="69"/>
  <c r="GV14" i="69"/>
  <c r="GV15" i="69" s="1"/>
  <c r="GV16" i="69" s="1"/>
  <c r="GU14" i="69"/>
  <c r="GU15" i="69" s="1"/>
  <c r="GU16" i="69" s="1"/>
  <c r="GT14" i="69"/>
  <c r="GT15" i="69" s="1"/>
  <c r="GT16" i="69" s="1"/>
  <c r="GS14" i="69"/>
  <c r="GS15" i="69" s="1"/>
  <c r="GS16" i="69" s="1"/>
  <c r="GV11" i="69"/>
  <c r="GU11" i="69"/>
  <c r="GT11" i="69"/>
  <c r="GS11" i="69"/>
  <c r="GV9" i="69"/>
  <c r="GU9" i="69"/>
  <c r="GT9" i="69"/>
  <c r="GS9" i="69"/>
  <c r="AQ13" i="65"/>
  <c r="GV18" i="65"/>
  <c r="GU18" i="65"/>
  <c r="GT18" i="65"/>
  <c r="GS18" i="65"/>
  <c r="GV14" i="65"/>
  <c r="GV15" i="65" s="1"/>
  <c r="GV16" i="65" s="1"/>
  <c r="GU14" i="65"/>
  <c r="GU15" i="65" s="1"/>
  <c r="GU16" i="65" s="1"/>
  <c r="GT14" i="65"/>
  <c r="GT15" i="65" s="1"/>
  <c r="GT16" i="65" s="1"/>
  <c r="GS14" i="65"/>
  <c r="GS15" i="65" s="1"/>
  <c r="GS16" i="65" s="1"/>
  <c r="AF7" i="81"/>
  <c r="EO8" i="81"/>
  <c r="EO9" i="81" s="1"/>
  <c r="EO10" i="81" s="1"/>
  <c r="EN8" i="81"/>
  <c r="EN9" i="81" s="1"/>
  <c r="EN10" i="81" s="1"/>
  <c r="EM8" i="81"/>
  <c r="EM9" i="81" s="1"/>
  <c r="EM10" i="81" s="1"/>
  <c r="EL8" i="81"/>
  <c r="EL9" i="81" s="1"/>
  <c r="EL10" i="81" s="1"/>
  <c r="AB7" i="83"/>
  <c r="IX25" i="22" l="1"/>
  <c r="IX26" i="22" s="1"/>
  <c r="FC12" i="76"/>
  <c r="JA11" i="22"/>
  <c r="FE12" i="76"/>
  <c r="IY25" i="22"/>
  <c r="IY26" i="22" s="1"/>
  <c r="FB12" i="76"/>
  <c r="FD12" i="76"/>
  <c r="BT19" i="22"/>
  <c r="IZ25" i="22"/>
  <c r="IZ26" i="22" s="1"/>
  <c r="JU18" i="27"/>
  <c r="JU19" i="27" s="1"/>
  <c r="JV18" i="27"/>
  <c r="JV19" i="27" s="1"/>
  <c r="JA12" i="22"/>
  <c r="JA25" i="22"/>
  <c r="JA26" i="22" s="1"/>
  <c r="IZ12" i="22"/>
  <c r="IY12" i="22"/>
  <c r="IY13" i="22"/>
  <c r="IZ13" i="22"/>
  <c r="JA13" i="22"/>
  <c r="IX10" i="22"/>
  <c r="IX13" i="22"/>
  <c r="IX11" i="22"/>
  <c r="IY10" i="22"/>
  <c r="IZ10" i="22"/>
  <c r="IY11" i="22"/>
  <c r="IZ11" i="22"/>
  <c r="JX18" i="27" l="1"/>
  <c r="JX19" i="27" s="1"/>
  <c r="JW18" i="27"/>
  <c r="JW19" i="27" s="1"/>
  <c r="EJ8" i="83" l="1"/>
  <c r="EJ9" i="83" s="1"/>
  <c r="EJ10" i="83" s="1"/>
  <c r="EI8" i="83"/>
  <c r="EI9" i="83" s="1"/>
  <c r="EI10" i="83" s="1"/>
  <c r="EH8" i="83"/>
  <c r="EH9" i="83" s="1"/>
  <c r="EH10" i="83" s="1"/>
  <c r="EG8" i="83"/>
  <c r="EG9" i="83" s="1"/>
  <c r="EG10" i="83" s="1"/>
  <c r="AP13" i="65"/>
  <c r="BS22" i="22"/>
  <c r="BS11" i="27"/>
  <c r="BS14" i="27"/>
  <c r="BT6" i="27" l="1"/>
  <c r="BT16" i="27"/>
  <c r="AI10" i="76"/>
  <c r="AI7" i="76"/>
  <c r="AI11" i="76" s="1"/>
  <c r="IV19" i="22"/>
  <c r="IU19" i="22"/>
  <c r="BT9" i="22"/>
  <c r="BT10" i="22" s="1"/>
  <c r="BT29" i="22"/>
  <c r="BT23" i="22"/>
  <c r="BT25" i="22" s="1"/>
  <c r="BT26" i="22" s="1"/>
  <c r="BT27" i="22" s="1"/>
  <c r="BT7" i="22"/>
  <c r="BT12" i="22" s="1"/>
  <c r="AQ15" i="69"/>
  <c r="AQ16" i="69" s="1"/>
  <c r="AQ10" i="69"/>
  <c r="AQ9" i="69"/>
  <c r="AQ14" i="65"/>
  <c r="AQ15" i="65" s="1"/>
  <c r="AQ16" i="65" s="1"/>
  <c r="AF8" i="81"/>
  <c r="AF9" i="81" s="1"/>
  <c r="AF10" i="81" s="1"/>
  <c r="AB8" i="83"/>
  <c r="AB9" i="83" s="1"/>
  <c r="AB10" i="83" s="1"/>
  <c r="AI12" i="76" l="1"/>
  <c r="BT17" i="27"/>
  <c r="BT18" i="27" s="1"/>
  <c r="BT19" i="27" s="1"/>
  <c r="BT13" i="22"/>
  <c r="IT19" i="22" l="1"/>
  <c r="IS19" i="22" l="1"/>
  <c r="BS12" i="27" l="1"/>
  <c r="BS13" i="27"/>
  <c r="BS17" i="27"/>
  <c r="JT20" i="27"/>
  <c r="JS20" i="27"/>
  <c r="JR20" i="27"/>
  <c r="JQ20" i="27"/>
  <c r="JP20" i="27"/>
  <c r="JT17" i="27"/>
  <c r="JS17" i="27"/>
  <c r="JR17" i="27"/>
  <c r="JQ17" i="27"/>
  <c r="JP17" i="27"/>
  <c r="JP18" i="27" s="1"/>
  <c r="JP19" i="27" s="1"/>
  <c r="JT16" i="27"/>
  <c r="JS16" i="27"/>
  <c r="JR16" i="27"/>
  <c r="JQ16" i="27"/>
  <c r="JP16" i="27"/>
  <c r="JQ6" i="27"/>
  <c r="BS6" i="27"/>
  <c r="AH9" i="76"/>
  <c r="AH10" i="76" s="1"/>
  <c r="AH8" i="76"/>
  <c r="FA6" i="76"/>
  <c r="FA7" i="76" s="1"/>
  <c r="FA11" i="76" s="1"/>
  <c r="EZ6" i="76"/>
  <c r="EZ7" i="76" s="1"/>
  <c r="EZ11" i="76" s="1"/>
  <c r="EY6" i="76"/>
  <c r="EY7" i="76" s="1"/>
  <c r="EY11" i="76" s="1"/>
  <c r="EX6" i="76"/>
  <c r="EX7" i="76" s="1"/>
  <c r="EX11" i="76" s="1"/>
  <c r="EW6" i="76"/>
  <c r="EW7" i="76" s="1"/>
  <c r="EW11" i="76" s="1"/>
  <c r="FA10" i="76"/>
  <c r="EZ10" i="76"/>
  <c r="EY10" i="76"/>
  <c r="EX10" i="76"/>
  <c r="EW10" i="76"/>
  <c r="BS19" i="22"/>
  <c r="BS23" i="22"/>
  <c r="BS25" i="22" s="1"/>
  <c r="BS18" i="22"/>
  <c r="BS29" i="22"/>
  <c r="BS9" i="22"/>
  <c r="BS10" i="22" s="1"/>
  <c r="BS7" i="22"/>
  <c r="BS12" i="22" s="1"/>
  <c r="IW28" i="22"/>
  <c r="IV28" i="22"/>
  <c r="IU28" i="22"/>
  <c r="IT28" i="22"/>
  <c r="IS28" i="22"/>
  <c r="IW24" i="22"/>
  <c r="IV24" i="22"/>
  <c r="IU24" i="22"/>
  <c r="IT24" i="22"/>
  <c r="IS24" i="22"/>
  <c r="IW9" i="22"/>
  <c r="IW11" i="22" s="1"/>
  <c r="IV9" i="22"/>
  <c r="IV11" i="22" s="1"/>
  <c r="IU9" i="22"/>
  <c r="IU11" i="22" s="1"/>
  <c r="IT9" i="22"/>
  <c r="IT11" i="22" s="1"/>
  <c r="IS9" i="22"/>
  <c r="IS11" i="22" s="1"/>
  <c r="AP13" i="69"/>
  <c r="AP14" i="69" s="1"/>
  <c r="AP15" i="69" s="1"/>
  <c r="AP16" i="69" s="1"/>
  <c r="AP10" i="69"/>
  <c r="AP9" i="69"/>
  <c r="AP8" i="69"/>
  <c r="GR19" i="69"/>
  <c r="GQ19" i="69"/>
  <c r="GP19" i="69"/>
  <c r="GO19" i="69"/>
  <c r="GN19" i="69"/>
  <c r="GR14" i="69"/>
  <c r="GR15" i="69" s="1"/>
  <c r="GR16" i="69" s="1"/>
  <c r="GQ14" i="69"/>
  <c r="GQ15" i="69" s="1"/>
  <c r="GQ16" i="69" s="1"/>
  <c r="GP14" i="69"/>
  <c r="GP15" i="69" s="1"/>
  <c r="GP16" i="69" s="1"/>
  <c r="GO14" i="69"/>
  <c r="GO15" i="69" s="1"/>
  <c r="GO16" i="69" s="1"/>
  <c r="GN14" i="69"/>
  <c r="GN15" i="69" s="1"/>
  <c r="GN16" i="69" s="1"/>
  <c r="GR11" i="69"/>
  <c r="GQ11" i="69"/>
  <c r="GP11" i="69"/>
  <c r="GO11" i="69"/>
  <c r="GN11" i="69"/>
  <c r="GR9" i="69"/>
  <c r="GQ9" i="69"/>
  <c r="GP9" i="69"/>
  <c r="GO9" i="69"/>
  <c r="GN9" i="69"/>
  <c r="GR8" i="69"/>
  <c r="GQ8" i="69"/>
  <c r="GP8" i="69"/>
  <c r="GO8" i="69"/>
  <c r="GN8" i="69"/>
  <c r="AP14" i="65"/>
  <c r="AP15" i="65" s="1"/>
  <c r="AP16" i="65" s="1"/>
  <c r="GR18" i="65"/>
  <c r="GR14" i="65"/>
  <c r="GR15" i="65" s="1"/>
  <c r="GR16" i="65" s="1"/>
  <c r="GQ18" i="65"/>
  <c r="GP18" i="65"/>
  <c r="GO18" i="65"/>
  <c r="GN18" i="65"/>
  <c r="GQ14" i="65"/>
  <c r="GQ15" i="65" s="1"/>
  <c r="GQ16" i="65" s="1"/>
  <c r="GP14" i="65"/>
  <c r="GP15" i="65" s="1"/>
  <c r="GP16" i="65" s="1"/>
  <c r="GO14" i="65"/>
  <c r="GO15" i="65" s="1"/>
  <c r="GO16" i="65" s="1"/>
  <c r="GN14" i="65"/>
  <c r="GN15" i="65" s="1"/>
  <c r="GN16" i="65" s="1"/>
  <c r="AE7" i="81"/>
  <c r="AE8" i="81" s="1"/>
  <c r="EK8" i="81"/>
  <c r="EK9" i="81" s="1"/>
  <c r="EK10" i="81" s="1"/>
  <c r="EJ8" i="81"/>
  <c r="EJ9" i="81" s="1"/>
  <c r="EJ10" i="81" s="1"/>
  <c r="EI8" i="81"/>
  <c r="EI9" i="81" s="1"/>
  <c r="EI10" i="81" s="1"/>
  <c r="EH8" i="81"/>
  <c r="EH9" i="81" s="1"/>
  <c r="EH10" i="81" s="1"/>
  <c r="EG8" i="81"/>
  <c r="EG9" i="81" s="1"/>
  <c r="EG10" i="81" s="1"/>
  <c r="FA12" i="76" l="1"/>
  <c r="EZ12" i="76"/>
  <c r="EY12" i="76"/>
  <c r="IS12" i="22"/>
  <c r="IS25" i="22"/>
  <c r="IS26" i="22" s="1"/>
  <c r="EW12" i="76"/>
  <c r="JR6" i="27"/>
  <c r="JQ18" i="27"/>
  <c r="JQ19" i="27" s="1"/>
  <c r="BS18" i="27"/>
  <c r="BS19" i="27" s="1"/>
  <c r="BS16" i="27"/>
  <c r="EX12" i="76"/>
  <c r="BS26" i="22"/>
  <c r="BS27" i="22" s="1"/>
  <c r="IU12" i="22"/>
  <c r="IV12" i="22"/>
  <c r="IW12" i="22"/>
  <c r="BS13" i="22"/>
  <c r="IU25" i="22"/>
  <c r="IU26" i="22" s="1"/>
  <c r="IV25" i="22"/>
  <c r="IV26" i="22" s="1"/>
  <c r="IT12" i="22"/>
  <c r="IS13" i="22"/>
  <c r="IT25" i="22"/>
  <c r="IT26" i="22" s="1"/>
  <c r="IS10" i="22"/>
  <c r="IT13" i="22"/>
  <c r="IT10" i="22"/>
  <c r="IU13" i="22"/>
  <c r="IU10" i="22"/>
  <c r="IV13" i="22"/>
  <c r="IW25" i="22"/>
  <c r="IW26" i="22" s="1"/>
  <c r="IV10" i="22"/>
  <c r="IW13" i="22"/>
  <c r="IW10" i="22"/>
  <c r="AE9" i="81"/>
  <c r="AE10" i="81" s="1"/>
  <c r="JS6" i="27" l="1"/>
  <c r="JR18" i="27"/>
  <c r="JR19" i="27" s="1"/>
  <c r="JT18" i="27" l="1"/>
  <c r="JT19" i="27" s="1"/>
  <c r="JS18" i="27"/>
  <c r="JS19" i="27" s="1"/>
  <c r="AA7" i="83" l="1"/>
  <c r="AA8" i="83" s="1"/>
  <c r="EF8" i="83"/>
  <c r="EF9" i="83" s="1"/>
  <c r="EF10" i="83" s="1"/>
  <c r="EE8" i="83"/>
  <c r="EE9" i="83" s="1"/>
  <c r="EE10" i="83" s="1"/>
  <c r="ED8" i="83"/>
  <c r="ED9" i="83" s="1"/>
  <c r="ED10" i="83" s="1"/>
  <c r="EC8" i="83"/>
  <c r="EC9" i="83" s="1"/>
  <c r="EC10" i="83" s="1"/>
  <c r="EB8" i="83"/>
  <c r="EB9" i="83" s="1"/>
  <c r="EB10" i="83" s="1"/>
  <c r="AA6" i="83"/>
  <c r="IQ19" i="22"/>
  <c r="IR19" i="22"/>
  <c r="AA9" i="83" l="1"/>
  <c r="AA10" i="83" s="1"/>
  <c r="IP19" i="22"/>
  <c r="BR12" i="27"/>
  <c r="BR13" i="27"/>
  <c r="BR14" i="27"/>
  <c r="BR17" i="27" s="1"/>
  <c r="BR11" i="27"/>
  <c r="BR6" i="27"/>
  <c r="JO20" i="27"/>
  <c r="JN20" i="27"/>
  <c r="JM20" i="27"/>
  <c r="JL20" i="27"/>
  <c r="JO17" i="27"/>
  <c r="JN17" i="27"/>
  <c r="JM17" i="27"/>
  <c r="JL17" i="27"/>
  <c r="JO16" i="27"/>
  <c r="JN16" i="27"/>
  <c r="JM16" i="27"/>
  <c r="JL16" i="27"/>
  <c r="AG9" i="76"/>
  <c r="AG10" i="76" s="1"/>
  <c r="AG8" i="76"/>
  <c r="EP6" i="76"/>
  <c r="EP7" i="76" s="1"/>
  <c r="EQ6" i="76"/>
  <c r="EQ7" i="76" s="1"/>
  <c r="ER6" i="76"/>
  <c r="ER7" i="76" s="1"/>
  <c r="ES6" i="76"/>
  <c r="ES7" i="76" s="1"/>
  <c r="ES11" i="76" s="1"/>
  <c r="ET6" i="76"/>
  <c r="ET7" i="76" s="1"/>
  <c r="ET11" i="76" s="1"/>
  <c r="EU6" i="76"/>
  <c r="EU7" i="76" s="1"/>
  <c r="EU11" i="76" s="1"/>
  <c r="EV6" i="76"/>
  <c r="EV7" i="76" s="1"/>
  <c r="EV11" i="76" s="1"/>
  <c r="EO6" i="76"/>
  <c r="EO7" i="76" s="1"/>
  <c r="EV10" i="76"/>
  <c r="EU10" i="76"/>
  <c r="ET10" i="76"/>
  <c r="ES10" i="76"/>
  <c r="BR22" i="22"/>
  <c r="BR23" i="22" s="1"/>
  <c r="BR25" i="22" s="1"/>
  <c r="BR18" i="22"/>
  <c r="BR9" i="22"/>
  <c r="BR10" i="22" s="1"/>
  <c r="BR29" i="22"/>
  <c r="BR7" i="22"/>
  <c r="IO19" i="22"/>
  <c r="IL19" i="22"/>
  <c r="IM19" i="22"/>
  <c r="IN19" i="22"/>
  <c r="IP9" i="22"/>
  <c r="IP11" i="22" s="1"/>
  <c r="IQ9" i="22"/>
  <c r="IQ11" i="22" s="1"/>
  <c r="IR9" i="22"/>
  <c r="IR11" i="22" s="1"/>
  <c r="IO9" i="22"/>
  <c r="IO12" i="22" s="1"/>
  <c r="IR28" i="22"/>
  <c r="IQ28" i="22"/>
  <c r="IP28" i="22"/>
  <c r="IO28" i="22"/>
  <c r="IR24" i="22"/>
  <c r="IQ24" i="22"/>
  <c r="IP24" i="22"/>
  <c r="IO24" i="22"/>
  <c r="AO13" i="69"/>
  <c r="AO14" i="69" s="1"/>
  <c r="AO15" i="69" s="1"/>
  <c r="AO16" i="69" s="1"/>
  <c r="AO10" i="69"/>
  <c r="AO9" i="69"/>
  <c r="AO8" i="69"/>
  <c r="AN13" i="69"/>
  <c r="GM19" i="69"/>
  <c r="GM14" i="69"/>
  <c r="GM15" i="69" s="1"/>
  <c r="GM16" i="69" s="1"/>
  <c r="GM11" i="69"/>
  <c r="GM9" i="69"/>
  <c r="GM8" i="69"/>
  <c r="GL19" i="69"/>
  <c r="GK19" i="69"/>
  <c r="GJ19" i="69"/>
  <c r="GL14" i="69"/>
  <c r="GL15" i="69" s="1"/>
  <c r="GL16" i="69" s="1"/>
  <c r="GK14" i="69"/>
  <c r="GK15" i="69" s="1"/>
  <c r="GK16" i="69" s="1"/>
  <c r="GJ14" i="69"/>
  <c r="GJ15" i="69" s="1"/>
  <c r="GJ16" i="69" s="1"/>
  <c r="GL11" i="69"/>
  <c r="GK11" i="69"/>
  <c r="GJ11" i="69"/>
  <c r="GL9" i="69"/>
  <c r="GK9" i="69"/>
  <c r="GJ9" i="69"/>
  <c r="GL8" i="69"/>
  <c r="GK8" i="69"/>
  <c r="GJ8" i="69"/>
  <c r="AO13" i="65"/>
  <c r="AO14" i="65" s="1"/>
  <c r="AO9" i="65"/>
  <c r="GK9" i="65"/>
  <c r="GL9" i="65"/>
  <c r="GM9" i="65"/>
  <c r="GJ9" i="65"/>
  <c r="GM14" i="65"/>
  <c r="GL14" i="65"/>
  <c r="GK14" i="65"/>
  <c r="GJ14" i="65"/>
  <c r="AD7" i="81"/>
  <c r="AD8" i="81" s="1"/>
  <c r="AD6" i="81"/>
  <c r="EF8" i="81"/>
  <c r="EE8" i="81"/>
  <c r="ED8" i="81"/>
  <c r="EC8" i="81"/>
  <c r="EF6" i="81"/>
  <c r="GM18" i="65" s="1"/>
  <c r="EE6" i="81"/>
  <c r="GL18" i="65" s="1"/>
  <c r="ED6" i="81"/>
  <c r="GK18" i="65" s="1"/>
  <c r="EC6" i="81"/>
  <c r="GJ18" i="65" s="1"/>
  <c r="Z7" i="83"/>
  <c r="Z8" i="83" s="1"/>
  <c r="EA8" i="83"/>
  <c r="EA9" i="83" s="1"/>
  <c r="EA10" i="83" s="1"/>
  <c r="DZ8" i="83"/>
  <c r="DZ9" i="83" s="1"/>
  <c r="DZ10" i="83" s="1"/>
  <c r="DY8" i="83"/>
  <c r="DY9" i="83" s="1"/>
  <c r="DY10" i="83" s="1"/>
  <c r="Z6" i="83"/>
  <c r="BR19" i="22" l="1"/>
  <c r="IQ13" i="22"/>
  <c r="IP12" i="22"/>
  <c r="IQ25" i="22"/>
  <c r="IQ26" i="22" s="1"/>
  <c r="IR13" i="22"/>
  <c r="IQ12" i="22"/>
  <c r="IR25" i="22"/>
  <c r="IR26" i="22" s="1"/>
  <c r="IQ10" i="22"/>
  <c r="IO10" i="22"/>
  <c r="EU12" i="76"/>
  <c r="ET12" i="76"/>
  <c r="EV12" i="76"/>
  <c r="IO11" i="22"/>
  <c r="IR10" i="22"/>
  <c r="IR12" i="22"/>
  <c r="IO25" i="22"/>
  <c r="IO26" i="22" s="1"/>
  <c r="GL15" i="65"/>
  <c r="GL16" i="65" s="1"/>
  <c r="GM15" i="65"/>
  <c r="GM16" i="65" s="1"/>
  <c r="GK15" i="65"/>
  <c r="GK16" i="65" s="1"/>
  <c r="GJ15" i="65"/>
  <c r="GJ16" i="65" s="1"/>
  <c r="EE9" i="81"/>
  <c r="EE10" i="81" s="1"/>
  <c r="ED9" i="81"/>
  <c r="ED10" i="81" s="1"/>
  <c r="AD9" i="81"/>
  <c r="AD10" i="81" s="1"/>
  <c r="ES12" i="76"/>
  <c r="BR18" i="27"/>
  <c r="BR19" i="27" s="1"/>
  <c r="BR16" i="27"/>
  <c r="BR12" i="22"/>
  <c r="BR26" i="22"/>
  <c r="BR27" i="22" s="1"/>
  <c r="IP10" i="22"/>
  <c r="IP25" i="22"/>
  <c r="IP26" i="22" s="1"/>
  <c r="BR13" i="22"/>
  <c r="IO13" i="22"/>
  <c r="IP13" i="22"/>
  <c r="AO15" i="65"/>
  <c r="AO16" i="65" s="1"/>
  <c r="EF9" i="81"/>
  <c r="EF10" i="81" s="1"/>
  <c r="EC9" i="81"/>
  <c r="EC10" i="81" s="1"/>
  <c r="Z9" i="83"/>
  <c r="Z10" i="83" s="1"/>
  <c r="DX8" i="83" l="1"/>
  <c r="DX9" i="83" s="1"/>
  <c r="DX10" i="83" s="1"/>
  <c r="BQ6" i="27"/>
  <c r="IK19" i="22" l="1"/>
  <c r="BQ12" i="27"/>
  <c r="BQ13" i="27"/>
  <c r="BQ14" i="27"/>
  <c r="BQ16" i="27" s="1"/>
  <c r="BQ11" i="27"/>
  <c r="JK20" i="27"/>
  <c r="JJ20" i="27"/>
  <c r="JI20" i="27"/>
  <c r="JH20" i="27"/>
  <c r="JK17" i="27"/>
  <c r="JJ17" i="27"/>
  <c r="JI17" i="27"/>
  <c r="JH17" i="27"/>
  <c r="JK16" i="27"/>
  <c r="JJ16" i="27"/>
  <c r="JI16" i="27"/>
  <c r="JH16" i="27"/>
  <c r="AF9" i="76"/>
  <c r="AF10" i="76" s="1"/>
  <c r="AF8" i="76"/>
  <c r="EP11" i="76"/>
  <c r="EQ11" i="76"/>
  <c r="ER11" i="76"/>
  <c r="EO11" i="76"/>
  <c r="ER10" i="76"/>
  <c r="EQ10" i="76"/>
  <c r="EP10" i="76"/>
  <c r="EO10" i="76"/>
  <c r="BQ22" i="22"/>
  <c r="BQ23" i="22" s="1"/>
  <c r="BQ25" i="22" s="1"/>
  <c r="BQ18" i="22"/>
  <c r="BQ9" i="22"/>
  <c r="BQ10" i="22" s="1"/>
  <c r="BQ29" i="22"/>
  <c r="BQ7" i="22"/>
  <c r="IL9" i="22"/>
  <c r="IL12" i="22" s="1"/>
  <c r="IM9" i="22"/>
  <c r="IM11" i="22" s="1"/>
  <c r="IN9" i="22"/>
  <c r="IN12" i="22" s="1"/>
  <c r="IK9" i="22"/>
  <c r="IK11" i="22" s="1"/>
  <c r="IN28" i="22"/>
  <c r="IM28" i="22"/>
  <c r="IL28" i="22"/>
  <c r="IK28" i="22"/>
  <c r="IN24" i="22"/>
  <c r="IM24" i="22"/>
  <c r="IL24" i="22"/>
  <c r="IK24" i="22"/>
  <c r="AN14" i="69"/>
  <c r="AN15" i="69" s="1"/>
  <c r="AN16" i="69" s="1"/>
  <c r="AN8" i="69"/>
  <c r="AN10" i="69"/>
  <c r="AN9" i="69"/>
  <c r="GG8" i="69"/>
  <c r="GH8" i="69"/>
  <c r="GI8" i="69"/>
  <c r="GF8" i="69"/>
  <c r="GI19" i="69"/>
  <c r="GH19" i="69"/>
  <c r="GG19" i="69"/>
  <c r="GF19" i="69"/>
  <c r="GI14" i="69"/>
  <c r="GI15" i="69" s="1"/>
  <c r="GI16" i="69" s="1"/>
  <c r="GH14" i="69"/>
  <c r="GH15" i="69" s="1"/>
  <c r="GH16" i="69" s="1"/>
  <c r="GG14" i="69"/>
  <c r="GG15" i="69" s="1"/>
  <c r="GG16" i="69" s="1"/>
  <c r="GF14" i="69"/>
  <c r="GF15" i="69" s="1"/>
  <c r="GF16" i="69" s="1"/>
  <c r="GI11" i="69"/>
  <c r="GH11" i="69"/>
  <c r="GG11" i="69"/>
  <c r="GF11" i="69"/>
  <c r="GI9" i="69"/>
  <c r="GH9" i="69"/>
  <c r="GG9" i="69"/>
  <c r="GF9" i="69"/>
  <c r="AN13" i="65"/>
  <c r="AN14" i="65" s="1"/>
  <c r="GG9" i="65"/>
  <c r="GH9" i="65"/>
  <c r="GI9" i="65"/>
  <c r="GF9" i="65"/>
  <c r="GI14" i="65"/>
  <c r="GH14" i="65"/>
  <c r="GG14" i="65"/>
  <c r="GF14" i="65"/>
  <c r="AN9" i="65"/>
  <c r="AC7" i="81"/>
  <c r="AC8" i="81" s="1"/>
  <c r="AC6" i="81"/>
  <c r="DZ6" i="81"/>
  <c r="GG18" i="65" s="1"/>
  <c r="EA6" i="81"/>
  <c r="GH18" i="65" s="1"/>
  <c r="EB6" i="81"/>
  <c r="GI18" i="65" s="1"/>
  <c r="DY6" i="81"/>
  <c r="GF18" i="65" s="1"/>
  <c r="EB8" i="81"/>
  <c r="EB9" i="81" s="1"/>
  <c r="EB10" i="81" s="1"/>
  <c r="EA8" i="81"/>
  <c r="DZ8" i="81"/>
  <c r="DY8" i="81"/>
  <c r="Y7" i="83"/>
  <c r="Y8" i="83" s="1"/>
  <c r="Y6" i="83"/>
  <c r="Y9" i="83" l="1"/>
  <c r="Y10" i="83" s="1"/>
  <c r="BQ12" i="22"/>
  <c r="BQ26" i="22"/>
  <c r="BQ27" i="22" s="1"/>
  <c r="GF15" i="65"/>
  <c r="GF16" i="65" s="1"/>
  <c r="GH15" i="65"/>
  <c r="GH16" i="65" s="1"/>
  <c r="GG15" i="65"/>
  <c r="GG16" i="65" s="1"/>
  <c r="GI15" i="65"/>
  <c r="GI16" i="65" s="1"/>
  <c r="DZ9" i="81"/>
  <c r="DZ10" i="81" s="1"/>
  <c r="EA9" i="81"/>
  <c r="EA10" i="81" s="1"/>
  <c r="BQ19" i="22"/>
  <c r="EO12" i="76"/>
  <c r="JH18" i="27"/>
  <c r="JH19" i="27" s="1"/>
  <c r="JI18" i="27"/>
  <c r="JI19" i="27" s="1"/>
  <c r="BQ17" i="27"/>
  <c r="BQ18" i="27" s="1"/>
  <c r="BQ19" i="27" s="1"/>
  <c r="ER12" i="76"/>
  <c r="EQ12" i="76"/>
  <c r="EP12" i="76"/>
  <c r="IN13" i="22"/>
  <c r="IN10" i="22"/>
  <c r="IN11" i="22"/>
  <c r="IM12" i="22"/>
  <c r="BQ13" i="22"/>
  <c r="IN25" i="22"/>
  <c r="IN26" i="22" s="1"/>
  <c r="IL13" i="22"/>
  <c r="IM10" i="22"/>
  <c r="IL25" i="22"/>
  <c r="IL26" i="22" s="1"/>
  <c r="IM25" i="22"/>
  <c r="IM26" i="22" s="1"/>
  <c r="IL11" i="22"/>
  <c r="IK10" i="22"/>
  <c r="IK25" i="22"/>
  <c r="IK26" i="22" s="1"/>
  <c r="IK12" i="22"/>
  <c r="IK13" i="22"/>
  <c r="IL10" i="22"/>
  <c r="IM13" i="22"/>
  <c r="AN15" i="65"/>
  <c r="AN16" i="65" s="1"/>
  <c r="AC9" i="81"/>
  <c r="AC10" i="81" s="1"/>
  <c r="DY9" i="81"/>
  <c r="DY10" i="81" s="1"/>
  <c r="JJ18" i="27" l="1"/>
  <c r="JJ19" i="27" s="1"/>
  <c r="JK6" i="27"/>
  <c r="JK18" i="27" l="1"/>
  <c r="JK19" i="27" s="1"/>
  <c r="JL6" i="27"/>
  <c r="DW8" i="83"/>
  <c r="DW9" i="83" s="1"/>
  <c r="DW10" i="83" s="1"/>
  <c r="DV8" i="83"/>
  <c r="DV9" i="83" s="1"/>
  <c r="DV10" i="83" s="1"/>
  <c r="DU8" i="83"/>
  <c r="DU9" i="83" s="1"/>
  <c r="DU10" i="83" s="1"/>
  <c r="DT8" i="83"/>
  <c r="DT9" i="83" s="1"/>
  <c r="DT10" i="83" s="1"/>
  <c r="IJ19" i="22"/>
  <c r="II19" i="22"/>
  <c r="IH19" i="22"/>
  <c r="IG19" i="22"/>
  <c r="IF19" i="22"/>
  <c r="JM6" i="27" l="1"/>
  <c r="JL18" i="27"/>
  <c r="JL19" i="27" s="1"/>
  <c r="X7" i="83"/>
  <c r="X8" i="83" s="1"/>
  <c r="DS8" i="83"/>
  <c r="DS9" i="83" s="1"/>
  <c r="DS10" i="83" s="1"/>
  <c r="DR8" i="83"/>
  <c r="DR9" i="83" s="1"/>
  <c r="DR10" i="83" s="1"/>
  <c r="DQ8" i="83"/>
  <c r="DQ9" i="83" s="1"/>
  <c r="DQ10" i="83" s="1"/>
  <c r="DP8" i="83"/>
  <c r="DP9" i="83" s="1"/>
  <c r="DP10" i="83" s="1"/>
  <c r="DO8" i="83"/>
  <c r="DO9" i="83" s="1"/>
  <c r="DO10" i="83" s="1"/>
  <c r="X6" i="83"/>
  <c r="AB7" i="81"/>
  <c r="AB8" i="81" s="1"/>
  <c r="AB9" i="81" s="1"/>
  <c r="AB10" i="81" s="1"/>
  <c r="DX8" i="81"/>
  <c r="DX9" i="81" s="1"/>
  <c r="DX10" i="81" s="1"/>
  <c r="DW8" i="81"/>
  <c r="DW9" i="81" s="1"/>
  <c r="DW10" i="81" s="1"/>
  <c r="DV8" i="81"/>
  <c r="DV9" i="81" s="1"/>
  <c r="DV10" i="81" s="1"/>
  <c r="DU8" i="81"/>
  <c r="DU9" i="81" s="1"/>
  <c r="DU10" i="81" s="1"/>
  <c r="DT8" i="81"/>
  <c r="DT9" i="81" s="1"/>
  <c r="DT10" i="81" s="1"/>
  <c r="AM13" i="65"/>
  <c r="AM14" i="65" s="1"/>
  <c r="AM15" i="65" s="1"/>
  <c r="AM16" i="65" s="1"/>
  <c r="GE18" i="65"/>
  <c r="GD18" i="65"/>
  <c r="GC18" i="65"/>
  <c r="GB18" i="65"/>
  <c r="GA18" i="65"/>
  <c r="GE14" i="65"/>
  <c r="GE15" i="65" s="1"/>
  <c r="GE16" i="65" s="1"/>
  <c r="GD14" i="65"/>
  <c r="GD15" i="65" s="1"/>
  <c r="GD16" i="65" s="1"/>
  <c r="GC14" i="65"/>
  <c r="GC15" i="65" s="1"/>
  <c r="GC16" i="65" s="1"/>
  <c r="GB14" i="65"/>
  <c r="GB15" i="65" s="1"/>
  <c r="GB16" i="65" s="1"/>
  <c r="GA14" i="65"/>
  <c r="GA15" i="65" s="1"/>
  <c r="GA16" i="65" s="1"/>
  <c r="AM13" i="69"/>
  <c r="AM14" i="69" s="1"/>
  <c r="AM15" i="69" s="1"/>
  <c r="AM16" i="69" s="1"/>
  <c r="AM10" i="69"/>
  <c r="AM9" i="69"/>
  <c r="GE19" i="69"/>
  <c r="GD19" i="69"/>
  <c r="GE14" i="69"/>
  <c r="GE15" i="69" s="1"/>
  <c r="GE16" i="69" s="1"/>
  <c r="GD14" i="69"/>
  <c r="GD15" i="69" s="1"/>
  <c r="GD16" i="69" s="1"/>
  <c r="GE11" i="69"/>
  <c r="GD11" i="69"/>
  <c r="GE9" i="69"/>
  <c r="GD9" i="69"/>
  <c r="GC19" i="69"/>
  <c r="GB19" i="69"/>
  <c r="GA19" i="69"/>
  <c r="GC14" i="69"/>
  <c r="GC15" i="69" s="1"/>
  <c r="GC16" i="69" s="1"/>
  <c r="GB14" i="69"/>
  <c r="GB15" i="69" s="1"/>
  <c r="GB16" i="69" s="1"/>
  <c r="GA14" i="69"/>
  <c r="GA15" i="69" s="1"/>
  <c r="GA16" i="69" s="1"/>
  <c r="GC11" i="69"/>
  <c r="GB11" i="69"/>
  <c r="GA11" i="69"/>
  <c r="GC9" i="69"/>
  <c r="GB9" i="69"/>
  <c r="GA9" i="69"/>
  <c r="BP19" i="22"/>
  <c r="BP22" i="22"/>
  <c r="BP23" i="22" s="1"/>
  <c r="BP25" i="22" s="1"/>
  <c r="BP18" i="22"/>
  <c r="IE19" i="22"/>
  <c r="IJ28" i="22"/>
  <c r="II28" i="22"/>
  <c r="IH28" i="22"/>
  <c r="IG28" i="22"/>
  <c r="IF28" i="22"/>
  <c r="IJ24" i="22"/>
  <c r="II24" i="22"/>
  <c r="IH24" i="22"/>
  <c r="IG24" i="22"/>
  <c r="IF24" i="22"/>
  <c r="IJ9" i="22"/>
  <c r="IJ10" i="22" s="1"/>
  <c r="II9" i="22"/>
  <c r="II10" i="22" s="1"/>
  <c r="IH9" i="22"/>
  <c r="IH11" i="22" s="1"/>
  <c r="IG9" i="22"/>
  <c r="IG11" i="22" s="1"/>
  <c r="IF9" i="22"/>
  <c r="IF11" i="22" s="1"/>
  <c r="BP29" i="22"/>
  <c r="BP9" i="22"/>
  <c r="BP7" i="22"/>
  <c r="IF25" i="22" l="1"/>
  <c r="IF26" i="22" s="1"/>
  <c r="BP13" i="22"/>
  <c r="BP10" i="22"/>
  <c r="IH25" i="22"/>
  <c r="IH26" i="22" s="1"/>
  <c r="IG25" i="22"/>
  <c r="IG26" i="22" s="1"/>
  <c r="BP12" i="22"/>
  <c r="JN6" i="27"/>
  <c r="JM18" i="27"/>
  <c r="JM19" i="27" s="1"/>
  <c r="IJ12" i="22"/>
  <c r="II25" i="22"/>
  <c r="II26" i="22" s="1"/>
  <c r="IJ25" i="22"/>
  <c r="IJ26" i="22" s="1"/>
  <c r="II11" i="22"/>
  <c r="IF12" i="22"/>
  <c r="IG12" i="22"/>
  <c r="IH12" i="22"/>
  <c r="IJ11" i="22"/>
  <c r="II12" i="22"/>
  <c r="X9" i="83"/>
  <c r="X10" i="83" s="1"/>
  <c r="IF13" i="22"/>
  <c r="IF10" i="22"/>
  <c r="IG13" i="22"/>
  <c r="IG10" i="22"/>
  <c r="IH13" i="22"/>
  <c r="IH10" i="22"/>
  <c r="II13" i="22"/>
  <c r="IJ13" i="22"/>
  <c r="BP26" i="22"/>
  <c r="BP27" i="22" s="1"/>
  <c r="JO6" i="27" l="1"/>
  <c r="JO18" i="27" s="1"/>
  <c r="JO19" i="27" s="1"/>
  <c r="JN18" i="27"/>
  <c r="JN19" i="27" s="1"/>
  <c r="AE9" i="76"/>
  <c r="AE8" i="76"/>
  <c r="EN11" i="76"/>
  <c r="EM11" i="76"/>
  <c r="EL11" i="76"/>
  <c r="EK11" i="76"/>
  <c r="EJ11" i="76"/>
  <c r="EN10" i="76"/>
  <c r="EM10" i="76"/>
  <c r="EL10" i="76"/>
  <c r="EK10" i="76"/>
  <c r="EJ10" i="76"/>
  <c r="EN6" i="76"/>
  <c r="EM6" i="76"/>
  <c r="EL6" i="76"/>
  <c r="EK6" i="76"/>
  <c r="EJ6" i="76"/>
  <c r="EK12" i="76" l="1"/>
  <c r="AE10" i="76"/>
  <c r="EL12" i="76"/>
  <c r="EJ12" i="76"/>
  <c r="EM12" i="76"/>
  <c r="EN12" i="76"/>
  <c r="BP13" i="27" l="1"/>
  <c r="BP14" i="27"/>
  <c r="BP17" i="27" s="1"/>
  <c r="BP12" i="27"/>
  <c r="BP11" i="27"/>
  <c r="BP6" i="27"/>
  <c r="JG20" i="27"/>
  <c r="JF20" i="27"/>
  <c r="JE20" i="27"/>
  <c r="JD20" i="27"/>
  <c r="JC20" i="27"/>
  <c r="JG17" i="27"/>
  <c r="JF17" i="27"/>
  <c r="JE17" i="27"/>
  <c r="JD17" i="27"/>
  <c r="JC17" i="27"/>
  <c r="JG16" i="27"/>
  <c r="JF16" i="27"/>
  <c r="JE16" i="27"/>
  <c r="JD16" i="27"/>
  <c r="JC16" i="27"/>
  <c r="ID19" i="22"/>
  <c r="IC19" i="22"/>
  <c r="W7" i="83"/>
  <c r="W8" i="83" s="1"/>
  <c r="IB19" i="22"/>
  <c r="IA19" i="22"/>
  <c r="W6" i="83"/>
  <c r="DN8" i="83"/>
  <c r="DN9" i="83" s="1"/>
  <c r="DN10" i="83" s="1"/>
  <c r="DM8" i="83"/>
  <c r="DM9" i="83" s="1"/>
  <c r="DM10" i="83" s="1"/>
  <c r="DL8" i="83"/>
  <c r="DL9" i="83" s="1"/>
  <c r="DL10" i="83" s="1"/>
  <c r="DK8" i="83"/>
  <c r="DK9" i="83" s="1"/>
  <c r="DK10" i="83" s="1"/>
  <c r="AA7" i="81"/>
  <c r="AA8" i="81" s="1"/>
  <c r="AA9" i="81" s="1"/>
  <c r="AA10" i="81" s="1"/>
  <c r="DS8" i="81"/>
  <c r="DS9" i="81" s="1"/>
  <c r="DS10" i="81" s="1"/>
  <c r="DR8" i="81"/>
  <c r="DR9" i="81" s="1"/>
  <c r="DR10" i="81" s="1"/>
  <c r="DQ8" i="81"/>
  <c r="DQ9" i="81" s="1"/>
  <c r="DQ10" i="81" s="1"/>
  <c r="DP8" i="81"/>
  <c r="DP9" i="81" s="1"/>
  <c r="DP10" i="81" s="1"/>
  <c r="AL13" i="65"/>
  <c r="AL14" i="65" s="1"/>
  <c r="AL15" i="65" s="1"/>
  <c r="AL16" i="65" s="1"/>
  <c r="FX18" i="65"/>
  <c r="FZ18" i="65"/>
  <c r="FY18" i="65"/>
  <c r="FW18" i="65"/>
  <c r="FZ14" i="65"/>
  <c r="FZ15" i="65" s="1"/>
  <c r="FZ16" i="65" s="1"/>
  <c r="FY14" i="65"/>
  <c r="FY15" i="65" s="1"/>
  <c r="FY16" i="65" s="1"/>
  <c r="FX14" i="65"/>
  <c r="FX15" i="65" s="1"/>
  <c r="FX16" i="65" s="1"/>
  <c r="FW14" i="65"/>
  <c r="FW15" i="65" s="1"/>
  <c r="FW16" i="65" s="1"/>
  <c r="AL13" i="69"/>
  <c r="AL14" i="69" s="1"/>
  <c r="AL15" i="69" s="1"/>
  <c r="AL16" i="69" s="1"/>
  <c r="AL10" i="69"/>
  <c r="AL9" i="69"/>
  <c r="FZ19" i="69"/>
  <c r="FY19" i="69"/>
  <c r="FX19" i="69"/>
  <c r="FW19" i="69"/>
  <c r="FZ14" i="69"/>
  <c r="FZ15" i="69" s="1"/>
  <c r="FZ16" i="69" s="1"/>
  <c r="FY14" i="69"/>
  <c r="FY15" i="69" s="1"/>
  <c r="FY16" i="69" s="1"/>
  <c r="FX14" i="69"/>
  <c r="FX15" i="69" s="1"/>
  <c r="FX16" i="69" s="1"/>
  <c r="FW14" i="69"/>
  <c r="FW15" i="69" s="1"/>
  <c r="FW16" i="69" s="1"/>
  <c r="FZ11" i="69"/>
  <c r="FY11" i="69"/>
  <c r="FX11" i="69"/>
  <c r="FW11" i="69"/>
  <c r="FZ9" i="69"/>
  <c r="FY9" i="69"/>
  <c r="FX9" i="69"/>
  <c r="FW9" i="69"/>
  <c r="BO22" i="22"/>
  <c r="BO23" i="22" s="1"/>
  <c r="BO25" i="22" s="1"/>
  <c r="BO18" i="22"/>
  <c r="BO29" i="22"/>
  <c r="BO9" i="22"/>
  <c r="BO7" i="22"/>
  <c r="IE28" i="22"/>
  <c r="ID28" i="22"/>
  <c r="IC28" i="22"/>
  <c r="IB28" i="22"/>
  <c r="IE24" i="22"/>
  <c r="ID24" i="22"/>
  <c r="IC24" i="22"/>
  <c r="IB24" i="22"/>
  <c r="IE9" i="22"/>
  <c r="IE13" i="22" s="1"/>
  <c r="ID9" i="22"/>
  <c r="ID13" i="22" s="1"/>
  <c r="IC9" i="22"/>
  <c r="IC13" i="22" s="1"/>
  <c r="IB9" i="22"/>
  <c r="IB10" i="22" s="1"/>
  <c r="AD9" i="76"/>
  <c r="AD10" i="76" s="1"/>
  <c r="AD8" i="76"/>
  <c r="EI11" i="76"/>
  <c r="EH11" i="76"/>
  <c r="EG11" i="76"/>
  <c r="EF11" i="76"/>
  <c r="EI10" i="76"/>
  <c r="EH10" i="76"/>
  <c r="EG10" i="76"/>
  <c r="EF10" i="76"/>
  <c r="EI6" i="76"/>
  <c r="EH6" i="76"/>
  <c r="EG6" i="76"/>
  <c r="EF6" i="76"/>
  <c r="BO12" i="27"/>
  <c r="BO13" i="27"/>
  <c r="BO14" i="27"/>
  <c r="BO17" i="27" s="1"/>
  <c r="BO11" i="27"/>
  <c r="BO6" i="27"/>
  <c r="JB20" i="27"/>
  <c r="JA20" i="27"/>
  <c r="IZ20" i="27"/>
  <c r="IY20" i="27"/>
  <c r="JB17" i="27"/>
  <c r="JA17" i="27"/>
  <c r="IZ17" i="27"/>
  <c r="IY17" i="27"/>
  <c r="JB16" i="27"/>
  <c r="JA16" i="27"/>
  <c r="IZ16" i="27"/>
  <c r="IY16" i="27"/>
  <c r="HZ19" i="22"/>
  <c r="HY19" i="22"/>
  <c r="HX19" i="22"/>
  <c r="BO13" i="22" l="1"/>
  <c r="BO10" i="22"/>
  <c r="ID25" i="22"/>
  <c r="ID26" i="22" s="1"/>
  <c r="ID12" i="22"/>
  <c r="BO12" i="22"/>
  <c r="IE12" i="22"/>
  <c r="IE25" i="22"/>
  <c r="IE26" i="22" s="1"/>
  <c r="BO19" i="22"/>
  <c r="IE10" i="22"/>
  <c r="IB11" i="22"/>
  <c r="IC11" i="22"/>
  <c r="ID11" i="22"/>
  <c r="ID10" i="22"/>
  <c r="IE11" i="22"/>
  <c r="IB12" i="22"/>
  <c r="IC12" i="22"/>
  <c r="BP18" i="27"/>
  <c r="BP19" i="27" s="1"/>
  <c r="BP16" i="27"/>
  <c r="AD11" i="76"/>
  <c r="AD12" i="76" s="1"/>
  <c r="BO18" i="27"/>
  <c r="BO19" i="27" s="1"/>
  <c r="W9" i="83"/>
  <c r="W10" i="83" s="1"/>
  <c r="IB25" i="22"/>
  <c r="IB26" i="22" s="1"/>
  <c r="IB13" i="22"/>
  <c r="IC25" i="22"/>
  <c r="IC26" i="22" s="1"/>
  <c r="BO26" i="22"/>
  <c r="BO27" i="22" s="1"/>
  <c r="IC10" i="22"/>
  <c r="EH12" i="76"/>
  <c r="EI12" i="76"/>
  <c r="EG12" i="76"/>
  <c r="EF12" i="76"/>
  <c r="BO16" i="27"/>
  <c r="BN14" i="27"/>
  <c r="BN17" i="27" s="1"/>
  <c r="BN12" i="27"/>
  <c r="BN11" i="27"/>
  <c r="IX20" i="27"/>
  <c r="IW20" i="27"/>
  <c r="IV20" i="27"/>
  <c r="IU20" i="27"/>
  <c r="IX17" i="27"/>
  <c r="IW17" i="27"/>
  <c r="IV17" i="27"/>
  <c r="IU17" i="27"/>
  <c r="IX16" i="27"/>
  <c r="IW16" i="27"/>
  <c r="IV16" i="27"/>
  <c r="IU16" i="27"/>
  <c r="IT20" i="27"/>
  <c r="IT17" i="27"/>
  <c r="IT16" i="27"/>
  <c r="BN6" i="27"/>
  <c r="AB9" i="76"/>
  <c r="AB8" i="76"/>
  <c r="AC9" i="76"/>
  <c r="AC11" i="76" s="1"/>
  <c r="AC8" i="76"/>
  <c r="EE11" i="76"/>
  <c r="ED11" i="76"/>
  <c r="EC11" i="76"/>
  <c r="EB11" i="76"/>
  <c r="EE10" i="76"/>
  <c r="ED10" i="76"/>
  <c r="EC10" i="76"/>
  <c r="EB10" i="76"/>
  <c r="EE6" i="76"/>
  <c r="ED6" i="76"/>
  <c r="EC6" i="76"/>
  <c r="EB6" i="76"/>
  <c r="EA11" i="76"/>
  <c r="EA10" i="76"/>
  <c r="EA6" i="76"/>
  <c r="HU19" i="22"/>
  <c r="HV19" i="22"/>
  <c r="HW19" i="22"/>
  <c r="BN19" i="22" s="1"/>
  <c r="BN22" i="22"/>
  <c r="BN23" i="22" s="1"/>
  <c r="BN25" i="22" s="1"/>
  <c r="BN18" i="22"/>
  <c r="IA28" i="22"/>
  <c r="HZ28" i="22"/>
  <c r="HY28" i="22"/>
  <c r="HX28" i="22"/>
  <c r="IA24" i="22"/>
  <c r="HZ24" i="22"/>
  <c r="HY24" i="22"/>
  <c r="HX24" i="22"/>
  <c r="IA9" i="22"/>
  <c r="IA13" i="22" s="1"/>
  <c r="HZ9" i="22"/>
  <c r="HZ13" i="22" s="1"/>
  <c r="HY9" i="22"/>
  <c r="HY13" i="22" s="1"/>
  <c r="HX9" i="22"/>
  <c r="HX13" i="22" s="1"/>
  <c r="HW28" i="22"/>
  <c r="HW24" i="22"/>
  <c r="HW9" i="22"/>
  <c r="HW13" i="22" s="1"/>
  <c r="BN29" i="22"/>
  <c r="BN9" i="22"/>
  <c r="BN10" i="22" s="1"/>
  <c r="BN7" i="22"/>
  <c r="BN12" i="22" s="1"/>
  <c r="AK13" i="69"/>
  <c r="AK14" i="69" s="1"/>
  <c r="AK15" i="69" s="1"/>
  <c r="AK16" i="69" s="1"/>
  <c r="FV19" i="69"/>
  <c r="FU19" i="69"/>
  <c r="FT19" i="69"/>
  <c r="FS19" i="69"/>
  <c r="FV14" i="69"/>
  <c r="FV15" i="69" s="1"/>
  <c r="FV16" i="69" s="1"/>
  <c r="FU14" i="69"/>
  <c r="FU15" i="69" s="1"/>
  <c r="FU16" i="69" s="1"/>
  <c r="FT14" i="69"/>
  <c r="FT15" i="69" s="1"/>
  <c r="FT16" i="69" s="1"/>
  <c r="FS14" i="69"/>
  <c r="FS15" i="69" s="1"/>
  <c r="FS16" i="69" s="1"/>
  <c r="FV11" i="69"/>
  <c r="FU11" i="69"/>
  <c r="FT11" i="69"/>
  <c r="FS11" i="69"/>
  <c r="FV9" i="69"/>
  <c r="FU9" i="69"/>
  <c r="FT9" i="69"/>
  <c r="FS9" i="69"/>
  <c r="FR19" i="69"/>
  <c r="FR14" i="69"/>
  <c r="FR15" i="69" s="1"/>
  <c r="FR16" i="69" s="1"/>
  <c r="FR11" i="69"/>
  <c r="FR9" i="69"/>
  <c r="AK10" i="69"/>
  <c r="AK9" i="69"/>
  <c r="AK13" i="65"/>
  <c r="AK14" i="65" s="1"/>
  <c r="AK15" i="65" s="1"/>
  <c r="AK16" i="65" s="1"/>
  <c r="FV18" i="65"/>
  <c r="FU18" i="65"/>
  <c r="FT18" i="65"/>
  <c r="FS18" i="65"/>
  <c r="FV14" i="65"/>
  <c r="FV15" i="65" s="1"/>
  <c r="FV16" i="65" s="1"/>
  <c r="FU14" i="65"/>
  <c r="FU15" i="65" s="1"/>
  <c r="FU16" i="65" s="1"/>
  <c r="FT14" i="65"/>
  <c r="FT15" i="65" s="1"/>
  <c r="FT16" i="65" s="1"/>
  <c r="FS14" i="65"/>
  <c r="FS15" i="65" s="1"/>
  <c r="FS16" i="65" s="1"/>
  <c r="FR18" i="65"/>
  <c r="FR14" i="65"/>
  <c r="FR15" i="65" s="1"/>
  <c r="FR16" i="65" s="1"/>
  <c r="Z7" i="81"/>
  <c r="Z8" i="81" s="1"/>
  <c r="Z9" i="81" s="1"/>
  <c r="Z10" i="81" s="1"/>
  <c r="DO8" i="81"/>
  <c r="DO9" i="81" s="1"/>
  <c r="DO10" i="81" s="1"/>
  <c r="DN8" i="81"/>
  <c r="DN9" i="81" s="1"/>
  <c r="DN10" i="81" s="1"/>
  <c r="DM8" i="81"/>
  <c r="DM9" i="81" s="1"/>
  <c r="DM10" i="81" s="1"/>
  <c r="DL8" i="81"/>
  <c r="DL9" i="81" s="1"/>
  <c r="DL10" i="81" s="1"/>
  <c r="DK8" i="81"/>
  <c r="DK9" i="81" s="1"/>
  <c r="DK10" i="81" s="1"/>
  <c r="V7" i="83"/>
  <c r="V8" i="83" s="1"/>
  <c r="V6" i="83"/>
  <c r="AU11" i="69" l="1"/>
  <c r="AT11" i="69"/>
  <c r="EC12" i="76"/>
  <c r="IA25" i="22"/>
  <c r="IA26" i="22" s="1"/>
  <c r="HZ25" i="22"/>
  <c r="HZ26" i="22" s="1"/>
  <c r="HX11" i="22"/>
  <c r="HZ11" i="22"/>
  <c r="IA10" i="22"/>
  <c r="HY12" i="22"/>
  <c r="HX10" i="22"/>
  <c r="HZ10" i="22"/>
  <c r="IA11" i="22"/>
  <c r="HX25" i="22"/>
  <c r="HX26" i="22" s="1"/>
  <c r="HY10" i="22"/>
  <c r="HY11" i="22"/>
  <c r="HX12" i="22"/>
  <c r="HY25" i="22"/>
  <c r="HY26" i="22" s="1"/>
  <c r="EB12" i="76"/>
  <c r="BN18" i="27"/>
  <c r="BN19" i="27" s="1"/>
  <c r="BN16" i="27"/>
  <c r="EA12" i="76"/>
  <c r="ED12" i="76"/>
  <c r="EE12" i="76"/>
  <c r="AC10" i="76"/>
  <c r="AC12" i="76" s="1"/>
  <c r="HZ12" i="22"/>
  <c r="IA12" i="22"/>
  <c r="BN26" i="22"/>
  <c r="BN27" i="22" s="1"/>
  <c r="HW10" i="22"/>
  <c r="HW12" i="22"/>
  <c r="HW25" i="22"/>
  <c r="HW26" i="22" s="1"/>
  <c r="HW11" i="22"/>
  <c r="BN13" i="22"/>
  <c r="V9" i="83"/>
  <c r="V10" i="83" s="1"/>
  <c r="DJ8" i="83" l="1"/>
  <c r="DJ9" i="83" s="1"/>
  <c r="DJ10" i="83" s="1"/>
  <c r="DI8" i="83"/>
  <c r="DI9" i="83" s="1"/>
  <c r="DI10" i="83" s="1"/>
  <c r="DH8" i="83"/>
  <c r="DH9" i="83" s="1"/>
  <c r="DH10" i="83" s="1"/>
  <c r="DG8" i="83"/>
  <c r="DG9" i="83" s="1"/>
  <c r="DG10" i="83" s="1"/>
  <c r="DF8" i="83"/>
  <c r="DF9" i="83" s="1"/>
  <c r="DF10" i="83" s="1"/>
  <c r="FN18" i="65" l="1"/>
  <c r="FO18" i="65"/>
  <c r="FP18" i="65"/>
  <c r="FQ18" i="65"/>
  <c r="HT19" i="22"/>
  <c r="HS19" i="22" l="1"/>
  <c r="BM19" i="22" s="1"/>
  <c r="BM14" i="27"/>
  <c r="BM12" i="27"/>
  <c r="BM11" i="27"/>
  <c r="IS20" i="27"/>
  <c r="IR20" i="27"/>
  <c r="IQ20" i="27"/>
  <c r="IP20" i="27"/>
  <c r="IS17" i="27"/>
  <c r="IR17" i="27"/>
  <c r="IQ17" i="27"/>
  <c r="IP17" i="27"/>
  <c r="IS16" i="27"/>
  <c r="IR16" i="27"/>
  <c r="IQ16" i="27"/>
  <c r="IP16" i="27"/>
  <c r="DX6" i="76"/>
  <c r="DY6" i="76"/>
  <c r="DZ6" i="76"/>
  <c r="DW6" i="76"/>
  <c r="DZ11" i="76"/>
  <c r="DY11" i="76"/>
  <c r="DX11" i="76"/>
  <c r="DW11" i="76"/>
  <c r="DZ10" i="76"/>
  <c r="DY10" i="76"/>
  <c r="DX10" i="76"/>
  <c r="DW10" i="76"/>
  <c r="BM22" i="22"/>
  <c r="BM18" i="22"/>
  <c r="HV28" i="22"/>
  <c r="HU28" i="22"/>
  <c r="HT28" i="22"/>
  <c r="HS28" i="22"/>
  <c r="HV24" i="22"/>
  <c r="HU24" i="22"/>
  <c r="HT24" i="22"/>
  <c r="HS24" i="22"/>
  <c r="HV9" i="22"/>
  <c r="HV11" i="22" s="1"/>
  <c r="HU9" i="22"/>
  <c r="HT9" i="22"/>
  <c r="HS9" i="22"/>
  <c r="HS11" i="22" s="1"/>
  <c r="HR19" i="22"/>
  <c r="AJ13" i="69"/>
  <c r="FQ19" i="69"/>
  <c r="FP19" i="69"/>
  <c r="FO19" i="69"/>
  <c r="FN19" i="69"/>
  <c r="FQ14" i="69"/>
  <c r="FQ15" i="69" s="1"/>
  <c r="FQ16" i="69" s="1"/>
  <c r="FP14" i="69"/>
  <c r="FP15" i="69" s="1"/>
  <c r="FP16" i="69" s="1"/>
  <c r="FO14" i="69"/>
  <c r="FO15" i="69" s="1"/>
  <c r="FO16" i="69" s="1"/>
  <c r="FN14" i="69"/>
  <c r="FN15" i="69" s="1"/>
  <c r="FN16" i="69" s="1"/>
  <c r="FQ11" i="69"/>
  <c r="AS11" i="69" s="1"/>
  <c r="FP11" i="69"/>
  <c r="AR11" i="69" s="1"/>
  <c r="FO11" i="69"/>
  <c r="AQ11" i="69" s="1"/>
  <c r="FN11" i="69"/>
  <c r="AP11" i="69" s="1"/>
  <c r="FQ9" i="69"/>
  <c r="FP9" i="69"/>
  <c r="FO9" i="69"/>
  <c r="FN9" i="69"/>
  <c r="AJ13" i="65"/>
  <c r="FQ14" i="65"/>
  <c r="FQ15" i="65" s="1"/>
  <c r="FQ16" i="65" s="1"/>
  <c r="FP14" i="65"/>
  <c r="FP15" i="65" s="1"/>
  <c r="FP16" i="65" s="1"/>
  <c r="FO14" i="65"/>
  <c r="FO15" i="65" s="1"/>
  <c r="FO16" i="65" s="1"/>
  <c r="FN14" i="65"/>
  <c r="FN15" i="65" s="1"/>
  <c r="FN16" i="65" s="1"/>
  <c r="Y7" i="81"/>
  <c r="HT25" i="22" l="1"/>
  <c r="HT26" i="22" s="1"/>
  <c r="DZ12" i="76"/>
  <c r="DX12" i="76"/>
  <c r="DY12" i="76"/>
  <c r="HU25" i="22"/>
  <c r="HU26" i="22" s="1"/>
  <c r="HV25" i="22"/>
  <c r="HV26" i="22" s="1"/>
  <c r="HV12" i="22"/>
  <c r="DW12" i="76"/>
  <c r="HS13" i="22"/>
  <c r="HS10" i="22"/>
  <c r="HT10" i="22"/>
  <c r="HU11" i="22"/>
  <c r="HU10" i="22"/>
  <c r="HV10" i="22"/>
  <c r="HS12" i="22"/>
  <c r="HS25" i="22"/>
  <c r="HS26" i="22" s="1"/>
  <c r="HT13" i="22"/>
  <c r="HU13" i="22"/>
  <c r="HV13" i="22"/>
  <c r="HT11" i="22"/>
  <c r="HT12" i="22"/>
  <c r="HU12" i="22"/>
  <c r="DJ8" i="81" l="1"/>
  <c r="DJ9" i="81" s="1"/>
  <c r="DJ10" i="81" s="1"/>
  <c r="DI8" i="81"/>
  <c r="DI9" i="81" s="1"/>
  <c r="DI10" i="81" s="1"/>
  <c r="DH8" i="81"/>
  <c r="DH9" i="81" s="1"/>
  <c r="DH10" i="81" s="1"/>
  <c r="DG8" i="81"/>
  <c r="DG9" i="81" s="1"/>
  <c r="DG10" i="81" s="1"/>
  <c r="U7" i="83"/>
  <c r="U8" i="83" s="1"/>
  <c r="DE8" i="83"/>
  <c r="DE9" i="83" s="1"/>
  <c r="DE10" i="83" s="1"/>
  <c r="DD8" i="83"/>
  <c r="DD9" i="83" s="1"/>
  <c r="DD10" i="83" s="1"/>
  <c r="DC8" i="83"/>
  <c r="DC9" i="83" s="1"/>
  <c r="DC10" i="83" s="1"/>
  <c r="DB8" i="83"/>
  <c r="DB9" i="83" s="1"/>
  <c r="DB10" i="83" s="1"/>
  <c r="BM6" i="27"/>
  <c r="BM17" i="27"/>
  <c r="AB11" i="76"/>
  <c r="AB10" i="76"/>
  <c r="BM29" i="22"/>
  <c r="BM23" i="22"/>
  <c r="BM25" i="22" s="1"/>
  <c r="BM9" i="22"/>
  <c r="BM7" i="22"/>
  <c r="AJ14" i="69"/>
  <c r="AJ15" i="69" s="1"/>
  <c r="AJ16" i="69" s="1"/>
  <c r="AJ10" i="69"/>
  <c r="AJ9" i="69"/>
  <c r="AJ14" i="65"/>
  <c r="AJ15" i="65" s="1"/>
  <c r="AJ16" i="65" s="1"/>
  <c r="Y8" i="81"/>
  <c r="Y9" i="81" s="1"/>
  <c r="Y10" i="81" s="1"/>
  <c r="BM13" i="22" l="1"/>
  <c r="BM10" i="22"/>
  <c r="BM12" i="22"/>
  <c r="BM18" i="27"/>
  <c r="BM19" i="27" s="1"/>
  <c r="BM16" i="27"/>
  <c r="AB12" i="76"/>
  <c r="BM26" i="22"/>
  <c r="BM27" i="22" s="1"/>
  <c r="U9" i="83" l="1"/>
  <c r="U10" i="83" s="1"/>
  <c r="HQ19" i="22"/>
  <c r="HP19" i="22"/>
  <c r="BL14" i="27"/>
  <c r="BL12" i="27"/>
  <c r="BL11" i="27"/>
  <c r="IO20" i="27"/>
  <c r="IN20" i="27"/>
  <c r="IO17" i="27"/>
  <c r="IN17" i="27"/>
  <c r="IO16" i="27"/>
  <c r="IN16" i="27"/>
  <c r="IM20" i="27"/>
  <c r="IM17" i="27"/>
  <c r="IM16" i="27"/>
  <c r="IL20" i="27"/>
  <c r="IL17" i="27"/>
  <c r="IL16" i="27"/>
  <c r="AA9" i="76"/>
  <c r="AA8" i="76"/>
  <c r="DV11" i="76"/>
  <c r="DU11" i="76"/>
  <c r="DT11" i="76"/>
  <c r="DV10" i="76"/>
  <c r="DU10" i="76"/>
  <c r="DT10" i="76"/>
  <c r="DV6" i="76"/>
  <c r="DU6" i="76"/>
  <c r="DT6" i="76"/>
  <c r="DS11" i="76"/>
  <c r="DS10" i="76"/>
  <c r="DS6" i="76"/>
  <c r="BL22" i="22"/>
  <c r="BL23" i="22" s="1"/>
  <c r="BL25" i="22" s="1"/>
  <c r="BL18" i="22"/>
  <c r="HR28" i="22"/>
  <c r="HQ28" i="22"/>
  <c r="HP28" i="22"/>
  <c r="HR24" i="22"/>
  <c r="HQ24" i="22"/>
  <c r="HP24" i="22"/>
  <c r="HR9" i="22"/>
  <c r="HR12" i="22" s="1"/>
  <c r="HQ9" i="22"/>
  <c r="HQ13" i="22" s="1"/>
  <c r="HP9" i="22"/>
  <c r="HP13" i="22" s="1"/>
  <c r="HN10" i="22"/>
  <c r="HO28" i="22"/>
  <c r="HO24" i="22"/>
  <c r="HO19" i="22"/>
  <c r="HO9" i="22"/>
  <c r="HO11" i="22" s="1"/>
  <c r="AI13" i="69"/>
  <c r="AI14" i="69" s="1"/>
  <c r="FM19" i="69"/>
  <c r="FL19" i="69"/>
  <c r="FK19" i="69"/>
  <c r="FM14" i="69"/>
  <c r="FM15" i="69" s="1"/>
  <c r="FM16" i="69" s="1"/>
  <c r="FL14" i="69"/>
  <c r="FL15" i="69" s="1"/>
  <c r="FL16" i="69" s="1"/>
  <c r="FK14" i="69"/>
  <c r="FK15" i="69" s="1"/>
  <c r="FK16" i="69" s="1"/>
  <c r="FM11" i="69"/>
  <c r="AO11" i="69" s="1"/>
  <c r="FL11" i="69"/>
  <c r="FK11" i="69"/>
  <c r="AM11" i="69" s="1"/>
  <c r="FM9" i="69"/>
  <c r="FL9" i="69"/>
  <c r="FK9" i="69"/>
  <c r="FJ19" i="69"/>
  <c r="FJ14" i="69"/>
  <c r="FJ15" i="69" s="1"/>
  <c r="FJ16" i="69" s="1"/>
  <c r="FJ11" i="69"/>
  <c r="AL11" i="69" s="1"/>
  <c r="FJ9" i="69"/>
  <c r="AI13" i="65"/>
  <c r="AI14" i="65" s="1"/>
  <c r="AI15" i="65" s="1"/>
  <c r="AI16" i="65" s="1"/>
  <c r="FM18" i="65"/>
  <c r="FL18" i="65"/>
  <c r="FK18" i="65"/>
  <c r="FM14" i="65"/>
  <c r="FM15" i="65" s="1"/>
  <c r="FM16" i="65" s="1"/>
  <c r="FL14" i="65"/>
  <c r="FL15" i="65" s="1"/>
  <c r="FL16" i="65" s="1"/>
  <c r="FK14" i="65"/>
  <c r="FK15" i="65" s="1"/>
  <c r="FK16" i="65" s="1"/>
  <c r="FJ18" i="65"/>
  <c r="FJ14" i="65"/>
  <c r="FJ15" i="65" s="1"/>
  <c r="FJ16" i="65" s="1"/>
  <c r="X7" i="81"/>
  <c r="X8" i="81" s="1"/>
  <c r="X6" i="81"/>
  <c r="DF8" i="81"/>
  <c r="DF9" i="81" s="1"/>
  <c r="DF10" i="81" s="1"/>
  <c r="DE8" i="81"/>
  <c r="DE9" i="81" s="1"/>
  <c r="DE10" i="81" s="1"/>
  <c r="DD8" i="81"/>
  <c r="DD9" i="81" s="1"/>
  <c r="DD10" i="81" s="1"/>
  <c r="DC8" i="81"/>
  <c r="DC9" i="81" s="1"/>
  <c r="DC10" i="81" s="1"/>
  <c r="T7" i="83"/>
  <c r="T8" i="83" s="1"/>
  <c r="T6" i="83"/>
  <c r="DA8" i="83"/>
  <c r="DA9" i="83" s="1"/>
  <c r="DA10" i="83" s="1"/>
  <c r="CZ8" i="83"/>
  <c r="CZ9" i="83" s="1"/>
  <c r="CZ10" i="83" s="1"/>
  <c r="CY8" i="83"/>
  <c r="CY9" i="83" s="1"/>
  <c r="CY10" i="83" s="1"/>
  <c r="CX8" i="83"/>
  <c r="CX9" i="83" s="1"/>
  <c r="CX10" i="83" s="1"/>
  <c r="FI18" i="65"/>
  <c r="FI14" i="65"/>
  <c r="FI15" i="65" s="1"/>
  <c r="FI16" i="65" s="1"/>
  <c r="DB8" i="81"/>
  <c r="DB9" i="81" s="1"/>
  <c r="DB10" i="81" s="1"/>
  <c r="CW8" i="83"/>
  <c r="CW9" i="83" s="1"/>
  <c r="CW10" i="83" s="1"/>
  <c r="FF19" i="69"/>
  <c r="AI9" i="69"/>
  <c r="AH10" i="69"/>
  <c r="FI19" i="69"/>
  <c r="FI14" i="69"/>
  <c r="FI15" i="69" s="1"/>
  <c r="FI16" i="69" s="1"/>
  <c r="FI11" i="69"/>
  <c r="FI9" i="69"/>
  <c r="AI10" i="69"/>
  <c r="BL9" i="22"/>
  <c r="BL29" i="22"/>
  <c r="BL7" i="22"/>
  <c r="BL12" i="22" s="1"/>
  <c r="HN13" i="22"/>
  <c r="HN28" i="22"/>
  <c r="HN24" i="22"/>
  <c r="HN25" i="22" s="1"/>
  <c r="HN26" i="22" s="1"/>
  <c r="HN19" i="22"/>
  <c r="BL13" i="22" l="1"/>
  <c r="BL10" i="22"/>
  <c r="AN11" i="69"/>
  <c r="AK11" i="69"/>
  <c r="DS12" i="76"/>
  <c r="BL19" i="22"/>
  <c r="HR13" i="22"/>
  <c r="DT12" i="76"/>
  <c r="DU12" i="76"/>
  <c r="DV12" i="76"/>
  <c r="HP10" i="22"/>
  <c r="HQ10" i="22"/>
  <c r="HR10" i="22"/>
  <c r="HP25" i="22"/>
  <c r="HP26" i="22" s="1"/>
  <c r="HP11" i="22"/>
  <c r="HQ25" i="22"/>
  <c r="HQ26" i="22" s="1"/>
  <c r="HQ11" i="22"/>
  <c r="HR25" i="22"/>
  <c r="HR26" i="22" s="1"/>
  <c r="HR11" i="22"/>
  <c r="HP12" i="22"/>
  <c r="HQ12" i="22"/>
  <c r="HO10" i="22"/>
  <c r="HO12" i="22"/>
  <c r="HO13" i="22"/>
  <c r="HO25" i="22"/>
  <c r="HO26" i="22" s="1"/>
  <c r="X9" i="81"/>
  <c r="X10" i="81" s="1"/>
  <c r="T9" i="83"/>
  <c r="T10" i="83" s="1"/>
  <c r="AI15" i="69"/>
  <c r="AI16" i="69" s="1"/>
  <c r="BL26" i="22"/>
  <c r="BL27" i="22" s="1"/>
  <c r="HN11" i="22"/>
  <c r="HN12" i="22"/>
  <c r="AA11" i="76" l="1"/>
  <c r="DR11" i="76"/>
  <c r="DR10" i="76"/>
  <c r="DR6" i="76"/>
  <c r="BL17" i="27"/>
  <c r="BL6" i="27"/>
  <c r="IK20" i="27"/>
  <c r="IK17" i="27"/>
  <c r="IK16" i="27"/>
  <c r="AH13" i="69"/>
  <c r="AG13" i="69"/>
  <c r="IJ20" i="27"/>
  <c r="II20" i="27"/>
  <c r="IJ17" i="27"/>
  <c r="II17" i="27"/>
  <c r="IJ16" i="27"/>
  <c r="II16" i="27"/>
  <c r="BL18" i="27" l="1"/>
  <c r="BL19" i="27" s="1"/>
  <c r="DR12" i="76"/>
  <c r="AA10" i="76"/>
  <c r="AA12" i="76" s="1"/>
  <c r="BL16" i="27"/>
  <c r="DQ11" i="76"/>
  <c r="DP11" i="76"/>
  <c r="DQ10" i="76"/>
  <c r="DQ12" i="76" s="1"/>
  <c r="DP10" i="76"/>
  <c r="DQ6" i="76"/>
  <c r="DP6" i="76"/>
  <c r="HM28" i="22"/>
  <c r="HM24" i="22"/>
  <c r="HM25" i="22" s="1"/>
  <c r="HM26" i="22" s="1"/>
  <c r="HM19" i="22"/>
  <c r="HM13" i="22"/>
  <c r="HM12" i="22"/>
  <c r="HM11" i="22"/>
  <c r="HM10" i="22"/>
  <c r="HL28" i="22"/>
  <c r="HL24" i="22"/>
  <c r="HL25" i="22" s="1"/>
  <c r="HL26" i="22" s="1"/>
  <c r="HL19" i="22"/>
  <c r="HL13" i="22"/>
  <c r="HL12" i="22"/>
  <c r="HL11" i="22"/>
  <c r="HL10" i="22"/>
  <c r="FH19" i="69"/>
  <c r="FH14" i="69"/>
  <c r="FH15" i="69" s="1"/>
  <c r="FH16" i="69" s="1"/>
  <c r="FH11" i="69"/>
  <c r="AJ11" i="69" s="1"/>
  <c r="FH9" i="69"/>
  <c r="FG19" i="69"/>
  <c r="FG14" i="69"/>
  <c r="FG15" i="69" s="1"/>
  <c r="FG16" i="69" s="1"/>
  <c r="FG11" i="69"/>
  <c r="AI11" i="69" s="1"/>
  <c r="FG9" i="69"/>
  <c r="FH18" i="65"/>
  <c r="FG18" i="65"/>
  <c r="FH14" i="65"/>
  <c r="FH15" i="65" s="1"/>
  <c r="FH16" i="65" s="1"/>
  <c r="FG14" i="65"/>
  <c r="FG15" i="65" s="1"/>
  <c r="FG16" i="65" s="1"/>
  <c r="DA8" i="81"/>
  <c r="DA9" i="81" s="1"/>
  <c r="DA10" i="81" s="1"/>
  <c r="CZ8" i="81"/>
  <c r="CZ9" i="81" s="1"/>
  <c r="CZ10" i="81" s="1"/>
  <c r="CV8" i="83"/>
  <c r="CV9" i="83" s="1"/>
  <c r="CV10" i="83" s="1"/>
  <c r="CU8" i="83"/>
  <c r="CU9" i="83" s="1"/>
  <c r="CU10" i="83" s="1"/>
  <c r="AH9" i="69"/>
  <c r="AG8" i="69"/>
  <c r="AG10" i="69"/>
  <c r="AG7" i="69"/>
  <c r="AH14" i="69"/>
  <c r="AH13" i="65"/>
  <c r="AH14" i="65" s="1"/>
  <c r="AH15" i="65" s="1"/>
  <c r="AH16" i="65" s="1"/>
  <c r="AG13" i="65"/>
  <c r="FF18" i="65"/>
  <c r="FF14" i="65"/>
  <c r="FF15" i="65" s="1"/>
  <c r="FF16" i="65" s="1"/>
  <c r="W7" i="81"/>
  <c r="W8" i="81" s="1"/>
  <c r="W6" i="81"/>
  <c r="V7" i="81"/>
  <c r="V6" i="81"/>
  <c r="CY8" i="81"/>
  <c r="CY9" i="81" s="1"/>
  <c r="CY10" i="81" s="1"/>
  <c r="S7" i="83"/>
  <c r="S8" i="83" s="1"/>
  <c r="S6" i="83"/>
  <c r="R6" i="83"/>
  <c r="R7" i="83"/>
  <c r="CT8" i="83"/>
  <c r="CT9" i="83" s="1"/>
  <c r="CT10" i="83" s="1"/>
  <c r="FF14" i="69"/>
  <c r="FF15" i="69" s="1"/>
  <c r="FF16" i="69" s="1"/>
  <c r="FF11" i="69"/>
  <c r="FF9" i="69"/>
  <c r="BJ22" i="22"/>
  <c r="BJ18" i="22"/>
  <c r="BK22" i="22"/>
  <c r="BK23" i="22" s="1"/>
  <c r="BK25" i="22" s="1"/>
  <c r="BK26" i="22" s="1"/>
  <c r="BK27" i="22" s="1"/>
  <c r="BK18" i="22"/>
  <c r="BK29" i="22"/>
  <c r="BK13" i="22"/>
  <c r="BK7" i="22"/>
  <c r="BK12" i="22" s="1"/>
  <c r="AH11" i="69" l="1"/>
  <c r="S9" i="83"/>
  <c r="S10" i="83" s="1"/>
  <c r="DP12" i="76"/>
  <c r="AH15" i="69"/>
  <c r="AH16" i="69" s="1"/>
  <c r="W9" i="81"/>
  <c r="W10" i="81" s="1"/>
  <c r="HK28" i="22" l="1"/>
  <c r="HK24" i="22"/>
  <c r="HK25" i="22" s="1"/>
  <c r="HK26" i="22" s="1"/>
  <c r="HK19" i="22"/>
  <c r="BK19" i="22" s="1"/>
  <c r="HK13" i="22"/>
  <c r="HK12" i="22"/>
  <c r="HK11" i="22"/>
  <c r="HK10" i="22"/>
  <c r="Z9" i="76"/>
  <c r="Z10" i="76" s="1"/>
  <c r="Z8" i="76"/>
  <c r="Y9" i="76"/>
  <c r="Y8" i="76"/>
  <c r="DO11" i="76"/>
  <c r="DO10" i="76"/>
  <c r="DO6" i="76"/>
  <c r="BJ14" i="27"/>
  <c r="BJ12" i="27"/>
  <c r="BJ11" i="27"/>
  <c r="BK14" i="27"/>
  <c r="BK16" i="27" s="1"/>
  <c r="BK12" i="27"/>
  <c r="BK11" i="27"/>
  <c r="BK6" i="27"/>
  <c r="DO12" i="76" l="1"/>
  <c r="Z11" i="76"/>
  <c r="Z12" i="76" s="1"/>
  <c r="BK17" i="27"/>
  <c r="BK18" i="27" s="1"/>
  <c r="BK19" i="27" s="1"/>
  <c r="IH20" i="27" l="1"/>
  <c r="IH17" i="27"/>
  <c r="IH16" i="27"/>
  <c r="FE18" i="65" l="1"/>
  <c r="FE14" i="65"/>
  <c r="FE15" i="65" s="1"/>
  <c r="FE16" i="65" s="1"/>
  <c r="FD18" i="65"/>
  <c r="FD14" i="65"/>
  <c r="FD15" i="65" s="1"/>
  <c r="FD16" i="65" s="1"/>
  <c r="CX8" i="81"/>
  <c r="CX9" i="81" s="1"/>
  <c r="CX10" i="81" s="1"/>
  <c r="CW8" i="81"/>
  <c r="CW9" i="81" s="1"/>
  <c r="CW10" i="81" s="1"/>
  <c r="CS8" i="83"/>
  <c r="CS9" i="83" s="1"/>
  <c r="CS10" i="83" s="1"/>
  <c r="FE19" i="69"/>
  <c r="FE14" i="69"/>
  <c r="FE15" i="69" s="1"/>
  <c r="FE16" i="69" s="1"/>
  <c r="FD19" i="69"/>
  <c r="FD14" i="69"/>
  <c r="FD15" i="69" s="1"/>
  <c r="FD16" i="69" s="1"/>
  <c r="FE11" i="69"/>
  <c r="FE9" i="69"/>
  <c r="FD11" i="69"/>
  <c r="FD9" i="69"/>
  <c r="HJ28" i="22"/>
  <c r="HJ24" i="22"/>
  <c r="HJ25" i="22" s="1"/>
  <c r="HJ26" i="22" s="1"/>
  <c r="HJ19" i="22"/>
  <c r="HI28" i="22"/>
  <c r="HI24" i="22"/>
  <c r="HI25" i="22" s="1"/>
  <c r="HI26" i="22" s="1"/>
  <c r="HI19" i="22"/>
  <c r="HJ13" i="22"/>
  <c r="HJ12" i="22"/>
  <c r="HJ11" i="22"/>
  <c r="HJ10" i="22"/>
  <c r="HI13" i="22"/>
  <c r="HI12" i="22"/>
  <c r="HI11" i="22"/>
  <c r="HI10" i="22"/>
  <c r="DN11" i="76"/>
  <c r="DN10" i="76"/>
  <c r="DM11" i="76"/>
  <c r="DM10" i="76"/>
  <c r="DL6" i="76"/>
  <c r="DM6" i="76"/>
  <c r="DN6" i="76"/>
  <c r="DK6" i="76"/>
  <c r="IG20" i="27"/>
  <c r="IG17" i="27"/>
  <c r="IG16" i="27"/>
  <c r="IF20" i="27"/>
  <c r="IF17" i="27"/>
  <c r="IF16" i="27"/>
  <c r="IE20" i="27"/>
  <c r="ID20" i="27"/>
  <c r="IE17" i="27"/>
  <c r="ID17" i="27"/>
  <c r="ID18" i="27" s="1"/>
  <c r="ID19" i="27" s="1"/>
  <c r="IE16" i="27"/>
  <c r="ID16" i="27"/>
  <c r="IE6" i="27"/>
  <c r="IF6" i="27" s="1"/>
  <c r="DL11" i="76"/>
  <c r="DK11" i="76"/>
  <c r="DL10" i="76"/>
  <c r="DK10" i="76"/>
  <c r="HH28" i="22"/>
  <c r="HG28" i="22"/>
  <c r="HH24" i="22"/>
  <c r="HH25" i="22" s="1"/>
  <c r="HH26" i="22" s="1"/>
  <c r="HG24" i="22"/>
  <c r="HG25" i="22" s="1"/>
  <c r="HG26" i="22" s="1"/>
  <c r="HH19" i="22"/>
  <c r="HG19" i="22"/>
  <c r="HH13" i="22"/>
  <c r="HG13" i="22"/>
  <c r="HH12" i="22"/>
  <c r="HG12" i="22"/>
  <c r="HH11" i="22"/>
  <c r="HG11" i="22"/>
  <c r="HH10" i="22"/>
  <c r="HG10" i="22"/>
  <c r="FC19" i="69"/>
  <c r="FB19" i="69"/>
  <c r="FC14" i="69"/>
  <c r="FC15" i="69" s="1"/>
  <c r="FC16" i="69" s="1"/>
  <c r="FB14" i="69"/>
  <c r="FB15" i="69" s="1"/>
  <c r="FB16" i="69" s="1"/>
  <c r="FC11" i="69"/>
  <c r="FB11" i="69"/>
  <c r="FC9" i="69"/>
  <c r="FB9" i="69"/>
  <c r="FC18" i="65"/>
  <c r="FB18" i="65"/>
  <c r="FC14" i="65"/>
  <c r="FC15" i="65" s="1"/>
  <c r="FC16" i="65" s="1"/>
  <c r="FB14" i="65"/>
  <c r="FB15" i="65" s="1"/>
  <c r="FB16" i="65" s="1"/>
  <c r="CV8" i="81"/>
  <c r="CV9" i="81" s="1"/>
  <c r="CV10" i="81" s="1"/>
  <c r="CU8" i="81"/>
  <c r="CU9" i="81" s="1"/>
  <c r="CU10" i="81" s="1"/>
  <c r="CR8" i="83"/>
  <c r="CR9" i="83" s="1"/>
  <c r="CR10" i="83" s="1"/>
  <c r="CQ8" i="83"/>
  <c r="CQ9" i="83" s="1"/>
  <c r="CQ10" i="83" s="1"/>
  <c r="CP8" i="83"/>
  <c r="CP9" i="83" s="1"/>
  <c r="CP10" i="83" s="1"/>
  <c r="DN12" i="76" l="1"/>
  <c r="BJ19" i="22"/>
  <c r="AG9" i="69"/>
  <c r="AG11" i="69"/>
  <c r="DK12" i="76"/>
  <c r="DL12" i="76"/>
  <c r="DM12" i="76"/>
  <c r="IF18" i="27"/>
  <c r="IF19" i="27" s="1"/>
  <c r="IE18" i="27"/>
  <c r="IE19" i="27" s="1"/>
  <c r="IG6" i="27"/>
  <c r="R8" i="83"/>
  <c r="V8" i="81"/>
  <c r="V9" i="81" s="1"/>
  <c r="V10" i="81" s="1"/>
  <c r="AG14" i="65"/>
  <c r="AG15" i="65" s="1"/>
  <c r="AG16" i="65" s="1"/>
  <c r="AG14" i="69"/>
  <c r="BJ23" i="22"/>
  <c r="BJ25" i="22" s="1"/>
  <c r="BJ26" i="22" s="1"/>
  <c r="BJ27" i="22" s="1"/>
  <c r="BJ29" i="22"/>
  <c r="BJ13" i="22"/>
  <c r="BJ10" i="22"/>
  <c r="BJ7" i="22"/>
  <c r="BJ12" i="22" s="1"/>
  <c r="IG18" i="27" l="1"/>
  <c r="IG19" i="27" s="1"/>
  <c r="IH6" i="27"/>
  <c r="R9" i="83"/>
  <c r="R10" i="83" s="1"/>
  <c r="AG15" i="69"/>
  <c r="AG16" i="69" s="1"/>
  <c r="IH18" i="27" l="1"/>
  <c r="IH19" i="27" s="1"/>
  <c r="II6" i="27"/>
  <c r="Y11" i="76"/>
  <c r="BJ6" i="27"/>
  <c r="IJ6" i="27" l="1"/>
  <c r="II18" i="27"/>
  <c r="II19" i="27" s="1"/>
  <c r="Y10" i="76"/>
  <c r="Y12" i="76" s="1"/>
  <c r="BJ17" i="27"/>
  <c r="BJ18" i="27" s="1"/>
  <c r="BJ19" i="27" s="1"/>
  <c r="BJ16" i="27"/>
  <c r="BI12" i="27"/>
  <c r="BI11" i="27"/>
  <c r="BI14" i="27"/>
  <c r="HZ6" i="27"/>
  <c r="IA6" i="27" s="1"/>
  <c r="IB6" i="27" s="1"/>
  <c r="IC6" i="27" s="1"/>
  <c r="DJ6" i="76"/>
  <c r="DI6" i="76"/>
  <c r="DH6" i="76"/>
  <c r="DG6" i="76"/>
  <c r="IC20" i="27"/>
  <c r="IB20" i="27"/>
  <c r="IA20" i="27"/>
  <c r="HZ20" i="27"/>
  <c r="IC17" i="27"/>
  <c r="IB17" i="27"/>
  <c r="IA17" i="27"/>
  <c r="HZ17" i="27"/>
  <c r="IC16" i="27"/>
  <c r="IB16" i="27"/>
  <c r="IA16" i="27"/>
  <c r="HZ16" i="27"/>
  <c r="X8" i="76"/>
  <c r="X9" i="76"/>
  <c r="DJ11" i="76"/>
  <c r="DI11" i="76"/>
  <c r="DH11" i="76"/>
  <c r="DG11" i="76"/>
  <c r="DG12" i="76" s="1"/>
  <c r="DJ10" i="76"/>
  <c r="DI10" i="76"/>
  <c r="DH10" i="76"/>
  <c r="DG10" i="76"/>
  <c r="BI18" i="22"/>
  <c r="BI22" i="22"/>
  <c r="HF28" i="22"/>
  <c r="HE28" i="22"/>
  <c r="HD28" i="22"/>
  <c r="HC28" i="22"/>
  <c r="HF24" i="22"/>
  <c r="HF25" i="22" s="1"/>
  <c r="HF26" i="22" s="1"/>
  <c r="HE24" i="22"/>
  <c r="HE25" i="22" s="1"/>
  <c r="HE26" i="22" s="1"/>
  <c r="HD24" i="22"/>
  <c r="HD25" i="22" s="1"/>
  <c r="HD26" i="22" s="1"/>
  <c r="HC24" i="22"/>
  <c r="HC25" i="22" s="1"/>
  <c r="HC26" i="22" s="1"/>
  <c r="HF19" i="22"/>
  <c r="HE19" i="22"/>
  <c r="HD19" i="22"/>
  <c r="HC19" i="22"/>
  <c r="HF13" i="22"/>
  <c r="HE13" i="22"/>
  <c r="HD13" i="22"/>
  <c r="HC13" i="22"/>
  <c r="HF12" i="22"/>
  <c r="HE12" i="22"/>
  <c r="HD12" i="22"/>
  <c r="HC12" i="22"/>
  <c r="HF11" i="22"/>
  <c r="HE11" i="22"/>
  <c r="HD11" i="22"/>
  <c r="HC11" i="22"/>
  <c r="HF10" i="22"/>
  <c r="HE10" i="22"/>
  <c r="HD10" i="22"/>
  <c r="HC10" i="22"/>
  <c r="AF10" i="69"/>
  <c r="AF8" i="69"/>
  <c r="AF7" i="69"/>
  <c r="AF13" i="69"/>
  <c r="FA19" i="69"/>
  <c r="EZ19" i="69"/>
  <c r="EY19" i="69"/>
  <c r="EX19" i="69"/>
  <c r="FA14" i="69"/>
  <c r="FA15" i="69" s="1"/>
  <c r="FA16" i="69" s="1"/>
  <c r="EZ14" i="69"/>
  <c r="EZ15" i="69" s="1"/>
  <c r="EZ16" i="69" s="1"/>
  <c r="EY14" i="69"/>
  <c r="EY15" i="69" s="1"/>
  <c r="EY16" i="69" s="1"/>
  <c r="EX14" i="69"/>
  <c r="EX15" i="69" s="1"/>
  <c r="EX16" i="69" s="1"/>
  <c r="FA11" i="69"/>
  <c r="EZ11" i="69"/>
  <c r="EY11" i="69"/>
  <c r="EX11" i="69"/>
  <c r="FA9" i="69"/>
  <c r="EZ9" i="69"/>
  <c r="EY9" i="69"/>
  <c r="EX9" i="69"/>
  <c r="AF13" i="65"/>
  <c r="FA18" i="65"/>
  <c r="EZ18" i="65"/>
  <c r="EY18" i="65"/>
  <c r="EX18" i="65"/>
  <c r="FA14" i="65"/>
  <c r="FA15" i="65" s="1"/>
  <c r="FA16" i="65" s="1"/>
  <c r="EZ14" i="65"/>
  <c r="EZ15" i="65" s="1"/>
  <c r="EZ16" i="65" s="1"/>
  <c r="EY14" i="65"/>
  <c r="EY15" i="65" s="1"/>
  <c r="EY16" i="65" s="1"/>
  <c r="EX14" i="65"/>
  <c r="EX15" i="65" s="1"/>
  <c r="EX16" i="65" s="1"/>
  <c r="AF9" i="69" l="1"/>
  <c r="AF11" i="69"/>
  <c r="IJ18" i="27"/>
  <c r="IJ19" i="27" s="1"/>
  <c r="IK6" i="27"/>
  <c r="DI12" i="76"/>
  <c r="DH12" i="76"/>
  <c r="IC18" i="27"/>
  <c r="IC19" i="27" s="1"/>
  <c r="IB18" i="27"/>
  <c r="IB19" i="27" s="1"/>
  <c r="IA18" i="27"/>
  <c r="IA19" i="27" s="1"/>
  <c r="HZ18" i="27"/>
  <c r="HZ19" i="27" s="1"/>
  <c r="DJ12" i="76"/>
  <c r="U7" i="81"/>
  <c r="U8" i="81" s="1"/>
  <c r="U9" i="81" s="1"/>
  <c r="U10" i="81" s="1"/>
  <c r="CT8" i="81"/>
  <c r="CT9" i="81" s="1"/>
  <c r="CT10" i="81" s="1"/>
  <c r="CS8" i="81"/>
  <c r="CS9" i="81" s="1"/>
  <c r="CS10" i="81" s="1"/>
  <c r="CR8" i="81"/>
  <c r="CR9" i="81" s="1"/>
  <c r="CR10" i="81" s="1"/>
  <c r="CQ8" i="81"/>
  <c r="CQ9" i="81" s="1"/>
  <c r="CQ10" i="81" s="1"/>
  <c r="Q6" i="83"/>
  <c r="Q7" i="83"/>
  <c r="P7" i="83"/>
  <c r="CO8" i="83"/>
  <c r="CO9" i="83" s="1"/>
  <c r="CO10" i="83" s="1"/>
  <c r="CN8" i="83"/>
  <c r="CN9" i="83" s="1"/>
  <c r="CN10" i="83" s="1"/>
  <c r="CM8" i="83"/>
  <c r="CM9" i="83" s="1"/>
  <c r="CM10" i="83" s="1"/>
  <c r="CL8" i="83"/>
  <c r="CL9" i="83" s="1"/>
  <c r="CL10" i="83" s="1"/>
  <c r="DF11" i="76"/>
  <c r="DE11" i="76"/>
  <c r="DD11" i="76"/>
  <c r="DC11" i="76"/>
  <c r="DF10" i="76"/>
  <c r="DE10" i="76"/>
  <c r="DD10" i="76"/>
  <c r="DC10" i="76"/>
  <c r="BI6" i="27"/>
  <c r="BI17" i="27"/>
  <c r="HY20" i="27"/>
  <c r="HX20" i="27"/>
  <c r="HW20" i="27"/>
  <c r="HV20" i="27"/>
  <c r="HY17" i="27"/>
  <c r="HY18" i="27" s="1"/>
  <c r="HY19" i="27" s="1"/>
  <c r="HX17" i="27"/>
  <c r="HX18" i="27" s="1"/>
  <c r="HX19" i="27" s="1"/>
  <c r="HW17" i="27"/>
  <c r="HW18" i="27" s="1"/>
  <c r="HW19" i="27" s="1"/>
  <c r="HV17" i="27"/>
  <c r="HV18" i="27" s="1"/>
  <c r="HV19" i="27" s="1"/>
  <c r="HY16" i="27"/>
  <c r="HX16" i="27"/>
  <c r="HW16" i="27"/>
  <c r="HV16" i="27"/>
  <c r="BI30" i="22"/>
  <c r="BI29" i="22"/>
  <c r="BI23" i="22"/>
  <c r="BI25" i="22" s="1"/>
  <c r="BI26" i="22" s="1"/>
  <c r="BI27" i="22" s="1"/>
  <c r="BI13" i="22"/>
  <c r="BI10" i="22"/>
  <c r="BI7" i="22"/>
  <c r="BI12" i="22" s="1"/>
  <c r="HB28" i="22"/>
  <c r="HA28" i="22"/>
  <c r="GZ28" i="22"/>
  <c r="GY28" i="22"/>
  <c r="HB24" i="22"/>
  <c r="HB25" i="22" s="1"/>
  <c r="HB26" i="22" s="1"/>
  <c r="HA24" i="22"/>
  <c r="HA25" i="22" s="1"/>
  <c r="HA26" i="22" s="1"/>
  <c r="GZ24" i="22"/>
  <c r="GZ25" i="22" s="1"/>
  <c r="GZ26" i="22" s="1"/>
  <c r="GY24" i="22"/>
  <c r="GY25" i="22" s="1"/>
  <c r="GY26" i="22" s="1"/>
  <c r="HB19" i="22"/>
  <c r="BI19" i="22" s="1"/>
  <c r="HA19" i="22"/>
  <c r="GZ19" i="22"/>
  <c r="GY19" i="22"/>
  <c r="HB13" i="22"/>
  <c r="HA13" i="22"/>
  <c r="GZ13" i="22"/>
  <c r="GY13" i="22"/>
  <c r="HB12" i="22"/>
  <c r="HA12" i="22"/>
  <c r="GZ12" i="22"/>
  <c r="GY12" i="22"/>
  <c r="HB11" i="22"/>
  <c r="HA11" i="22"/>
  <c r="GZ11" i="22"/>
  <c r="GY11" i="22"/>
  <c r="HB10" i="22"/>
  <c r="HA10" i="22"/>
  <c r="GZ10" i="22"/>
  <c r="GY10" i="22"/>
  <c r="EW19" i="69"/>
  <c r="EV19" i="69"/>
  <c r="EU19" i="69"/>
  <c r="ET19" i="69"/>
  <c r="EW14" i="69"/>
  <c r="EW15" i="69" s="1"/>
  <c r="EW16" i="69" s="1"/>
  <c r="EV14" i="69"/>
  <c r="EV15" i="69" s="1"/>
  <c r="EV16" i="69" s="1"/>
  <c r="EU14" i="69"/>
  <c r="EU15" i="69" s="1"/>
  <c r="EU16" i="69" s="1"/>
  <c r="ET14" i="69"/>
  <c r="ET15" i="69" s="1"/>
  <c r="ET16" i="69" s="1"/>
  <c r="EW11" i="69"/>
  <c r="EV11" i="69"/>
  <c r="EU11" i="69"/>
  <c r="ET11" i="69"/>
  <c r="EW9" i="69"/>
  <c r="EV9" i="69"/>
  <c r="EU9" i="69"/>
  <c r="ET9" i="69"/>
  <c r="AF14" i="69"/>
  <c r="EW18" i="65"/>
  <c r="EV18" i="65"/>
  <c r="EU18" i="65"/>
  <c r="ET18" i="65"/>
  <c r="EW14" i="65"/>
  <c r="EW15" i="65" s="1"/>
  <c r="EW16" i="65" s="1"/>
  <c r="EV14" i="65"/>
  <c r="EV15" i="65" s="1"/>
  <c r="EV16" i="65" s="1"/>
  <c r="EU14" i="65"/>
  <c r="EU15" i="65" s="1"/>
  <c r="EU16" i="65" s="1"/>
  <c r="ET14" i="65"/>
  <c r="ET15" i="65" s="1"/>
  <c r="ET16" i="65" s="1"/>
  <c r="AF14" i="65"/>
  <c r="AF15" i="65" s="1"/>
  <c r="AF16" i="65" s="1"/>
  <c r="CP8" i="81"/>
  <c r="CP9" i="81" s="1"/>
  <c r="CP10" i="81" s="1"/>
  <c r="CO8" i="81"/>
  <c r="CO9" i="81" s="1"/>
  <c r="CO10" i="81" s="1"/>
  <c r="CN8" i="81"/>
  <c r="CN9" i="81" s="1"/>
  <c r="CN10" i="81" s="1"/>
  <c r="CM8" i="81"/>
  <c r="CM9" i="81" s="1"/>
  <c r="CM10" i="81" s="1"/>
  <c r="IK18" i="27" l="1"/>
  <c r="IK19" i="27" s="1"/>
  <c r="IL6" i="27"/>
  <c r="DD12" i="76"/>
  <c r="DE12" i="76"/>
  <c r="DF12" i="76"/>
  <c r="DC12" i="76"/>
  <c r="BI18" i="27"/>
  <c r="BI19" i="27" s="1"/>
  <c r="BI16" i="27"/>
  <c r="AF15" i="69"/>
  <c r="AF16" i="69" s="1"/>
  <c r="IL18" i="27" l="1"/>
  <c r="IL19" i="27" s="1"/>
  <c r="IM6" i="27"/>
  <c r="Q8" i="83"/>
  <c r="Q9" i="83" s="1"/>
  <c r="Q10" i="83" s="1"/>
  <c r="CK8" i="83"/>
  <c r="CK9" i="83" s="1"/>
  <c r="CK10" i="83" s="1"/>
  <c r="CJ8" i="83"/>
  <c r="CJ9" i="83" s="1"/>
  <c r="CJ10" i="83" s="1"/>
  <c r="CI8" i="83"/>
  <c r="CI9" i="83" s="1"/>
  <c r="CI10" i="83" s="1"/>
  <c r="CH8" i="83"/>
  <c r="CH9" i="83" s="1"/>
  <c r="CH10" i="83" s="1"/>
  <c r="BH14" i="27"/>
  <c r="BH12" i="27"/>
  <c r="BH11" i="27"/>
  <c r="ES18" i="65"/>
  <c r="ES14" i="65"/>
  <c r="ES15" i="65" s="1"/>
  <c r="ES16" i="65" s="1"/>
  <c r="IM18" i="27" l="1"/>
  <c r="IM19" i="27" s="1"/>
  <c r="IN6" i="27"/>
  <c r="T7" i="81"/>
  <c r="CL8" i="81"/>
  <c r="CL9" i="81" s="1"/>
  <c r="CL10" i="81" s="1"/>
  <c r="BH16" i="27"/>
  <c r="HU20" i="27"/>
  <c r="HU17" i="27"/>
  <c r="HU18" i="27" s="1"/>
  <c r="HU19" i="27" s="1"/>
  <c r="HU16" i="27"/>
  <c r="HT20" i="27"/>
  <c r="HT17" i="27"/>
  <c r="HT18" i="27" s="1"/>
  <c r="HT19" i="27" s="1"/>
  <c r="HT16" i="27"/>
  <c r="W9" i="76"/>
  <c r="W11" i="76" s="1"/>
  <c r="W8" i="76"/>
  <c r="DB11" i="76"/>
  <c r="DB10" i="76"/>
  <c r="DA11" i="76"/>
  <c r="DA10" i="76"/>
  <c r="BH22" i="22"/>
  <c r="BH23" i="22" s="1"/>
  <c r="BH25" i="22" s="1"/>
  <c r="BH26" i="22" s="1"/>
  <c r="BH27" i="22" s="1"/>
  <c r="BH18" i="22"/>
  <c r="GX19" i="22"/>
  <c r="BH19" i="22" s="1"/>
  <c r="GX28" i="22"/>
  <c r="GX24" i="22"/>
  <c r="GX25" i="22" s="1"/>
  <c r="GX26" i="22" s="1"/>
  <c r="GX13" i="22"/>
  <c r="GX12" i="22"/>
  <c r="GX11" i="22"/>
  <c r="GX10" i="22"/>
  <c r="GW28" i="22"/>
  <c r="GW24" i="22"/>
  <c r="GW25" i="22" s="1"/>
  <c r="GW26" i="22" s="1"/>
  <c r="GW19" i="22"/>
  <c r="GW13" i="22"/>
  <c r="GW12" i="22"/>
  <c r="GW11" i="22"/>
  <c r="GW10" i="22"/>
  <c r="BH30" i="22"/>
  <c r="BH29" i="22"/>
  <c r="BH13" i="22"/>
  <c r="BH10" i="22"/>
  <c r="BH7" i="22"/>
  <c r="BH12" i="22" s="1"/>
  <c r="AE13" i="69"/>
  <c r="AE14" i="69" s="1"/>
  <c r="AE10" i="69"/>
  <c r="AE8" i="69"/>
  <c r="AE7" i="69"/>
  <c r="ES9" i="69"/>
  <c r="AE9" i="69" s="1"/>
  <c r="ES19" i="69"/>
  <c r="ES14" i="69"/>
  <c r="ES15" i="69" s="1"/>
  <c r="ES16" i="69" s="1"/>
  <c r="ES11" i="69"/>
  <c r="AE11" i="69" s="1"/>
  <c r="ER19" i="69"/>
  <c r="ER14" i="69"/>
  <c r="ER15" i="69" s="1"/>
  <c r="ER16" i="69" s="1"/>
  <c r="ER11" i="69"/>
  <c r="ER9" i="69"/>
  <c r="IO6" i="27" l="1"/>
  <c r="IN18" i="27"/>
  <c r="IN19" i="27" s="1"/>
  <c r="DA12" i="76"/>
  <c r="BH17" i="27"/>
  <c r="BH18" i="27" s="1"/>
  <c r="BH19" i="27" s="1"/>
  <c r="DB12" i="76"/>
  <c r="W10" i="76"/>
  <c r="W12" i="76" s="1"/>
  <c r="AE15" i="69"/>
  <c r="AE16" i="69" s="1"/>
  <c r="AE13" i="65"/>
  <c r="AE14" i="65" s="1"/>
  <c r="AE15" i="65" s="1"/>
  <c r="AE16" i="65" s="1"/>
  <c r="ER18" i="65"/>
  <c r="ER14" i="65"/>
  <c r="ER15" i="65" s="1"/>
  <c r="ER16" i="65" s="1"/>
  <c r="T8" i="81"/>
  <c r="T9" i="81" s="1"/>
  <c r="T10" i="81" s="1"/>
  <c r="CK8" i="81"/>
  <c r="CK9" i="81" s="1"/>
  <c r="CK10" i="81" s="1"/>
  <c r="CG8" i="83"/>
  <c r="CG9" i="83" s="1"/>
  <c r="CG10" i="83" s="1"/>
  <c r="IO18" i="27" l="1"/>
  <c r="IO19" i="27" s="1"/>
  <c r="IP6" i="27"/>
  <c r="P8" i="83"/>
  <c r="P9" i="83" s="1"/>
  <c r="P10" i="83" s="1"/>
  <c r="CF8" i="83"/>
  <c r="CF9" i="83" s="1"/>
  <c r="CF10" i="83" s="1"/>
  <c r="HS20" i="27"/>
  <c r="HS17" i="27"/>
  <c r="HS18" i="27" s="1"/>
  <c r="HS19" i="27" s="1"/>
  <c r="HS16" i="27"/>
  <c r="CZ11" i="76"/>
  <c r="CZ10" i="76"/>
  <c r="GV28" i="22"/>
  <c r="GV24" i="22"/>
  <c r="GV25" i="22" s="1"/>
  <c r="GV26" i="22" s="1"/>
  <c r="GV19" i="22"/>
  <c r="GV13" i="22"/>
  <c r="GV12" i="22"/>
  <c r="GV11" i="22"/>
  <c r="GV10" i="22"/>
  <c r="EQ19" i="69"/>
  <c r="EQ14" i="69"/>
  <c r="EQ15" i="69" s="1"/>
  <c r="EQ16" i="69" s="1"/>
  <c r="EQ11" i="69"/>
  <c r="EQ9" i="69"/>
  <c r="EQ18" i="65"/>
  <c r="EQ14" i="65"/>
  <c r="EQ15" i="65" s="1"/>
  <c r="EQ16" i="65" s="1"/>
  <c r="EQ10" i="65"/>
  <c r="CJ8" i="81"/>
  <c r="CJ9" i="81" s="1"/>
  <c r="CJ10" i="81" s="1"/>
  <c r="CE8" i="83"/>
  <c r="CE9" i="83" s="1"/>
  <c r="CE10" i="83" s="1"/>
  <c r="BG12" i="27"/>
  <c r="BG11" i="27"/>
  <c r="BG14" i="27"/>
  <c r="BG16" i="27" s="1"/>
  <c r="HR20" i="27"/>
  <c r="HQ20" i="27"/>
  <c r="HR17" i="27"/>
  <c r="HR18" i="27" s="1"/>
  <c r="HR19" i="27" s="1"/>
  <c r="HQ17" i="27"/>
  <c r="HQ18" i="27" s="1"/>
  <c r="HQ19" i="27" s="1"/>
  <c r="HR16" i="27"/>
  <c r="HQ16" i="27"/>
  <c r="V8" i="76"/>
  <c r="V9" i="76"/>
  <c r="V11" i="76" s="1"/>
  <c r="CY11" i="76"/>
  <c r="CX11" i="76"/>
  <c r="CY10" i="76"/>
  <c r="CX10" i="76"/>
  <c r="BG18" i="22"/>
  <c r="BG22" i="22"/>
  <c r="BG23" i="22" s="1"/>
  <c r="BG25" i="22" s="1"/>
  <c r="BG26" i="22" s="1"/>
  <c r="BG27" i="22" s="1"/>
  <c r="GU28" i="22"/>
  <c r="GT28" i="22"/>
  <c r="GU24" i="22"/>
  <c r="GU25" i="22" s="1"/>
  <c r="GU26" i="22" s="1"/>
  <c r="GT24" i="22"/>
  <c r="GT25" i="22" s="1"/>
  <c r="GT26" i="22" s="1"/>
  <c r="GU19" i="22"/>
  <c r="GT19" i="22"/>
  <c r="GU13" i="22"/>
  <c r="GT13" i="22"/>
  <c r="GU12" i="22"/>
  <c r="GT12" i="22"/>
  <c r="GU11" i="22"/>
  <c r="GT11" i="22"/>
  <c r="GU10" i="22"/>
  <c r="GT10" i="22"/>
  <c r="AD10" i="69"/>
  <c r="AD8" i="69"/>
  <c r="AD7" i="69"/>
  <c r="AD13" i="69"/>
  <c r="AD14" i="69" s="1"/>
  <c r="EP19" i="69"/>
  <c r="EO19" i="69"/>
  <c r="EP14" i="69"/>
  <c r="EP15" i="69" s="1"/>
  <c r="EP16" i="69" s="1"/>
  <c r="EO14" i="69"/>
  <c r="EO15" i="69" s="1"/>
  <c r="EO16" i="69" s="1"/>
  <c r="EP11" i="69"/>
  <c r="EO11" i="69"/>
  <c r="EP9" i="69"/>
  <c r="EO9" i="69"/>
  <c r="AD13" i="65"/>
  <c r="EO18" i="65"/>
  <c r="EP18" i="65"/>
  <c r="EN18" i="65"/>
  <c r="EP14" i="65"/>
  <c r="EP15" i="65" s="1"/>
  <c r="EP16" i="65" s="1"/>
  <c r="EO14" i="65"/>
  <c r="EO15" i="65" s="1"/>
  <c r="EO16" i="65" s="1"/>
  <c r="EP10" i="65"/>
  <c r="EO10" i="65"/>
  <c r="S7" i="81"/>
  <c r="CI8" i="81"/>
  <c r="CI9" i="81" s="1"/>
  <c r="CI10" i="81" s="1"/>
  <c r="CH8" i="81"/>
  <c r="CH9" i="81" s="1"/>
  <c r="CH10" i="81" s="1"/>
  <c r="O7" i="83"/>
  <c r="CD8" i="83"/>
  <c r="CD9" i="83" s="1"/>
  <c r="CD10" i="83" s="1"/>
  <c r="CC8" i="83"/>
  <c r="CC9" i="83" s="1"/>
  <c r="CC10" i="83" s="1"/>
  <c r="HP20" i="27"/>
  <c r="HP17" i="27"/>
  <c r="HP18" i="27" s="1"/>
  <c r="HP19" i="27" s="1"/>
  <c r="HP16" i="27"/>
  <c r="CW11" i="76"/>
  <c r="CW10" i="76"/>
  <c r="GS28" i="22"/>
  <c r="GS24" i="22"/>
  <c r="GS25" i="22" s="1"/>
  <c r="GS26" i="22" s="1"/>
  <c r="GS19" i="22"/>
  <c r="GS13" i="22"/>
  <c r="GS12" i="22"/>
  <c r="GS11" i="22"/>
  <c r="GS10" i="22"/>
  <c r="EN19" i="69"/>
  <c r="EN14" i="69"/>
  <c r="EN15" i="69" s="1"/>
  <c r="EN16" i="69" s="1"/>
  <c r="EN11" i="69"/>
  <c r="EN9" i="69"/>
  <c r="EN14" i="65"/>
  <c r="EN15" i="65" s="1"/>
  <c r="EN16" i="65" s="1"/>
  <c r="EN10" i="65"/>
  <c r="CG8" i="81"/>
  <c r="CG9" i="81" s="1"/>
  <c r="CG10" i="81" s="1"/>
  <c r="CB8" i="83"/>
  <c r="CB9" i="83" s="1"/>
  <c r="CB10" i="83" s="1"/>
  <c r="BG13" i="22"/>
  <c r="BG30" i="22"/>
  <c r="BG29" i="22"/>
  <c r="BG10" i="22"/>
  <c r="BG7" i="22"/>
  <c r="BG12" i="22" s="1"/>
  <c r="R9" i="69"/>
  <c r="IP18" i="27" l="1"/>
  <c r="IP19" i="27" s="1"/>
  <c r="IQ6" i="27"/>
  <c r="AD11" i="69"/>
  <c r="AD15" i="69"/>
  <c r="AD16" i="69" s="1"/>
  <c r="CZ12" i="76"/>
  <c r="CW12" i="76"/>
  <c r="CY12" i="76"/>
  <c r="BG19" i="22"/>
  <c r="AD9" i="69"/>
  <c r="CX12" i="76"/>
  <c r="BG17" i="27"/>
  <c r="BG18" i="27" s="1"/>
  <c r="BG19" i="27" s="1"/>
  <c r="V10" i="76"/>
  <c r="V12" i="76" s="1"/>
  <c r="IQ18" i="27" l="1"/>
  <c r="IQ19" i="27" s="1"/>
  <c r="IR6" i="27"/>
  <c r="AD14" i="65"/>
  <c r="AD15" i="65" s="1"/>
  <c r="AD16" i="65" s="1"/>
  <c r="S8" i="81"/>
  <c r="S9" i="81" s="1"/>
  <c r="S10" i="81" s="1"/>
  <c r="IR18" i="27" l="1"/>
  <c r="IR19" i="27" s="1"/>
  <c r="IS6" i="27"/>
  <c r="O8" i="83"/>
  <c r="O9" i="83" s="1"/>
  <c r="O10" i="83" s="1"/>
  <c r="BF12" i="27"/>
  <c r="BF11" i="27"/>
  <c r="HO20" i="27"/>
  <c r="HO17" i="27"/>
  <c r="HO18" i="27" s="1"/>
  <c r="HO19" i="27" s="1"/>
  <c r="HO16" i="27"/>
  <c r="U9" i="76"/>
  <c r="U8" i="76"/>
  <c r="CV11" i="76"/>
  <c r="CV10" i="76"/>
  <c r="BF22" i="22"/>
  <c r="BF18" i="22"/>
  <c r="GR28" i="22"/>
  <c r="GR24" i="22"/>
  <c r="GR25" i="22" s="1"/>
  <c r="GR26" i="22" s="1"/>
  <c r="GR19" i="22"/>
  <c r="GR13" i="22"/>
  <c r="GR12" i="22"/>
  <c r="GR11" i="22"/>
  <c r="GR10" i="22"/>
  <c r="EM19" i="69"/>
  <c r="EM14" i="69"/>
  <c r="EM15" i="69" s="1"/>
  <c r="EM16" i="69" s="1"/>
  <c r="EM11" i="69"/>
  <c r="EM9" i="69"/>
  <c r="EM14" i="65"/>
  <c r="EM15" i="65" s="1"/>
  <c r="EM16" i="65" s="1"/>
  <c r="EM10" i="65"/>
  <c r="CF8" i="81"/>
  <c r="CF9" i="81" s="1"/>
  <c r="CF10" i="81" s="1"/>
  <c r="IS18" i="27" l="1"/>
  <c r="IS19" i="27" s="1"/>
  <c r="IT6" i="27"/>
  <c r="CV12" i="76"/>
  <c r="CA8" i="83"/>
  <c r="CA9" i="83" s="1"/>
  <c r="CA10" i="83" s="1"/>
  <c r="HN20" i="27"/>
  <c r="HN17" i="27"/>
  <c r="HN18" i="27" s="1"/>
  <c r="HN19" i="27" s="1"/>
  <c r="HN16" i="27"/>
  <c r="CU11" i="76"/>
  <c r="CU10" i="76"/>
  <c r="GQ28" i="22"/>
  <c r="GQ24" i="22"/>
  <c r="GQ25" i="22" s="1"/>
  <c r="GQ26" i="22" s="1"/>
  <c r="GQ19" i="22"/>
  <c r="GQ13" i="22"/>
  <c r="GQ12" i="22"/>
  <c r="GQ11" i="22"/>
  <c r="GQ10" i="22"/>
  <c r="EL19" i="69"/>
  <c r="EL14" i="69"/>
  <c r="EL15" i="69" s="1"/>
  <c r="EL16" i="69" s="1"/>
  <c r="EL11" i="69"/>
  <c r="EL9" i="69"/>
  <c r="EL14" i="65"/>
  <c r="EL15" i="65" s="1"/>
  <c r="EL16" i="65" s="1"/>
  <c r="EL10" i="65"/>
  <c r="CE8" i="81"/>
  <c r="CE9" i="81" s="1"/>
  <c r="CE10" i="81" s="1"/>
  <c r="BZ8" i="83"/>
  <c r="BZ9" i="83" s="1"/>
  <c r="BZ10" i="83" s="1"/>
  <c r="GG17" i="27"/>
  <c r="GH17" i="27"/>
  <c r="GI17" i="27"/>
  <c r="GJ17" i="27"/>
  <c r="GK17" i="27"/>
  <c r="GL17" i="27"/>
  <c r="GM17" i="27"/>
  <c r="GN17" i="27"/>
  <c r="GO17" i="27"/>
  <c r="GP17" i="27"/>
  <c r="GQ17" i="27"/>
  <c r="GR17" i="27"/>
  <c r="GS17" i="27"/>
  <c r="GT17" i="27"/>
  <c r="GU17" i="27"/>
  <c r="GV17" i="27"/>
  <c r="GW17" i="27"/>
  <c r="GX17" i="27"/>
  <c r="GY17" i="27"/>
  <c r="GZ17" i="27"/>
  <c r="HA17" i="27"/>
  <c r="HB17" i="27"/>
  <c r="HC17" i="27"/>
  <c r="HD17" i="27"/>
  <c r="HE17" i="27"/>
  <c r="HF17" i="27"/>
  <c r="HG17" i="27"/>
  <c r="HH17" i="27"/>
  <c r="HI17" i="27"/>
  <c r="HJ17" i="27"/>
  <c r="HK17" i="27"/>
  <c r="HK18" i="27" s="1"/>
  <c r="HK19" i="27" s="1"/>
  <c r="HL17" i="27"/>
  <c r="HL18" i="27" s="1"/>
  <c r="HL19" i="27" s="1"/>
  <c r="HM17" i="27"/>
  <c r="HM18" i="27" s="1"/>
  <c r="HM19" i="27" s="1"/>
  <c r="BF14" i="27"/>
  <c r="BF16" i="27" s="1"/>
  <c r="HM20" i="27"/>
  <c r="HM16" i="27"/>
  <c r="U11" i="76"/>
  <c r="CT11" i="76"/>
  <c r="CS11" i="76"/>
  <c r="CT10" i="76"/>
  <c r="CS10" i="76"/>
  <c r="BF23" i="22"/>
  <c r="BF25" i="22" s="1"/>
  <c r="BF26" i="22" s="1"/>
  <c r="BF27" i="22" s="1"/>
  <c r="GP24" i="22"/>
  <c r="GP28" i="22"/>
  <c r="GP25" i="22"/>
  <c r="GP26" i="22" s="1"/>
  <c r="GP19" i="22"/>
  <c r="GP13" i="22"/>
  <c r="GP12" i="22"/>
  <c r="GP11" i="22"/>
  <c r="GP10" i="22"/>
  <c r="GO28" i="22"/>
  <c r="GO24" i="22"/>
  <c r="GO25" i="22" s="1"/>
  <c r="GO26" i="22" s="1"/>
  <c r="GO19" i="22"/>
  <c r="GO13" i="22"/>
  <c r="GO12" i="22"/>
  <c r="GO11" i="22"/>
  <c r="GO10" i="22"/>
  <c r="AC13" i="69"/>
  <c r="AC14" i="69" s="1"/>
  <c r="AC15" i="69" s="1"/>
  <c r="AC16" i="69" s="1"/>
  <c r="EK19" i="69"/>
  <c r="EK14" i="69"/>
  <c r="EK15" i="69" s="1"/>
  <c r="EK16" i="69" s="1"/>
  <c r="EK11" i="69"/>
  <c r="EK9" i="69"/>
  <c r="EJ19" i="69"/>
  <c r="EJ14" i="69"/>
  <c r="EJ15" i="69" s="1"/>
  <c r="EJ16" i="69" s="1"/>
  <c r="EJ11" i="69"/>
  <c r="EJ9" i="69"/>
  <c r="AC13" i="65"/>
  <c r="AC14" i="65" s="1"/>
  <c r="AC15" i="65" s="1"/>
  <c r="AC16" i="65" s="1"/>
  <c r="EK14" i="65"/>
  <c r="EK15" i="65" s="1"/>
  <c r="EK16" i="65" s="1"/>
  <c r="EJ14" i="65"/>
  <c r="EJ15" i="65" s="1"/>
  <c r="EJ16" i="65" s="1"/>
  <c r="EK10" i="65"/>
  <c r="EJ10" i="65"/>
  <c r="R7" i="81"/>
  <c r="R8" i="81" s="1"/>
  <c r="R9" i="81" s="1"/>
  <c r="R10" i="81" s="1"/>
  <c r="CD8" i="81"/>
  <c r="CD9" i="81" s="1"/>
  <c r="CD10" i="81" s="1"/>
  <c r="CC8" i="81"/>
  <c r="CC9" i="81" s="1"/>
  <c r="CC10" i="81" s="1"/>
  <c r="N7" i="83"/>
  <c r="N8" i="83" s="1"/>
  <c r="N9" i="83" s="1"/>
  <c r="N10" i="83" s="1"/>
  <c r="BY8" i="83"/>
  <c r="BY9" i="83" s="1"/>
  <c r="BY10" i="83" s="1"/>
  <c r="BX8" i="83"/>
  <c r="BX9" i="83" s="1"/>
  <c r="BX10" i="83" s="1"/>
  <c r="HL20" i="27"/>
  <c r="HL16" i="27"/>
  <c r="HK20" i="27"/>
  <c r="HK16" i="27"/>
  <c r="U6" i="76"/>
  <c r="V6" i="76" s="1"/>
  <c r="W6" i="76" s="1"/>
  <c r="X6" i="76" s="1"/>
  <c r="Y6" i="76" s="1"/>
  <c r="Z6" i="76" s="1"/>
  <c r="AA6" i="76" s="1"/>
  <c r="AB6" i="76" s="1"/>
  <c r="AC6" i="76" s="1"/>
  <c r="AD6" i="76" s="1"/>
  <c r="AE6" i="76" s="1"/>
  <c r="CR11" i="76"/>
  <c r="CR10" i="76"/>
  <c r="BF30" i="22"/>
  <c r="BF29" i="22"/>
  <c r="BF13" i="22"/>
  <c r="BF10" i="22"/>
  <c r="BF7" i="22"/>
  <c r="BF12" i="22" s="1"/>
  <c r="GN28" i="22"/>
  <c r="GN24" i="22"/>
  <c r="GN25" i="22" s="1"/>
  <c r="GN26" i="22" s="1"/>
  <c r="GN19" i="22"/>
  <c r="GN13" i="22"/>
  <c r="GN12" i="22"/>
  <c r="GN11" i="22"/>
  <c r="GN10" i="22"/>
  <c r="AC11" i="69"/>
  <c r="AC9" i="69"/>
  <c r="EI19" i="69"/>
  <c r="EI14" i="69"/>
  <c r="EI15" i="69" s="1"/>
  <c r="EI16" i="69" s="1"/>
  <c r="EI11" i="69"/>
  <c r="EI9" i="69"/>
  <c r="EI14" i="65"/>
  <c r="EI15" i="65" s="1"/>
  <c r="EI16" i="65" s="1"/>
  <c r="EI10" i="65"/>
  <c r="CB8" i="81"/>
  <c r="CB9" i="81" s="1"/>
  <c r="CB10" i="81" s="1"/>
  <c r="AE7" i="76" l="1"/>
  <c r="AE11" i="76" s="1"/>
  <c r="AE12" i="76" s="1"/>
  <c r="AF6" i="76"/>
  <c r="IU6" i="27"/>
  <c r="IT18" i="27"/>
  <c r="IT19" i="27" s="1"/>
  <c r="CR12" i="76"/>
  <c r="BF19" i="22"/>
  <c r="CU12" i="76"/>
  <c r="CS12" i="76"/>
  <c r="CT12" i="76"/>
  <c r="BF17" i="27"/>
  <c r="BF18" i="27" s="1"/>
  <c r="BF19" i="27" s="1"/>
  <c r="U10" i="76"/>
  <c r="U12" i="76" s="1"/>
  <c r="AF7" i="76" l="1"/>
  <c r="AF11" i="76" s="1"/>
  <c r="AF12" i="76" s="1"/>
  <c r="AG6" i="76"/>
  <c r="IV6" i="27"/>
  <c r="IU18" i="27"/>
  <c r="IU19" i="27" s="1"/>
  <c r="BW8" i="83"/>
  <c r="BW9" i="83" s="1"/>
  <c r="BW10" i="83" s="1"/>
  <c r="HJ20" i="27"/>
  <c r="HJ18" i="27"/>
  <c r="HJ19" i="27" s="1"/>
  <c r="HJ16" i="27"/>
  <c r="CQ11" i="76"/>
  <c r="CQ10" i="76"/>
  <c r="GM28" i="22"/>
  <c r="GM24" i="22"/>
  <c r="GM25" i="22" s="1"/>
  <c r="GM26" i="22" s="1"/>
  <c r="GM19" i="22"/>
  <c r="GM13" i="22"/>
  <c r="GM12" i="22"/>
  <c r="GM11" i="22"/>
  <c r="GM10" i="22"/>
  <c r="EH19" i="69"/>
  <c r="EH14" i="69"/>
  <c r="EH15" i="69" s="1"/>
  <c r="EH16" i="69" s="1"/>
  <c r="EH11" i="69"/>
  <c r="EH9" i="69"/>
  <c r="EH14" i="65"/>
  <c r="EH15" i="65" s="1"/>
  <c r="EH16" i="65" s="1"/>
  <c r="EH10" i="65"/>
  <c r="AG7" i="76" l="1"/>
  <c r="AG11" i="76" s="1"/>
  <c r="AG12" i="76" s="1"/>
  <c r="AH7" i="76"/>
  <c r="AH11" i="76" s="1"/>
  <c r="AH12" i="76" s="1"/>
  <c r="IW6" i="27"/>
  <c r="IV18" i="27"/>
  <c r="IV19" i="27" s="1"/>
  <c r="CQ12" i="76"/>
  <c r="CA8" i="81"/>
  <c r="CA9" i="81" s="1"/>
  <c r="CA10" i="81" s="1"/>
  <c r="BV8" i="83"/>
  <c r="BV9" i="83" s="1"/>
  <c r="BV10" i="83" s="1"/>
  <c r="HI20" i="27"/>
  <c r="HI18" i="27"/>
  <c r="HI19" i="27" s="1"/>
  <c r="HI16" i="27"/>
  <c r="CP11" i="76"/>
  <c r="CP10" i="76"/>
  <c r="GL28" i="22"/>
  <c r="GL24" i="22"/>
  <c r="GL25" i="22" s="1"/>
  <c r="GL26" i="22" s="1"/>
  <c r="GL19" i="22"/>
  <c r="GL13" i="22"/>
  <c r="GL12" i="22"/>
  <c r="GL11" i="22"/>
  <c r="GL10" i="22"/>
  <c r="EG19" i="69"/>
  <c r="EG14" i="69"/>
  <c r="EG15" i="69" s="1"/>
  <c r="EG16" i="69" s="1"/>
  <c r="EG11" i="69"/>
  <c r="EG9" i="69"/>
  <c r="EG14" i="65"/>
  <c r="EG15" i="65" s="1"/>
  <c r="EG16" i="65" s="1"/>
  <c r="EG10" i="65"/>
  <c r="BZ8" i="81"/>
  <c r="BZ9" i="81" s="1"/>
  <c r="BZ10" i="81" s="1"/>
  <c r="BU8" i="83"/>
  <c r="BU9" i="83" s="1"/>
  <c r="BU10" i="83" s="1"/>
  <c r="BE14" i="27"/>
  <c r="BE17" i="27" s="1"/>
  <c r="BE18" i="27" s="1"/>
  <c r="BE19" i="27" s="1"/>
  <c r="BE12" i="27"/>
  <c r="BE11" i="27"/>
  <c r="HH20" i="27"/>
  <c r="HH18" i="27"/>
  <c r="HH19" i="27" s="1"/>
  <c r="HH16" i="27"/>
  <c r="T9" i="76"/>
  <c r="T11" i="76" s="1"/>
  <c r="T8" i="76"/>
  <c r="CO11" i="76"/>
  <c r="CO10" i="76"/>
  <c r="BE22" i="22"/>
  <c r="BE23" i="22" s="1"/>
  <c r="BE25" i="22" s="1"/>
  <c r="BE26" i="22" s="1"/>
  <c r="BE27" i="22" s="1"/>
  <c r="BE18" i="22"/>
  <c r="GK28" i="22"/>
  <c r="GK24" i="22"/>
  <c r="GK25" i="22" s="1"/>
  <c r="GK26" i="22" s="1"/>
  <c r="GK19" i="22"/>
  <c r="GK13" i="22"/>
  <c r="GK12" i="22"/>
  <c r="GK11" i="22"/>
  <c r="GK10" i="22"/>
  <c r="AB13" i="69"/>
  <c r="AB14" i="69" s="1"/>
  <c r="AB15" i="69" s="1"/>
  <c r="AB16" i="69" s="1"/>
  <c r="EF19" i="69"/>
  <c r="EF14" i="69"/>
  <c r="EF15" i="69" s="1"/>
  <c r="EF16" i="69" s="1"/>
  <c r="EF11" i="69"/>
  <c r="EF9" i="69"/>
  <c r="AB13" i="65"/>
  <c r="AB14" i="65" s="1"/>
  <c r="AB15" i="65" s="1"/>
  <c r="AB16" i="65" s="1"/>
  <c r="EF14" i="65"/>
  <c r="EF15" i="65" s="1"/>
  <c r="EF16" i="65" s="1"/>
  <c r="EF10" i="65"/>
  <c r="Q7" i="81"/>
  <c r="Q8" i="81" s="1"/>
  <c r="Q9" i="81" s="1"/>
  <c r="Q10" i="81" s="1"/>
  <c r="BY8" i="81"/>
  <c r="BY9" i="81" s="1"/>
  <c r="BY10" i="81" s="1"/>
  <c r="L7" i="83"/>
  <c r="M7" i="83"/>
  <c r="M8" i="83" s="1"/>
  <c r="M9" i="83" s="1"/>
  <c r="M10" i="83" s="1"/>
  <c r="BT8" i="83"/>
  <c r="BT9" i="83" s="1"/>
  <c r="BT10" i="83" s="1"/>
  <c r="HG20" i="27"/>
  <c r="HG18" i="27"/>
  <c r="HG19" i="27" s="1"/>
  <c r="HG16" i="27"/>
  <c r="T6" i="76"/>
  <c r="CN11" i="76"/>
  <c r="CN10" i="76"/>
  <c r="BE30" i="22"/>
  <c r="BE29" i="22"/>
  <c r="BE13" i="22"/>
  <c r="BE10" i="22"/>
  <c r="BE7" i="22"/>
  <c r="BE12" i="22" s="1"/>
  <c r="GJ28" i="22"/>
  <c r="GJ24" i="22"/>
  <c r="GJ25" i="22" s="1"/>
  <c r="GJ26" i="22" s="1"/>
  <c r="GJ19" i="22"/>
  <c r="GJ13" i="22"/>
  <c r="GJ12" i="22"/>
  <c r="GJ11" i="22"/>
  <c r="GJ10" i="22"/>
  <c r="AB11" i="69"/>
  <c r="AB9" i="69"/>
  <c r="EE19" i="69"/>
  <c r="EE14" i="69"/>
  <c r="EE15" i="69" s="1"/>
  <c r="EE16" i="69" s="1"/>
  <c r="EE11" i="69"/>
  <c r="EE9" i="69"/>
  <c r="EE14" i="65"/>
  <c r="EE15" i="65" s="1"/>
  <c r="EE16" i="65" s="1"/>
  <c r="EE10" i="65"/>
  <c r="BX8" i="81"/>
  <c r="BX9" i="81" s="1"/>
  <c r="BX10" i="81" s="1"/>
  <c r="BS8" i="83"/>
  <c r="BS9" i="83" s="1"/>
  <c r="BS10" i="83" s="1"/>
  <c r="CO12" i="76" l="1"/>
  <c r="IX6" i="27"/>
  <c r="IW18" i="27"/>
  <c r="IW19" i="27" s="1"/>
  <c r="BE19" i="22"/>
  <c r="CP12" i="76"/>
  <c r="BE16" i="27"/>
  <c r="T10" i="76"/>
  <c r="T12" i="76" s="1"/>
  <c r="CN12" i="76"/>
  <c r="IX18" i="27" l="1"/>
  <c r="IX19" i="27" s="1"/>
  <c r="BD12" i="27"/>
  <c r="BD11" i="27"/>
  <c r="BD14" i="27"/>
  <c r="HF20" i="27"/>
  <c r="HF18" i="27"/>
  <c r="HF19" i="27" s="1"/>
  <c r="HF16" i="27"/>
  <c r="HE20" i="27"/>
  <c r="HE18" i="27"/>
  <c r="HE19" i="27" s="1"/>
  <c r="HE16" i="27"/>
  <c r="S9" i="76"/>
  <c r="S8" i="76"/>
  <c r="CM11" i="76"/>
  <c r="CM10" i="76"/>
  <c r="CL11" i="76"/>
  <c r="CL10" i="76"/>
  <c r="BD18" i="22"/>
  <c r="GI19" i="22"/>
  <c r="GH19" i="22"/>
  <c r="GG19" i="22"/>
  <c r="BD22" i="22"/>
  <c r="GI28" i="22"/>
  <c r="GH28" i="22"/>
  <c r="GI24" i="22"/>
  <c r="GI25" i="22" s="1"/>
  <c r="GI26" i="22" s="1"/>
  <c r="GH24" i="22"/>
  <c r="GH25" i="22" s="1"/>
  <c r="GH26" i="22" s="1"/>
  <c r="GI13" i="22"/>
  <c r="GH13" i="22"/>
  <c r="GI12" i="22"/>
  <c r="GH12" i="22"/>
  <c r="GI11" i="22"/>
  <c r="GH11" i="22"/>
  <c r="GI10" i="22"/>
  <c r="GH10" i="22"/>
  <c r="AA13" i="69"/>
  <c r="EB19" i="69"/>
  <c r="EC19" i="69"/>
  <c r="ED19" i="69"/>
  <c r="ED14" i="69"/>
  <c r="ED15" i="69" s="1"/>
  <c r="ED16" i="69" s="1"/>
  <c r="ED11" i="69"/>
  <c r="ED9" i="69"/>
  <c r="EC14" i="69"/>
  <c r="EC15" i="69" s="1"/>
  <c r="EC16" i="69" s="1"/>
  <c r="EC11" i="69"/>
  <c r="EC9" i="69"/>
  <c r="EB14" i="69"/>
  <c r="EB15" i="69" s="1"/>
  <c r="EB16" i="69" s="1"/>
  <c r="EB11" i="69"/>
  <c r="EB9" i="69"/>
  <c r="BD19" i="22" l="1"/>
  <c r="IY18" i="27"/>
  <c r="IY19" i="27" s="1"/>
  <c r="CL12" i="76"/>
  <c r="CM12" i="76"/>
  <c r="ED14" i="65"/>
  <c r="ED15" i="65" s="1"/>
  <c r="ED16" i="65" s="1"/>
  <c r="ED10" i="65"/>
  <c r="BW8" i="81"/>
  <c r="BW9" i="81" s="1"/>
  <c r="BW10" i="81" s="1"/>
  <c r="BR8" i="83"/>
  <c r="BR9" i="83" s="1"/>
  <c r="BR10" i="83" s="1"/>
  <c r="AA13" i="65"/>
  <c r="EC14" i="65"/>
  <c r="EC15" i="65" s="1"/>
  <c r="EC16" i="65" s="1"/>
  <c r="EC10" i="65"/>
  <c r="BV8" i="81"/>
  <c r="BV9" i="81" s="1"/>
  <c r="BV10" i="81" s="1"/>
  <c r="BQ8" i="83"/>
  <c r="BQ9" i="83" s="1"/>
  <c r="BQ10" i="83" s="1"/>
  <c r="R8" i="76"/>
  <c r="EB10" i="65"/>
  <c r="HD20" i="27"/>
  <c r="HC20" i="27"/>
  <c r="HD18" i="27"/>
  <c r="HD19" i="27" s="1"/>
  <c r="HC18" i="27"/>
  <c r="HC19" i="27" s="1"/>
  <c r="HD16" i="27"/>
  <c r="HC16" i="27"/>
  <c r="HC8" i="27"/>
  <c r="CK11" i="76"/>
  <c r="CK10" i="76"/>
  <c r="CJ11" i="76"/>
  <c r="CJ10" i="76"/>
  <c r="S6" i="76"/>
  <c r="GG28" i="22"/>
  <c r="GF28" i="22"/>
  <c r="GG24" i="22"/>
  <c r="GG25" i="22" s="1"/>
  <c r="GG26" i="22" s="1"/>
  <c r="GF24" i="22"/>
  <c r="GF25" i="22" s="1"/>
  <c r="GF26" i="22" s="1"/>
  <c r="GF19" i="22"/>
  <c r="GG13" i="22"/>
  <c r="GF13" i="22"/>
  <c r="GG12" i="22"/>
  <c r="GF12" i="22"/>
  <c r="GG11" i="22"/>
  <c r="GF11" i="22"/>
  <c r="GG10" i="22"/>
  <c r="GF10" i="22"/>
  <c r="AA11" i="69"/>
  <c r="AA9" i="69"/>
  <c r="EA19" i="69"/>
  <c r="EA14" i="69"/>
  <c r="EA15" i="69" s="1"/>
  <c r="EA16" i="69" s="1"/>
  <c r="EA11" i="69"/>
  <c r="EA9" i="69"/>
  <c r="IZ18" i="27" l="1"/>
  <c r="IZ19" i="27" s="1"/>
  <c r="CJ12" i="76"/>
  <c r="CK12" i="76"/>
  <c r="EB14" i="65"/>
  <c r="EB15" i="65" s="1"/>
  <c r="EB16" i="65" s="1"/>
  <c r="EA14" i="65"/>
  <c r="EA15" i="65" s="1"/>
  <c r="EA16" i="65" s="1"/>
  <c r="EA10" i="65"/>
  <c r="P7" i="81"/>
  <c r="BU8" i="81"/>
  <c r="BU9" i="81" s="1"/>
  <c r="BU10" i="81" s="1"/>
  <c r="BT8" i="81"/>
  <c r="BT9" i="81" s="1"/>
  <c r="BT10" i="81" s="1"/>
  <c r="BP8" i="83"/>
  <c r="BP9" i="83" s="1"/>
  <c r="BP10" i="83" s="1"/>
  <c r="BO8" i="83"/>
  <c r="BO9" i="83" s="1"/>
  <c r="BO10" i="83" s="1"/>
  <c r="JA18" i="27" l="1"/>
  <c r="JA19" i="27" s="1"/>
  <c r="P8" i="81"/>
  <c r="P9" i="81" s="1"/>
  <c r="P10" i="81" s="1"/>
  <c r="L8" i="83"/>
  <c r="L9" i="83" s="1"/>
  <c r="L10" i="83" s="1"/>
  <c r="JB18" i="27" l="1"/>
  <c r="JB19" i="27" s="1"/>
  <c r="BD30" i="22"/>
  <c r="BD29" i="22"/>
  <c r="BD23" i="22"/>
  <c r="BD25" i="22" s="1"/>
  <c r="BD26" i="22" s="1"/>
  <c r="BD27" i="22" s="1"/>
  <c r="BD13" i="22"/>
  <c r="BD10" i="22"/>
  <c r="BD7" i="22"/>
  <c r="BD12" i="22" s="1"/>
  <c r="JC18" i="27" l="1"/>
  <c r="JC19" i="27" s="1"/>
  <c r="BD17" i="27"/>
  <c r="BD18" i="27" s="1"/>
  <c r="BD19" i="27" s="1"/>
  <c r="BD16" i="27"/>
  <c r="HB20" i="27"/>
  <c r="HB18" i="27"/>
  <c r="HB19" i="27" s="1"/>
  <c r="HB16" i="27"/>
  <c r="HB8" i="27"/>
  <c r="S11" i="76"/>
  <c r="CI11" i="76"/>
  <c r="CI10" i="76"/>
  <c r="JD18" i="27" l="1"/>
  <c r="JD19" i="27" s="1"/>
  <c r="CI12" i="76"/>
  <c r="S10" i="76"/>
  <c r="S12" i="76" s="1"/>
  <c r="JE18" i="27" l="1"/>
  <c r="JE19" i="27" s="1"/>
  <c r="GE28" i="22"/>
  <c r="GE24" i="22"/>
  <c r="GE25" i="22" s="1"/>
  <c r="GE26" i="22" s="1"/>
  <c r="GE19" i="22"/>
  <c r="GE13" i="22"/>
  <c r="GE12" i="22"/>
  <c r="GE11" i="22"/>
  <c r="GE10" i="22"/>
  <c r="AA14" i="69"/>
  <c r="AA15" i="69" s="1"/>
  <c r="AA16" i="69" s="1"/>
  <c r="DZ19" i="69"/>
  <c r="DZ14" i="69"/>
  <c r="DZ15" i="69" s="1"/>
  <c r="DZ16" i="69" s="1"/>
  <c r="DZ11" i="69"/>
  <c r="DZ9" i="69"/>
  <c r="DZ14" i="65"/>
  <c r="DZ15" i="65" s="1"/>
  <c r="DZ16" i="65" s="1"/>
  <c r="DZ10" i="65"/>
  <c r="AA14" i="65"/>
  <c r="BS8" i="81"/>
  <c r="BS9" i="81" s="1"/>
  <c r="BS10" i="81" s="1"/>
  <c r="BN8" i="83"/>
  <c r="BN9" i="83" s="1"/>
  <c r="BN10" i="83" s="1"/>
  <c r="GN18" i="27"/>
  <c r="GO18" i="27"/>
  <c r="GP18" i="27"/>
  <c r="GQ18" i="27"/>
  <c r="GR18" i="27"/>
  <c r="GS18" i="27"/>
  <c r="GT18" i="27"/>
  <c r="GU18" i="27"/>
  <c r="GV18" i="27"/>
  <c r="GW18" i="27"/>
  <c r="GX18" i="27"/>
  <c r="GY18" i="27"/>
  <c r="GY19" i="27" s="1"/>
  <c r="GZ18" i="27"/>
  <c r="GZ19" i="27" s="1"/>
  <c r="HA18" i="27"/>
  <c r="HA19" i="27" s="1"/>
  <c r="GJ18" i="27"/>
  <c r="GK18" i="27"/>
  <c r="GL18" i="27"/>
  <c r="GM18" i="27"/>
  <c r="HA20" i="27"/>
  <c r="HA16" i="27"/>
  <c r="HA8" i="27"/>
  <c r="CH11" i="76"/>
  <c r="CH10" i="76"/>
  <c r="GD28" i="22"/>
  <c r="GD24" i="22"/>
  <c r="GD25" i="22" s="1"/>
  <c r="GD26" i="22" s="1"/>
  <c r="GD19" i="22"/>
  <c r="GD13" i="22"/>
  <c r="GD12" i="22"/>
  <c r="GD11" i="22"/>
  <c r="GD10" i="22"/>
  <c r="DY19" i="69"/>
  <c r="DY14" i="69"/>
  <c r="DY15" i="69" s="1"/>
  <c r="DY16" i="69" s="1"/>
  <c r="DY11" i="69"/>
  <c r="DY9" i="69"/>
  <c r="DY14" i="65"/>
  <c r="DY15" i="65" s="1"/>
  <c r="DY16" i="65" s="1"/>
  <c r="DY10" i="65"/>
  <c r="Z9" i="65"/>
  <c r="BR8" i="81"/>
  <c r="BR9" i="81" s="1"/>
  <c r="BR10" i="81" s="1"/>
  <c r="K7" i="83"/>
  <c r="K8" i="83" s="1"/>
  <c r="K9" i="83" s="1"/>
  <c r="K10" i="83" s="1"/>
  <c r="BM8" i="83"/>
  <c r="BM9" i="83" s="1"/>
  <c r="BM10" i="83" s="1"/>
  <c r="BC12" i="27"/>
  <c r="BC11" i="27"/>
  <c r="BC14" i="27"/>
  <c r="GZ20" i="27"/>
  <c r="GZ16" i="27"/>
  <c r="GZ8" i="27"/>
  <c r="R9" i="76"/>
  <c r="R11" i="76" s="1"/>
  <c r="R6" i="76"/>
  <c r="CG11" i="76"/>
  <c r="CG10" i="76"/>
  <c r="BC18" i="22"/>
  <c r="BC22" i="22"/>
  <c r="GC28" i="22"/>
  <c r="GC24" i="22"/>
  <c r="GC25" i="22" s="1"/>
  <c r="GC26" i="22" s="1"/>
  <c r="GC19" i="22"/>
  <c r="GC13" i="22"/>
  <c r="GC12" i="22"/>
  <c r="GC11" i="22"/>
  <c r="GC10" i="22"/>
  <c r="Z13" i="69"/>
  <c r="Z14" i="69" s="1"/>
  <c r="Z15" i="69" s="1"/>
  <c r="Z16" i="69" s="1"/>
  <c r="DX19" i="69"/>
  <c r="DX14" i="69"/>
  <c r="DX15" i="69" s="1"/>
  <c r="DX16" i="69" s="1"/>
  <c r="DX11" i="69"/>
  <c r="DX9" i="69"/>
  <c r="Z11" i="69"/>
  <c r="Z9" i="69"/>
  <c r="Z13" i="65"/>
  <c r="DX14" i="65"/>
  <c r="DX15" i="65" s="1"/>
  <c r="DX16" i="65" s="1"/>
  <c r="DX10" i="65"/>
  <c r="O7" i="81"/>
  <c r="O8" i="81" s="1"/>
  <c r="O9" i="81" s="1"/>
  <c r="O10" i="81" s="1"/>
  <c r="BQ8" i="81"/>
  <c r="BQ9" i="81" s="1"/>
  <c r="BQ10" i="81" s="1"/>
  <c r="BL8" i="83"/>
  <c r="BL9" i="83" s="1"/>
  <c r="BL10" i="83" s="1"/>
  <c r="GY20" i="27"/>
  <c r="GY16" i="27"/>
  <c r="GY8" i="27"/>
  <c r="CF11" i="76"/>
  <c r="CF10" i="76"/>
  <c r="GB28" i="22"/>
  <c r="GB24" i="22"/>
  <c r="GB25" i="22" s="1"/>
  <c r="GB26" i="22" s="1"/>
  <c r="GB19" i="22"/>
  <c r="GB13" i="22"/>
  <c r="GB12" i="22"/>
  <c r="GB11" i="22"/>
  <c r="GB10" i="22"/>
  <c r="DW19" i="69"/>
  <c r="DW14" i="69"/>
  <c r="DW15" i="69" s="1"/>
  <c r="DW16" i="69" s="1"/>
  <c r="DW11" i="69"/>
  <c r="DW9" i="69"/>
  <c r="DW14" i="65"/>
  <c r="DW15" i="65" s="1"/>
  <c r="DW16" i="65" s="1"/>
  <c r="DW10" i="65"/>
  <c r="JG18" i="27" l="1"/>
  <c r="JG19" i="27" s="1"/>
  <c r="JF18" i="27"/>
  <c r="JF19" i="27" s="1"/>
  <c r="CG12" i="76"/>
  <c r="Z10" i="65"/>
  <c r="CH12" i="76"/>
  <c r="BC19" i="22"/>
  <c r="AA15" i="65"/>
  <c r="AA16" i="65" s="1"/>
  <c r="R10" i="76"/>
  <c r="R12" i="76" s="1"/>
  <c r="CF12" i="76"/>
  <c r="BP8" i="81"/>
  <c r="BP9" i="81" s="1"/>
  <c r="BP10" i="81" s="1"/>
  <c r="BK8" i="83" l="1"/>
  <c r="BK9" i="83" s="1"/>
  <c r="BK10" i="83" s="1"/>
  <c r="Z14" i="65"/>
  <c r="CE11" i="76"/>
  <c r="CE10" i="76"/>
  <c r="CE12" i="76" l="1"/>
  <c r="Z15" i="65"/>
  <c r="Z16" i="65" s="1"/>
  <c r="BC17" i="27"/>
  <c r="GX20" i="27"/>
  <c r="GX19" i="27"/>
  <c r="GX16" i="27"/>
  <c r="GX8" i="27"/>
  <c r="BC30" i="22"/>
  <c r="BC29" i="22"/>
  <c r="BC23" i="22"/>
  <c r="BC25" i="22" s="1"/>
  <c r="BC26" i="22" s="1"/>
  <c r="BC27" i="22" s="1"/>
  <c r="BC13" i="22"/>
  <c r="BC10" i="22"/>
  <c r="BC7" i="22"/>
  <c r="BC12" i="22" s="1"/>
  <c r="GA28" i="22"/>
  <c r="GA24" i="22"/>
  <c r="GA25" i="22" s="1"/>
  <c r="GA26" i="22" s="1"/>
  <c r="GA19" i="22"/>
  <c r="GA13" i="22"/>
  <c r="GA12" i="22"/>
  <c r="GA11" i="22"/>
  <c r="GA10" i="22"/>
  <c r="DV19" i="69"/>
  <c r="DV14" i="69"/>
  <c r="DV15" i="69" s="1"/>
  <c r="DV16" i="69" s="1"/>
  <c r="DV11" i="69"/>
  <c r="DV9" i="69"/>
  <c r="Y9" i="65"/>
  <c r="Y13" i="65"/>
  <c r="DV14" i="65"/>
  <c r="DV15" i="65" s="1"/>
  <c r="DV16" i="65" s="1"/>
  <c r="DV10" i="65"/>
  <c r="BO8" i="81"/>
  <c r="BO9" i="81" s="1"/>
  <c r="BO10" i="81" s="1"/>
  <c r="W7" i="27"/>
  <c r="W8" i="27" s="1"/>
  <c r="W9" i="27" s="1"/>
  <c r="X7" i="27"/>
  <c r="X8" i="27" s="1"/>
  <c r="X9" i="27" s="1"/>
  <c r="Y7" i="27"/>
  <c r="Y8" i="27" s="1"/>
  <c r="Y9" i="27" s="1"/>
  <c r="Z7" i="27"/>
  <c r="Z8" i="27" s="1"/>
  <c r="Z9" i="27" s="1"/>
  <c r="AA7" i="27"/>
  <c r="AA8" i="27" s="1"/>
  <c r="AC7" i="27"/>
  <c r="AK7" i="27"/>
  <c r="DD7" i="27"/>
  <c r="DE7" i="27"/>
  <c r="DF7" i="27"/>
  <c r="DG7" i="27"/>
  <c r="DH7" i="27"/>
  <c r="DI7" i="27"/>
  <c r="DJ7" i="27"/>
  <c r="DK7" i="27"/>
  <c r="DL7" i="27"/>
  <c r="DM7" i="27"/>
  <c r="DN7" i="27"/>
  <c r="DO7" i="27"/>
  <c r="DP7" i="27"/>
  <c r="DQ7" i="27"/>
  <c r="DR7" i="27"/>
  <c r="DS7" i="27"/>
  <c r="EG7" i="27"/>
  <c r="EH7" i="27"/>
  <c r="EI7" i="27"/>
  <c r="EJ7" i="27"/>
  <c r="EK7" i="27"/>
  <c r="EL7" i="27"/>
  <c r="EM7" i="27"/>
  <c r="EN7" i="27"/>
  <c r="EN8" i="27" s="1"/>
  <c r="AM8" i="27" s="1"/>
  <c r="AM9" i="27" s="1"/>
  <c r="EO7" i="27"/>
  <c r="EP7" i="27"/>
  <c r="EP8" i="27" s="1"/>
  <c r="EQ7" i="27"/>
  <c r="EQ8" i="27" s="1"/>
  <c r="ER7" i="27"/>
  <c r="ER8" i="27" s="1"/>
  <c r="ES7" i="27"/>
  <c r="ET7" i="27"/>
  <c r="ET8" i="27" s="1"/>
  <c r="EU7" i="27"/>
  <c r="EU8" i="27" s="1"/>
  <c r="EV7" i="27"/>
  <c r="EV8" i="27" s="1"/>
  <c r="EW7" i="27"/>
  <c r="EW8" i="27" s="1"/>
  <c r="EX7" i="27"/>
  <c r="EX8" i="27" s="1"/>
  <c r="EY7" i="27"/>
  <c r="EY8" i="27" s="1"/>
  <c r="EZ7" i="27"/>
  <c r="EZ8" i="27" s="1"/>
  <c r="FA7" i="27"/>
  <c r="FA8" i="27" s="1"/>
  <c r="FB7" i="27"/>
  <c r="FC7" i="27"/>
  <c r="FC8" i="27" s="1"/>
  <c r="FD7" i="27"/>
  <c r="FD8" i="27" s="1"/>
  <c r="FE7" i="27"/>
  <c r="FE8" i="27" s="1"/>
  <c r="FF7" i="27"/>
  <c r="FG7" i="27"/>
  <c r="FG8" i="27" s="1"/>
  <c r="FH7" i="27"/>
  <c r="FH8" i="27" s="1"/>
  <c r="FI7" i="27"/>
  <c r="FI8" i="27" s="1"/>
  <c r="FJ7" i="27"/>
  <c r="FK7" i="27"/>
  <c r="FK8" i="27" s="1"/>
  <c r="FL7" i="27"/>
  <c r="FL8" i="27" s="1"/>
  <c r="FM7" i="27"/>
  <c r="FM8" i="27" s="1"/>
  <c r="FN7" i="27"/>
  <c r="FN8" i="27" s="1"/>
  <c r="FO7" i="27"/>
  <c r="FO8" i="27" s="1"/>
  <c r="AT8" i="27" s="1"/>
  <c r="FP7" i="27"/>
  <c r="FP8" i="27" s="1"/>
  <c r="AU8" i="27" s="1"/>
  <c r="FQ7" i="27"/>
  <c r="FQ8" i="27" s="1"/>
  <c r="AV8" i="27" s="1"/>
  <c r="FR7" i="27"/>
  <c r="FR8" i="27" s="1"/>
  <c r="AW8" i="27" s="1"/>
  <c r="FS7" i="27"/>
  <c r="FS8" i="27" s="1"/>
  <c r="AX8" i="27" s="1"/>
  <c r="FT7" i="27"/>
  <c r="FT8" i="27" s="1"/>
  <c r="AY8" i="27" s="1"/>
  <c r="FU7" i="27"/>
  <c r="FU8" i="27" s="1"/>
  <c r="AZ8" i="27" s="1"/>
  <c r="FV7" i="27"/>
  <c r="FV8" i="27" s="1"/>
  <c r="BA8" i="27" s="1"/>
  <c r="FW7" i="27"/>
  <c r="FW8" i="27" s="1"/>
  <c r="BB8" i="27" s="1"/>
  <c r="FX7" i="27"/>
  <c r="FX8" i="27" s="1"/>
  <c r="BC8" i="27" s="1"/>
  <c r="FY7" i="27"/>
  <c r="FY8" i="27" s="1"/>
  <c r="BD8" i="27" s="1"/>
  <c r="FZ7" i="27"/>
  <c r="FZ8" i="27" s="1"/>
  <c r="BE8" i="27" s="1"/>
  <c r="GA7" i="27"/>
  <c r="GA8" i="27" s="1"/>
  <c r="BF8" i="27" s="1"/>
  <c r="GB7" i="27"/>
  <c r="GB8" i="27" s="1"/>
  <c r="BG8" i="27" s="1"/>
  <c r="GC7" i="27"/>
  <c r="GC8" i="27" s="1"/>
  <c r="BH8" i="27" s="1"/>
  <c r="GD7" i="27"/>
  <c r="GD8" i="27" s="1"/>
  <c r="BI8" i="27" s="1"/>
  <c r="I8" i="27"/>
  <c r="J8" i="27"/>
  <c r="K8" i="27"/>
  <c r="L8" i="27"/>
  <c r="M8" i="27"/>
  <c r="N8" i="27"/>
  <c r="O8" i="27"/>
  <c r="P8" i="27"/>
  <c r="Q8" i="27"/>
  <c r="R8" i="27"/>
  <c r="S8" i="27"/>
  <c r="T8" i="27"/>
  <c r="U8" i="27"/>
  <c r="V8" i="27"/>
  <c r="V9" i="27" s="1"/>
  <c r="AD8" i="27"/>
  <c r="AD9" i="27" s="1"/>
  <c r="AE8" i="27"/>
  <c r="AE9" i="27" s="1"/>
  <c r="AF8" i="27"/>
  <c r="AF9" i="27" s="1"/>
  <c r="AG8" i="27"/>
  <c r="AG9" i="27" s="1"/>
  <c r="AH8" i="27"/>
  <c r="AH9" i="27" s="1"/>
  <c r="AI8" i="27"/>
  <c r="AI9" i="27" s="1"/>
  <c r="AJ8" i="27"/>
  <c r="AJ9" i="27" s="1"/>
  <c r="AK8" i="27"/>
  <c r="AK9" i="27" s="1"/>
  <c r="AL8" i="27"/>
  <c r="AL9" i="27" s="1"/>
  <c r="DT8" i="27"/>
  <c r="DT9" i="27" s="1"/>
  <c r="DU8" i="27"/>
  <c r="DU9" i="27" s="1"/>
  <c r="DV8" i="27"/>
  <c r="DV9" i="27" s="1"/>
  <c r="DW8" i="27"/>
  <c r="DW9" i="27" s="1"/>
  <c r="GE8" i="27"/>
  <c r="BJ8" i="27" s="1"/>
  <c r="GF8" i="27"/>
  <c r="BK8" i="27" s="1"/>
  <c r="GG8" i="27"/>
  <c r="BL8" i="27" s="1"/>
  <c r="GH8" i="27"/>
  <c r="BM8" i="27" s="1"/>
  <c r="GI8" i="27"/>
  <c r="BN8" i="27" s="1"/>
  <c r="GJ8" i="27"/>
  <c r="BO8" i="27" s="1"/>
  <c r="GK8" i="27"/>
  <c r="BP8" i="27" s="1"/>
  <c r="GL8" i="27"/>
  <c r="BQ8" i="27" s="1"/>
  <c r="GM8" i="27"/>
  <c r="BR8" i="27" s="1"/>
  <c r="GN8" i="27"/>
  <c r="BS8" i="27" s="1"/>
  <c r="GO8" i="27"/>
  <c r="BT8" i="27" s="1"/>
  <c r="GP8" i="27"/>
  <c r="BU8" i="27" s="1"/>
  <c r="GQ8" i="27"/>
  <c r="BV8" i="27" s="1"/>
  <c r="GR8" i="27"/>
  <c r="BW8" i="27" s="1"/>
  <c r="GS8" i="27"/>
  <c r="BX8" i="27" s="1"/>
  <c r="GT8" i="27"/>
  <c r="BY8" i="27" s="1"/>
  <c r="GU8" i="27"/>
  <c r="BZ8" i="27" s="1"/>
  <c r="GV8" i="27"/>
  <c r="CA8" i="27" s="1"/>
  <c r="GW8" i="27"/>
  <c r="CB8" i="27" s="1"/>
  <c r="AC9" i="27"/>
  <c r="FD9" i="27"/>
  <c r="BC18" i="27" l="1"/>
  <c r="BC19" i="27" s="1"/>
  <c r="AZ7" i="27"/>
  <c r="AY7" i="27"/>
  <c r="AX7" i="27"/>
  <c r="AL7" i="27"/>
  <c r="AW7" i="27"/>
  <c r="AU7" i="27"/>
  <c r="AT7" i="27"/>
  <c r="BC16" i="27"/>
  <c r="AV7" i="27"/>
  <c r="AM7" i="27"/>
  <c r="AP8" i="27"/>
  <c r="AS7" i="27"/>
  <c r="AR7" i="27"/>
  <c r="AN7" i="27"/>
  <c r="AQ7" i="27"/>
  <c r="AP7" i="27"/>
  <c r="AO7" i="27"/>
  <c r="BA7" i="27"/>
  <c r="FJ8" i="27"/>
  <c r="AS8" i="27" s="1"/>
  <c r="ES8" i="27"/>
  <c r="AO8" i="27" s="1"/>
  <c r="FF8" i="27"/>
  <c r="AR8" i="27" s="1"/>
  <c r="EO8" i="27"/>
  <c r="AN8" i="27" s="1"/>
  <c r="FB8" i="27"/>
  <c r="AQ8" i="27" s="1"/>
  <c r="BJ8" i="83" l="1"/>
  <c r="BJ9" i="83" s="1"/>
  <c r="BJ10" i="83" s="1"/>
  <c r="EG17" i="27"/>
  <c r="GW20" i="27"/>
  <c r="GW19" i="27"/>
  <c r="GW16" i="27"/>
  <c r="CD11" i="76"/>
  <c r="CD10" i="76"/>
  <c r="FZ28" i="22"/>
  <c r="FZ24" i="22"/>
  <c r="FZ25" i="22" s="1"/>
  <c r="FZ26" i="22" s="1"/>
  <c r="FZ19" i="22"/>
  <c r="FZ13" i="22"/>
  <c r="FZ12" i="22"/>
  <c r="FZ11" i="22"/>
  <c r="FZ10" i="22"/>
  <c r="DS11" i="69"/>
  <c r="DT11" i="69"/>
  <c r="DU11" i="69"/>
  <c r="DU19" i="69"/>
  <c r="DU14" i="69"/>
  <c r="DU15" i="69" s="1"/>
  <c r="DU16" i="69" s="1"/>
  <c r="DU9" i="69"/>
  <c r="DU14" i="65"/>
  <c r="DU15" i="65" s="1"/>
  <c r="DU16" i="65" s="1"/>
  <c r="DU10" i="65"/>
  <c r="BN8" i="81"/>
  <c r="BN9" i="81" s="1"/>
  <c r="BN10" i="81" s="1"/>
  <c r="BI8" i="83"/>
  <c r="BI9" i="83" s="1"/>
  <c r="BI10" i="83" s="1"/>
  <c r="GV20" i="27"/>
  <c r="GV19" i="27"/>
  <c r="GV16" i="27"/>
  <c r="CC11" i="76"/>
  <c r="CC10" i="76"/>
  <c r="FY19" i="22"/>
  <c r="FY28" i="22"/>
  <c r="FY24" i="22"/>
  <c r="FY25" i="22" s="1"/>
  <c r="FY26" i="22" s="1"/>
  <c r="FY13" i="22"/>
  <c r="FY12" i="22"/>
  <c r="FY11" i="22"/>
  <c r="FY10" i="22"/>
  <c r="DT19" i="69"/>
  <c r="DT14" i="69"/>
  <c r="DT15" i="69" s="1"/>
  <c r="DT16" i="69" s="1"/>
  <c r="DT9" i="69"/>
  <c r="DT14" i="65"/>
  <c r="DT15" i="65" s="1"/>
  <c r="DT16" i="65" s="1"/>
  <c r="DT10" i="65"/>
  <c r="BM8" i="81"/>
  <c r="BM9" i="81" s="1"/>
  <c r="BM10" i="81" s="1"/>
  <c r="BH8" i="83"/>
  <c r="BH9" i="83" s="1"/>
  <c r="BH10" i="83" s="1"/>
  <c r="FX19" i="22"/>
  <c r="GT16" i="27"/>
  <c r="CD12" i="76" l="1"/>
  <c r="CC12" i="76"/>
  <c r="BB14" i="27"/>
  <c r="BB16" i="27" s="1"/>
  <c r="BB12" i="27"/>
  <c r="BB11" i="27"/>
  <c r="BA11" i="27"/>
  <c r="GU20" i="27"/>
  <c r="GU19" i="27"/>
  <c r="GU16" i="27"/>
  <c r="BB17" i="27" l="1"/>
  <c r="Q9" i="76"/>
  <c r="Q8" i="76"/>
  <c r="P8" i="76"/>
  <c r="CB11" i="76"/>
  <c r="CB10" i="76"/>
  <c r="BB30" i="22"/>
  <c r="BB29" i="22"/>
  <c r="BB17" i="22"/>
  <c r="BB18" i="22"/>
  <c r="BB19" i="22"/>
  <c r="BB22" i="22"/>
  <c r="BB23" i="22" s="1"/>
  <c r="BB25" i="22" s="1"/>
  <c r="BB26" i="22" s="1"/>
  <c r="BB27" i="22" s="1"/>
  <c r="BB16" i="22"/>
  <c r="BA16" i="22"/>
  <c r="FX28" i="22"/>
  <c r="FX24" i="22"/>
  <c r="FX25" i="22" s="1"/>
  <c r="FX26" i="22" s="1"/>
  <c r="Y13" i="69"/>
  <c r="Y14" i="69" s="1"/>
  <c r="Y15" i="69" s="1"/>
  <c r="Y16" i="69" s="1"/>
  <c r="Y11" i="69"/>
  <c r="Y9" i="69"/>
  <c r="DS19" i="69"/>
  <c r="DS14" i="69"/>
  <c r="DS15" i="69" s="1"/>
  <c r="DS16" i="69" s="1"/>
  <c r="Y14" i="65"/>
  <c r="Y15" i="65" s="1"/>
  <c r="Y16" i="65" s="1"/>
  <c r="DS14" i="65"/>
  <c r="DS15" i="65" s="1"/>
  <c r="DS16" i="65" s="1"/>
  <c r="N7" i="81"/>
  <c r="N8" i="81" s="1"/>
  <c r="N9" i="81" s="1"/>
  <c r="N10" i="81" s="1"/>
  <c r="BL8" i="81"/>
  <c r="BL9" i="81" s="1"/>
  <c r="BL10" i="81" s="1"/>
  <c r="BG8" i="83"/>
  <c r="BG9" i="83" s="1"/>
  <c r="BG10" i="83" s="1"/>
  <c r="J7" i="83"/>
  <c r="J8" i="83" s="1"/>
  <c r="J9" i="83" s="1"/>
  <c r="J10" i="83" s="1"/>
  <c r="FV28" i="22"/>
  <c r="FU28" i="22"/>
  <c r="BB18" i="27" l="1"/>
  <c r="BB19" i="27" s="1"/>
  <c r="Q10" i="76"/>
  <c r="Q11" i="76"/>
  <c r="CB12" i="76"/>
  <c r="DS10" i="65"/>
  <c r="Y10" i="65" s="1"/>
  <c r="DS9" i="69"/>
  <c r="BB13" i="22"/>
  <c r="BB10" i="22"/>
  <c r="BB7" i="22"/>
  <c r="BB12" i="22" s="1"/>
  <c r="Q12" i="76" l="1"/>
  <c r="FX13" i="22"/>
  <c r="FX12" i="22"/>
  <c r="FX11" i="22"/>
  <c r="FX10" i="22"/>
  <c r="Q6" i="76"/>
  <c r="FW19" i="22" l="1"/>
  <c r="FV19" i="22" l="1"/>
  <c r="BA14" i="27"/>
  <c r="BA12" i="27"/>
  <c r="GT22" i="27"/>
  <c r="GT20" i="27"/>
  <c r="GT19" i="27"/>
  <c r="GS22" i="27"/>
  <c r="GS20" i="27"/>
  <c r="GS19" i="27"/>
  <c r="GS16" i="27"/>
  <c r="GR22" i="27"/>
  <c r="GR20" i="27"/>
  <c r="GR19" i="27"/>
  <c r="GR16" i="27"/>
  <c r="P9" i="76"/>
  <c r="CA11" i="76"/>
  <c r="CA10" i="76"/>
  <c r="BZ11" i="76"/>
  <c r="BZ10" i="76"/>
  <c r="BY11" i="76"/>
  <c r="BY10" i="76"/>
  <c r="BA17" i="22"/>
  <c r="BA18" i="22"/>
  <c r="BA22" i="22"/>
  <c r="FW28" i="22"/>
  <c r="FW24" i="22"/>
  <c r="FW25" i="22" s="1"/>
  <c r="FW26" i="22" s="1"/>
  <c r="FW13" i="22"/>
  <c r="FW11" i="22"/>
  <c r="FW10" i="22"/>
  <c r="FW7" i="22"/>
  <c r="FW12" i="22" s="1"/>
  <c r="FV24" i="22"/>
  <c r="FV25" i="22" s="1"/>
  <c r="FV26" i="22" s="1"/>
  <c r="FV13" i="22"/>
  <c r="FV11" i="22"/>
  <c r="FV10" i="22"/>
  <c r="FV7" i="22"/>
  <c r="FV12" i="22" s="1"/>
  <c r="FU24" i="22"/>
  <c r="FU25" i="22" s="1"/>
  <c r="FU26" i="22" s="1"/>
  <c r="FU19" i="22"/>
  <c r="FU13" i="22"/>
  <c r="FU11" i="22"/>
  <c r="FU10" i="22"/>
  <c r="FU7" i="22"/>
  <c r="FU12" i="22" s="1"/>
  <c r="X13" i="69"/>
  <c r="DR19" i="69"/>
  <c r="DR14" i="69"/>
  <c r="DR15" i="69" s="1"/>
  <c r="DR16" i="69" s="1"/>
  <c r="DR11" i="69"/>
  <c r="DR9" i="69"/>
  <c r="DQ19" i="69"/>
  <c r="DQ14" i="69"/>
  <c r="DQ15" i="69" s="1"/>
  <c r="DQ16" i="69" s="1"/>
  <c r="DQ11" i="69"/>
  <c r="DQ9" i="69"/>
  <c r="DP19" i="69"/>
  <c r="DP14" i="69"/>
  <c r="DP15" i="69" s="1"/>
  <c r="DP16" i="69" s="1"/>
  <c r="DP11" i="69"/>
  <c r="DP9" i="69"/>
  <c r="X13" i="65"/>
  <c r="X14" i="65" s="1"/>
  <c r="X9" i="65"/>
  <c r="DR14" i="65"/>
  <c r="DR15" i="65" s="1"/>
  <c r="DR16" i="65" s="1"/>
  <c r="DR10" i="65"/>
  <c r="DQ14" i="65"/>
  <c r="DQ15" i="65" s="1"/>
  <c r="DQ16" i="65" s="1"/>
  <c r="DQ10" i="65"/>
  <c r="DP14" i="65"/>
  <c r="DP15" i="65" s="1"/>
  <c r="DP16" i="65" s="1"/>
  <c r="DP10" i="65"/>
  <c r="M7" i="81"/>
  <c r="BK8" i="81"/>
  <c r="BK9" i="81" s="1"/>
  <c r="BK10" i="81" s="1"/>
  <c r="BJ8" i="81"/>
  <c r="BJ9" i="81" s="1"/>
  <c r="BJ10" i="81" s="1"/>
  <c r="BI8" i="81"/>
  <c r="BI9" i="81" s="1"/>
  <c r="BI10" i="81" s="1"/>
  <c r="I7" i="83"/>
  <c r="BF8" i="83"/>
  <c r="BF9" i="83" s="1"/>
  <c r="BF10" i="83" s="1"/>
  <c r="BE8" i="83"/>
  <c r="BE9" i="83" s="1"/>
  <c r="BE10" i="83" s="1"/>
  <c r="BD8" i="83"/>
  <c r="BD9" i="83" s="1"/>
  <c r="BD10" i="83" s="1"/>
  <c r="CA12" i="76" l="1"/>
  <c r="BY12" i="76"/>
  <c r="BZ12" i="76"/>
  <c r="BX11" i="76"/>
  <c r="BX10" i="76"/>
  <c r="BX12" i="76" l="1"/>
  <c r="M8" i="81"/>
  <c r="M9" i="81" s="1"/>
  <c r="M10" i="81" s="1"/>
  <c r="BH8" i="81"/>
  <c r="BH9" i="81" s="1"/>
  <c r="BH10" i="81" s="1"/>
  <c r="I8" i="83"/>
  <c r="I9" i="83" s="1"/>
  <c r="I10" i="83" s="1"/>
  <c r="BC8" i="83"/>
  <c r="BC9" i="83" s="1"/>
  <c r="BC10" i="83" s="1"/>
  <c r="AZ14" i="27" l="1"/>
  <c r="AZ12" i="27"/>
  <c r="AZ11" i="27"/>
  <c r="BA16" i="27"/>
  <c r="GQ22" i="27"/>
  <c r="GQ20" i="27"/>
  <c r="GQ19" i="27"/>
  <c r="GQ16" i="27"/>
  <c r="P11" i="76"/>
  <c r="P6" i="76"/>
  <c r="P10" i="76" l="1"/>
  <c r="P12" i="76" s="1"/>
  <c r="BA17" i="27"/>
  <c r="BA18" i="27" s="1"/>
  <c r="BA23" i="22" l="1"/>
  <c r="BA25" i="22" s="1"/>
  <c r="BA26" i="22" s="1"/>
  <c r="BA27" i="22" s="1"/>
  <c r="BA30" i="22"/>
  <c r="BA29" i="22"/>
  <c r="BA13" i="22"/>
  <c r="BA10" i="22"/>
  <c r="BA7" i="22"/>
  <c r="BA12" i="22" s="1"/>
  <c r="FT24" i="22"/>
  <c r="FT25" i="22" s="1"/>
  <c r="FT26" i="22" s="1"/>
  <c r="FT19" i="22"/>
  <c r="BA19" i="22" s="1"/>
  <c r="FT13" i="22"/>
  <c r="FT11" i="22"/>
  <c r="FT10" i="22"/>
  <c r="FT7" i="22"/>
  <c r="FT12" i="22" s="1"/>
  <c r="X14" i="69"/>
  <c r="X15" i="69" s="1"/>
  <c r="X16" i="69" s="1"/>
  <c r="DO19" i="69"/>
  <c r="DO14" i="69"/>
  <c r="DO15" i="69" s="1"/>
  <c r="DO16" i="69" s="1"/>
  <c r="DO11" i="69"/>
  <c r="DO9" i="69"/>
  <c r="X11" i="69"/>
  <c r="X9" i="69"/>
  <c r="DO14" i="65"/>
  <c r="DO15" i="65" s="1"/>
  <c r="DO16" i="65" s="1"/>
  <c r="DO10" i="65"/>
  <c r="X10" i="65" s="1"/>
  <c r="GP22" i="27"/>
  <c r="GP20" i="27"/>
  <c r="GP19" i="27"/>
  <c r="GP16" i="27"/>
  <c r="O9" i="76"/>
  <c r="O8" i="76"/>
  <c r="BW11" i="76"/>
  <c r="BW10" i="76"/>
  <c r="FS11" i="22"/>
  <c r="FS10" i="22"/>
  <c r="FS7" i="22"/>
  <c r="FS12" i="22" s="1"/>
  <c r="FS13" i="22"/>
  <c r="AZ17" i="22"/>
  <c r="AZ18" i="22"/>
  <c r="AZ22" i="22"/>
  <c r="AZ16" i="22"/>
  <c r="FS24" i="22"/>
  <c r="FS25" i="22" s="1"/>
  <c r="FS26" i="22" s="1"/>
  <c r="FS19" i="22"/>
  <c r="DN14" i="69"/>
  <c r="DN15" i="69" s="1"/>
  <c r="DN16" i="69" s="1"/>
  <c r="DN19" i="69"/>
  <c r="W13" i="69"/>
  <c r="DN11" i="69"/>
  <c r="DN9" i="69"/>
  <c r="W13" i="65"/>
  <c r="W12" i="65"/>
  <c r="W11" i="65"/>
  <c r="W9" i="65"/>
  <c r="DN14" i="65"/>
  <c r="DN15" i="65" s="1"/>
  <c r="DN16" i="65" s="1"/>
  <c r="DN10" i="65"/>
  <c r="BG8" i="81"/>
  <c r="BG9" i="81" s="1"/>
  <c r="BG10" i="81" s="1"/>
  <c r="L7" i="81"/>
  <c r="BB8" i="83"/>
  <c r="BB9" i="83" s="1"/>
  <c r="BB10" i="83" s="1"/>
  <c r="H7" i="83"/>
  <c r="GO22" i="27"/>
  <c r="GO20" i="27"/>
  <c r="GO19" i="27"/>
  <c r="GO16" i="27"/>
  <c r="BV11" i="76"/>
  <c r="BV10" i="76"/>
  <c r="BW12" i="76" l="1"/>
  <c r="X15" i="65"/>
  <c r="X16" i="65" s="1"/>
  <c r="BV12" i="76"/>
  <c r="FR24" i="22"/>
  <c r="FR25" i="22" s="1"/>
  <c r="FR26" i="22" s="1"/>
  <c r="FR19" i="22"/>
  <c r="FR13" i="22"/>
  <c r="FR11" i="22"/>
  <c r="FR10" i="22"/>
  <c r="FR7" i="22"/>
  <c r="FR12" i="22" s="1"/>
  <c r="DM19" i="69"/>
  <c r="DM14" i="69"/>
  <c r="DM15" i="69" s="1"/>
  <c r="DM16" i="69" s="1"/>
  <c r="DM11" i="69"/>
  <c r="DM9" i="69"/>
  <c r="DM18" i="65"/>
  <c r="DM14" i="65"/>
  <c r="DM15" i="65" s="1"/>
  <c r="DM16" i="65" s="1"/>
  <c r="DM10" i="65"/>
  <c r="BF8" i="81"/>
  <c r="BF9" i="81" s="1"/>
  <c r="BF10" i="81" s="1"/>
  <c r="BA8" i="83"/>
  <c r="BA9" i="83" s="1"/>
  <c r="BA10" i="83" s="1"/>
  <c r="GN22" i="27"/>
  <c r="GN20" i="27"/>
  <c r="GN19" i="27"/>
  <c r="GN16" i="27"/>
  <c r="O11" i="76"/>
  <c r="BU11" i="76"/>
  <c r="BU10" i="76"/>
  <c r="FQ24" i="22"/>
  <c r="FQ25" i="22" s="1"/>
  <c r="FQ26" i="22" s="1"/>
  <c r="FQ19" i="22"/>
  <c r="FQ13" i="22"/>
  <c r="FQ11" i="22"/>
  <c r="FQ10" i="22"/>
  <c r="FQ7" i="22"/>
  <c r="FQ12" i="22" s="1"/>
  <c r="DL19" i="69"/>
  <c r="DL14" i="69"/>
  <c r="DL15" i="69" s="1"/>
  <c r="DL16" i="69" s="1"/>
  <c r="DL11" i="69"/>
  <c r="DL9" i="69"/>
  <c r="DL18" i="65"/>
  <c r="DL14" i="65"/>
  <c r="DL15" i="65" s="1"/>
  <c r="DL16" i="65" s="1"/>
  <c r="DL10" i="65"/>
  <c r="BE8" i="81"/>
  <c r="BE9" i="81" s="1"/>
  <c r="BE10" i="81" s="1"/>
  <c r="AZ8" i="83"/>
  <c r="AZ9" i="83" s="1"/>
  <c r="AZ10" i="83" s="1"/>
  <c r="AY14" i="27"/>
  <c r="AY12" i="27"/>
  <c r="AY11" i="27"/>
  <c r="N9" i="76"/>
  <c r="N11" i="76" s="1"/>
  <c r="N8" i="76"/>
  <c r="O6" i="76"/>
  <c r="BT11" i="76"/>
  <c r="BS11" i="76"/>
  <c r="BT10" i="76"/>
  <c r="BS10" i="76"/>
  <c r="GM22" i="27"/>
  <c r="GL22" i="27"/>
  <c r="GM20" i="27"/>
  <c r="GL20" i="27"/>
  <c r="GM19" i="27"/>
  <c r="GL19" i="27"/>
  <c r="GM16" i="27"/>
  <c r="GL16" i="27"/>
  <c r="AY17" i="22"/>
  <c r="AY18" i="22"/>
  <c r="AY22" i="22"/>
  <c r="AY16" i="22"/>
  <c r="FP24" i="22"/>
  <c r="FP25" i="22" s="1"/>
  <c r="FP26" i="22" s="1"/>
  <c r="FO24" i="22"/>
  <c r="FO25" i="22" s="1"/>
  <c r="FO26" i="22" s="1"/>
  <c r="FP19" i="22"/>
  <c r="FO19" i="22"/>
  <c r="FP13" i="22"/>
  <c r="FO13" i="22"/>
  <c r="FP11" i="22"/>
  <c r="FO11" i="22"/>
  <c r="FP10" i="22"/>
  <c r="FO10" i="22"/>
  <c r="FP7" i="22"/>
  <c r="FP12" i="22" s="1"/>
  <c r="FO7" i="22"/>
  <c r="FO12" i="22" s="1"/>
  <c r="V13" i="69"/>
  <c r="BT12" i="76" l="1"/>
  <c r="AZ19" i="22"/>
  <c r="BU12" i="76"/>
  <c r="BS12" i="76"/>
  <c r="O10" i="76"/>
  <c r="O12" i="76" s="1"/>
  <c r="DE19" i="69"/>
  <c r="DF19" i="69"/>
  <c r="DG19" i="69"/>
  <c r="DH19" i="69"/>
  <c r="DI19" i="69"/>
  <c r="DJ19" i="69"/>
  <c r="DK19" i="69"/>
  <c r="DD19" i="69"/>
  <c r="DK14" i="69"/>
  <c r="DK15" i="69" s="1"/>
  <c r="DK16" i="69" s="1"/>
  <c r="DK11" i="69"/>
  <c r="DK9" i="69"/>
  <c r="DJ22" i="69"/>
  <c r="DJ14" i="69"/>
  <c r="DJ15" i="69" s="1"/>
  <c r="DJ16" i="69" s="1"/>
  <c r="DJ11" i="69"/>
  <c r="DJ9" i="69"/>
  <c r="DI18" i="65"/>
  <c r="DJ18" i="65"/>
  <c r="DK18" i="65"/>
  <c r="DH18" i="65"/>
  <c r="V13" i="65"/>
  <c r="V12" i="65"/>
  <c r="V11" i="65"/>
  <c r="V9" i="65"/>
  <c r="DK14" i="65"/>
  <c r="DK15" i="65" s="1"/>
  <c r="DK16" i="65" s="1"/>
  <c r="DJ14" i="65"/>
  <c r="DJ15" i="65" s="1"/>
  <c r="DJ16" i="65" s="1"/>
  <c r="DK10" i="65"/>
  <c r="W10" i="65" s="1"/>
  <c r="DJ10" i="65"/>
  <c r="L8" i="81"/>
  <c r="L9" i="81" s="1"/>
  <c r="L10" i="81" s="1"/>
  <c r="K7" i="81"/>
  <c r="BD8" i="81"/>
  <c r="BD9" i="81" s="1"/>
  <c r="BD10" i="81" s="1"/>
  <c r="BC8" i="81"/>
  <c r="BC9" i="81" s="1"/>
  <c r="BC10" i="81" s="1"/>
  <c r="H8" i="83"/>
  <c r="H9" i="83" s="1"/>
  <c r="H10" i="83" s="1"/>
  <c r="G7" i="83"/>
  <c r="AY8" i="83"/>
  <c r="AY9" i="83" s="1"/>
  <c r="AY10" i="83" s="1"/>
  <c r="AX8" i="83"/>
  <c r="AX9" i="83" s="1"/>
  <c r="AX10" i="83" s="1"/>
  <c r="W14" i="65" l="1"/>
  <c r="W14" i="69"/>
  <c r="W15" i="69" s="1"/>
  <c r="W16" i="69" s="1"/>
  <c r="W11" i="69"/>
  <c r="W9" i="69"/>
  <c r="AZ30" i="22"/>
  <c r="AZ29" i="22"/>
  <c r="AZ23" i="22"/>
  <c r="AZ25" i="22" s="1"/>
  <c r="AZ26" i="22" s="1"/>
  <c r="AZ27" i="22" s="1"/>
  <c r="AZ13" i="22"/>
  <c r="AZ10" i="22"/>
  <c r="AZ7" i="22"/>
  <c r="AZ12" i="22" s="1"/>
  <c r="AZ17" i="27"/>
  <c r="AZ18" i="27" s="1"/>
  <c r="GK22" i="27"/>
  <c r="GK20" i="27"/>
  <c r="GK19" i="27"/>
  <c r="GK16" i="27"/>
  <c r="BR11" i="76"/>
  <c r="BR10" i="76"/>
  <c r="W15" i="65" l="1"/>
  <c r="W16" i="65" s="1"/>
  <c r="AZ16" i="27"/>
  <c r="BR12" i="76"/>
  <c r="FN24" i="22" l="1"/>
  <c r="FN25" i="22" s="1"/>
  <c r="FN26" i="22" s="1"/>
  <c r="FN19" i="22"/>
  <c r="FN13" i="22"/>
  <c r="FN11" i="22"/>
  <c r="FN10" i="22"/>
  <c r="FN7" i="22"/>
  <c r="FN12" i="22" s="1"/>
  <c r="DI22" i="69"/>
  <c r="DI14" i="69"/>
  <c r="DI15" i="69" s="1"/>
  <c r="DI16" i="69" s="1"/>
  <c r="DI11" i="69"/>
  <c r="DI9" i="69"/>
  <c r="DI14" i="65"/>
  <c r="DI15" i="65" s="1"/>
  <c r="DI16" i="65" s="1"/>
  <c r="DI10" i="65"/>
  <c r="BB8" i="81"/>
  <c r="BB9" i="81" s="1"/>
  <c r="BB10" i="81" s="1"/>
  <c r="AW8" i="83"/>
  <c r="AW9" i="83" s="1"/>
  <c r="AW10" i="83" s="1"/>
  <c r="DK10" i="22" l="1"/>
  <c r="DL10" i="22"/>
  <c r="DM10" i="22"/>
  <c r="DN10" i="22"/>
  <c r="DO10" i="22"/>
  <c r="DP10" i="22"/>
  <c r="DQ10" i="22"/>
  <c r="DR10" i="22"/>
  <c r="DS10" i="22"/>
  <c r="DT10" i="22"/>
  <c r="DU10" i="22"/>
  <c r="DV10" i="22"/>
  <c r="DW10" i="22"/>
  <c r="DX10" i="22"/>
  <c r="DY10" i="22"/>
  <c r="DZ10" i="22"/>
  <c r="EA10" i="22"/>
  <c r="EB10" i="22"/>
  <c r="EC10" i="22"/>
  <c r="ED10" i="22"/>
  <c r="EE10" i="22"/>
  <c r="EF10" i="22"/>
  <c r="EG10" i="22"/>
  <c r="EH10" i="22"/>
  <c r="EI10" i="22"/>
  <c r="EJ10" i="22"/>
  <c r="EK10" i="22"/>
  <c r="EL10" i="22"/>
  <c r="EM10" i="22"/>
  <c r="EN10" i="22"/>
  <c r="EO10" i="22"/>
  <c r="EP10" i="22"/>
  <c r="EQ10" i="22"/>
  <c r="ER10" i="22"/>
  <c r="ES10" i="22"/>
  <c r="ET10" i="22"/>
  <c r="EU10" i="22"/>
  <c r="EV10" i="22"/>
  <c r="EW10" i="22"/>
  <c r="EX10" i="22"/>
  <c r="EY10" i="22"/>
  <c r="EZ10" i="22"/>
  <c r="FA10" i="22"/>
  <c r="FB10" i="22"/>
  <c r="FC10" i="22"/>
  <c r="FD10" i="22"/>
  <c r="FE10" i="22"/>
  <c r="FF10" i="22"/>
  <c r="FG10" i="22"/>
  <c r="FH10" i="22"/>
  <c r="FI10" i="22"/>
  <c r="FJ10" i="22"/>
  <c r="FK10" i="22"/>
  <c r="FL10" i="22"/>
  <c r="FM10" i="22"/>
  <c r="DJ10" i="22"/>
  <c r="AM10" i="22"/>
  <c r="AN10" i="22"/>
  <c r="AO10" i="22"/>
  <c r="AP10" i="22"/>
  <c r="AQ10" i="22"/>
  <c r="AR10" i="22"/>
  <c r="AS10" i="22"/>
  <c r="AT10" i="22"/>
  <c r="AU10" i="22"/>
  <c r="AV10" i="22"/>
  <c r="AW10" i="22"/>
  <c r="AX10" i="22"/>
  <c r="AY10" i="22"/>
  <c r="AL10" i="22"/>
  <c r="AY23" i="22"/>
  <c r="AY25" i="22" s="1"/>
  <c r="AY26" i="22" s="1"/>
  <c r="AY27" i="22" s="1"/>
  <c r="FM24" i="22"/>
  <c r="FM25" i="22" s="1"/>
  <c r="FM26" i="22" s="1"/>
  <c r="FM19" i="22"/>
  <c r="AY19" i="22" s="1"/>
  <c r="FM13" i="22"/>
  <c r="FM11" i="22"/>
  <c r="FM7" i="22"/>
  <c r="FM12" i="22" s="1"/>
  <c r="AY30" i="22"/>
  <c r="AY29" i="22"/>
  <c r="AY13" i="22"/>
  <c r="AY7" i="22"/>
  <c r="AY12" i="22" s="1"/>
  <c r="N6" i="76"/>
  <c r="GJ22" i="27"/>
  <c r="GJ20" i="27"/>
  <c r="GJ16" i="27"/>
  <c r="AY17" i="27"/>
  <c r="AY18" i="27" s="1"/>
  <c r="BQ6" i="76"/>
  <c r="N10" i="76"/>
  <c r="N12" i="76" s="1"/>
  <c r="BQ11" i="76"/>
  <c r="BQ10" i="76"/>
  <c r="AW11" i="76"/>
  <c r="AX11" i="76"/>
  <c r="AY11" i="76"/>
  <c r="AZ11" i="76"/>
  <c r="BA11" i="76"/>
  <c r="BB11" i="76"/>
  <c r="BC11" i="76"/>
  <c r="BD11" i="76"/>
  <c r="BE11" i="76"/>
  <c r="BF11" i="76"/>
  <c r="BG11" i="76"/>
  <c r="BH11" i="76"/>
  <c r="BI11" i="76"/>
  <c r="BJ11" i="76"/>
  <c r="BK11" i="76"/>
  <c r="BL11" i="76"/>
  <c r="BM11" i="76"/>
  <c r="BN11" i="76"/>
  <c r="BO11" i="76"/>
  <c r="BP11" i="76"/>
  <c r="AV11" i="76"/>
  <c r="AV10" i="76"/>
  <c r="AY16" i="27" l="1"/>
  <c r="BQ12" i="76"/>
  <c r="DG22" i="69" l="1"/>
  <c r="DH22" i="69"/>
  <c r="V14" i="69"/>
  <c r="V15" i="69" s="1"/>
  <c r="V16" i="69" s="1"/>
  <c r="V11" i="69"/>
  <c r="V9" i="69"/>
  <c r="DH14" i="69"/>
  <c r="DH15" i="69" s="1"/>
  <c r="DH16" i="69" s="1"/>
  <c r="DH11" i="69"/>
  <c r="DH9" i="69"/>
  <c r="V14" i="65"/>
  <c r="DH14" i="65"/>
  <c r="DH15" i="65" s="1"/>
  <c r="DH16" i="65" s="1"/>
  <c r="DH10" i="65"/>
  <c r="V10" i="65" s="1"/>
  <c r="K8" i="81"/>
  <c r="K9" i="81" s="1"/>
  <c r="K10" i="81" s="1"/>
  <c r="BA8" i="81"/>
  <c r="BA9" i="81" s="1"/>
  <c r="BA10" i="81" s="1"/>
  <c r="AV8" i="83"/>
  <c r="AV9" i="83" s="1"/>
  <c r="AV10" i="83" s="1"/>
  <c r="V15" i="65" l="1"/>
  <c r="V16" i="65" s="1"/>
  <c r="G8" i="83" l="1"/>
  <c r="G9" i="83" s="1"/>
  <c r="G10" i="83" s="1"/>
  <c r="AW6" i="76"/>
  <c r="AX6" i="76"/>
  <c r="AY6" i="76"/>
  <c r="AZ6" i="76"/>
  <c r="BA6" i="76"/>
  <c r="BB6" i="76"/>
  <c r="BC6" i="76"/>
  <c r="BD6" i="76"/>
  <c r="BE6" i="76"/>
  <c r="BF6" i="76"/>
  <c r="BG6" i="76"/>
  <c r="BH6" i="76"/>
  <c r="BI6" i="76"/>
  <c r="BJ6" i="76"/>
  <c r="BK6" i="76"/>
  <c r="BL6" i="76"/>
  <c r="BM6" i="76"/>
  <c r="BN6" i="76"/>
  <c r="BO6" i="76"/>
  <c r="BP6" i="76"/>
  <c r="AV6" i="76"/>
  <c r="K6" i="76"/>
  <c r="L6" i="76"/>
  <c r="M6" i="76"/>
  <c r="J6" i="76"/>
  <c r="GJ19" i="27"/>
  <c r="AX14" i="27"/>
  <c r="AX12" i="27"/>
  <c r="AX11" i="27"/>
  <c r="GI22" i="27"/>
  <c r="GI20" i="27"/>
  <c r="GI16" i="27"/>
  <c r="M9" i="76"/>
  <c r="M11" i="76" s="1"/>
  <c r="M8" i="76"/>
  <c r="BP10" i="76"/>
  <c r="BP12" i="76" s="1"/>
  <c r="FL24" i="22"/>
  <c r="FL25" i="22" s="1"/>
  <c r="FL26" i="22" s="1"/>
  <c r="FL19" i="22"/>
  <c r="FL13" i="22"/>
  <c r="FL11" i="22"/>
  <c r="FL7" i="22"/>
  <c r="FL12" i="22" s="1"/>
  <c r="U13" i="69"/>
  <c r="DG14" i="69"/>
  <c r="DG15" i="69" s="1"/>
  <c r="DG16" i="69" s="1"/>
  <c r="DG11" i="69"/>
  <c r="DG9" i="69"/>
  <c r="U13" i="65"/>
  <c r="U12" i="65"/>
  <c r="U11" i="65"/>
  <c r="U9" i="65"/>
  <c r="GI18" i="27" l="1"/>
  <c r="GI19" i="27" s="1"/>
  <c r="DG14" i="65"/>
  <c r="DG15" i="65" s="1"/>
  <c r="DG16" i="65" s="1"/>
  <c r="DG10" i="65"/>
  <c r="J7" i="81"/>
  <c r="AZ8" i="81"/>
  <c r="AZ9" i="81" s="1"/>
  <c r="AZ10" i="81" s="1"/>
  <c r="F7" i="83"/>
  <c r="AU8" i="83"/>
  <c r="AU9" i="83" s="1"/>
  <c r="AU10" i="83" s="1"/>
  <c r="GH22" i="27"/>
  <c r="GH20" i="27"/>
  <c r="GH16" i="27"/>
  <c r="BO10" i="76"/>
  <c r="AX22" i="22"/>
  <c r="AX18" i="22"/>
  <c r="AX16" i="22"/>
  <c r="AX17" i="22"/>
  <c r="FK24" i="22"/>
  <c r="FK25" i="22" s="1"/>
  <c r="FK26" i="22" s="1"/>
  <c r="FK19" i="22"/>
  <c r="FK13" i="22"/>
  <c r="FK11" i="22"/>
  <c r="FK7" i="22"/>
  <c r="FK12" i="22" s="1"/>
  <c r="DF14" i="69"/>
  <c r="DF15" i="69" s="1"/>
  <c r="DF16" i="69" s="1"/>
  <c r="DF11" i="69"/>
  <c r="DF9" i="69"/>
  <c r="DF14" i="65"/>
  <c r="DF15" i="65" s="1"/>
  <c r="DF16" i="65" s="1"/>
  <c r="DF10" i="65"/>
  <c r="AY8" i="81"/>
  <c r="AY9" i="81" s="1"/>
  <c r="AY10" i="81" s="1"/>
  <c r="AT8" i="83"/>
  <c r="AT9" i="83" s="1"/>
  <c r="AT10" i="83" s="1"/>
  <c r="GG22" i="27"/>
  <c r="GG20" i="27"/>
  <c r="GG16" i="27"/>
  <c r="BN10" i="76"/>
  <c r="GG18" i="27" l="1"/>
  <c r="GG19" i="27" s="1"/>
  <c r="GH18" i="27"/>
  <c r="GH19" i="27" s="1"/>
  <c r="BO12" i="76"/>
  <c r="BN12" i="76"/>
  <c r="FJ24" i="22"/>
  <c r="FJ25" i="22" s="1"/>
  <c r="FJ26" i="22" s="1"/>
  <c r="FJ19" i="22"/>
  <c r="FJ13" i="22"/>
  <c r="FJ11" i="22"/>
  <c r="FJ7" i="22"/>
  <c r="FJ12" i="22" s="1"/>
  <c r="DE14" i="69"/>
  <c r="DE15" i="69" s="1"/>
  <c r="DE16" i="69" s="1"/>
  <c r="DE11" i="69"/>
  <c r="DE9" i="69"/>
  <c r="U14" i="65"/>
  <c r="DE14" i="65"/>
  <c r="DE15" i="65" s="1"/>
  <c r="DE16" i="65" s="1"/>
  <c r="DE10" i="65"/>
  <c r="AX8" i="81"/>
  <c r="AX9" i="81" s="1"/>
  <c r="AX10" i="81" s="1"/>
  <c r="F8" i="83"/>
  <c r="F9" i="83" s="1"/>
  <c r="F10" i="83" s="1"/>
  <c r="AS8" i="83"/>
  <c r="AS9" i="83" s="1"/>
  <c r="AS10" i="83" s="1"/>
  <c r="AX17" i="27"/>
  <c r="AX18" i="27" s="1"/>
  <c r="GF22" i="27"/>
  <c r="GF20" i="27"/>
  <c r="GF17" i="27"/>
  <c r="GF16" i="27"/>
  <c r="BM10" i="76"/>
  <c r="AX23" i="22"/>
  <c r="AX25" i="22" s="1"/>
  <c r="AX26" i="22" s="1"/>
  <c r="AX27" i="22" s="1"/>
  <c r="FI7" i="22"/>
  <c r="FI12" i="22" s="1"/>
  <c r="AX30" i="22"/>
  <c r="AX29" i="22"/>
  <c r="AX13" i="22"/>
  <c r="AX7" i="22"/>
  <c r="AX12" i="22" s="1"/>
  <c r="FI19" i="22"/>
  <c r="FI24" i="22"/>
  <c r="FI25" i="22" s="1"/>
  <c r="FI26" i="22" s="1"/>
  <c r="FI13" i="22"/>
  <c r="FI11" i="22"/>
  <c r="U14" i="69"/>
  <c r="U15" i="69" s="1"/>
  <c r="U16" i="69" s="1"/>
  <c r="U11" i="69"/>
  <c r="U9" i="69"/>
  <c r="DD14" i="69"/>
  <c r="DD15" i="69" s="1"/>
  <c r="DD16" i="69" s="1"/>
  <c r="DD11" i="69"/>
  <c r="DD9" i="69"/>
  <c r="DD14" i="65"/>
  <c r="DD15" i="65" s="1"/>
  <c r="DD16" i="65" s="1"/>
  <c r="DD10" i="65"/>
  <c r="J8" i="81"/>
  <c r="J9" i="81" s="1"/>
  <c r="J10" i="81" s="1"/>
  <c r="AW8" i="81"/>
  <c r="AW9" i="81" s="1"/>
  <c r="AW10" i="81" s="1"/>
  <c r="AR8" i="83"/>
  <c r="AR9" i="83" s="1"/>
  <c r="AR10" i="83" s="1"/>
  <c r="AW14" i="27"/>
  <c r="AW17" i="27" s="1"/>
  <c r="AW18" i="27" s="1"/>
  <c r="AW12" i="27"/>
  <c r="AW11" i="27"/>
  <c r="GE22" i="27"/>
  <c r="GE20" i="27"/>
  <c r="GE17" i="27"/>
  <c r="GE18" i="27" s="1"/>
  <c r="GE19" i="27" s="1"/>
  <c r="GE16" i="27"/>
  <c r="BL10" i="76"/>
  <c r="AW17" i="22"/>
  <c r="AW18" i="22"/>
  <c r="AW22" i="22"/>
  <c r="AW23" i="22" s="1"/>
  <c r="AW25" i="22" s="1"/>
  <c r="AW26" i="22" s="1"/>
  <c r="AW27" i="22" s="1"/>
  <c r="AW16" i="22"/>
  <c r="FH28" i="22"/>
  <c r="FH24" i="22"/>
  <c r="FH25" i="22" s="1"/>
  <c r="FH26" i="22" s="1"/>
  <c r="FH19" i="22"/>
  <c r="FH13" i="22"/>
  <c r="FH11" i="22"/>
  <c r="FH7" i="22"/>
  <c r="FH12" i="22" s="1"/>
  <c r="T13" i="69"/>
  <c r="T14" i="69" s="1"/>
  <c r="T15" i="69" s="1"/>
  <c r="T16" i="69" s="1"/>
  <c r="T12" i="69"/>
  <c r="DC14" i="69"/>
  <c r="DC15" i="69" s="1"/>
  <c r="DC16" i="69" s="1"/>
  <c r="DC11" i="69"/>
  <c r="DC9" i="69"/>
  <c r="T12" i="65"/>
  <c r="T13" i="65"/>
  <c r="T14" i="65" s="1"/>
  <c r="T11" i="65"/>
  <c r="T9" i="65"/>
  <c r="DC14" i="65"/>
  <c r="DC15" i="65" s="1"/>
  <c r="DC16" i="65" s="1"/>
  <c r="DC10" i="65"/>
  <c r="I7" i="81"/>
  <c r="I8" i="81" s="1"/>
  <c r="AV8" i="81"/>
  <c r="AV9" i="81" s="1"/>
  <c r="AV10" i="81" s="1"/>
  <c r="E7" i="83"/>
  <c r="E8" i="83" s="1"/>
  <c r="E9" i="83" s="1"/>
  <c r="E10" i="83" s="1"/>
  <c r="AQ8" i="83"/>
  <c r="AQ9" i="83" s="1"/>
  <c r="AQ10" i="83" s="1"/>
  <c r="AP8" i="83"/>
  <c r="AP9" i="83" s="1"/>
  <c r="AP10" i="83" s="1"/>
  <c r="AO8" i="83"/>
  <c r="AO9" i="83" s="1"/>
  <c r="AO10" i="83" s="1"/>
  <c r="AN8" i="83"/>
  <c r="AN9" i="83" s="1"/>
  <c r="AN10" i="83" s="1"/>
  <c r="AM8" i="83"/>
  <c r="AM9" i="83" s="1"/>
  <c r="AM10" i="83" s="1"/>
  <c r="AU8" i="81"/>
  <c r="AU9" i="81" s="1"/>
  <c r="AU10" i="81" s="1"/>
  <c r="AT8" i="81"/>
  <c r="AT9" i="81" s="1"/>
  <c r="AT10" i="81" s="1"/>
  <c r="AS8" i="81"/>
  <c r="AS9" i="81" s="1"/>
  <c r="AS10" i="81" s="1"/>
  <c r="AR8" i="81"/>
  <c r="AR9" i="81" s="1"/>
  <c r="AR10" i="81" s="1"/>
  <c r="GC22" i="27"/>
  <c r="GD22" i="27"/>
  <c r="GB22" i="27"/>
  <c r="GD20" i="27"/>
  <c r="GD17" i="27"/>
  <c r="GD16" i="27"/>
  <c r="L9" i="76"/>
  <c r="L8" i="76"/>
  <c r="BK10" i="76"/>
  <c r="FG28" i="22"/>
  <c r="FG24" i="22"/>
  <c r="FG25" i="22" s="1"/>
  <c r="FG26" i="22" s="1"/>
  <c r="FG19" i="22"/>
  <c r="FG13" i="22"/>
  <c r="FG11" i="22"/>
  <c r="FG7" i="22"/>
  <c r="FG12" i="22" s="1"/>
  <c r="DB14" i="69"/>
  <c r="DB15" i="69" s="1"/>
  <c r="DB16" i="69" s="1"/>
  <c r="DB11" i="69"/>
  <c r="DB9" i="69"/>
  <c r="DB14" i="65"/>
  <c r="DB15" i="65" s="1"/>
  <c r="DB16" i="65" s="1"/>
  <c r="DB10" i="65"/>
  <c r="DA14" i="65"/>
  <c r="DA15" i="65" s="1"/>
  <c r="DA16" i="65" s="1"/>
  <c r="DA10" i="65"/>
  <c r="DA14" i="69"/>
  <c r="DA15" i="69" s="1"/>
  <c r="DA16" i="69" s="1"/>
  <c r="DA11" i="69"/>
  <c r="DA9" i="69"/>
  <c r="FF28" i="22"/>
  <c r="FF24" i="22"/>
  <c r="FF25" i="22" s="1"/>
  <c r="FF26" i="22" s="1"/>
  <c r="FF19" i="22"/>
  <c r="FF13" i="22"/>
  <c r="FF11" i="22"/>
  <c r="FF7" i="22"/>
  <c r="FF12" i="22" s="1"/>
  <c r="BJ10" i="76"/>
  <c r="GC20" i="27"/>
  <c r="GC17" i="27"/>
  <c r="GC16" i="27"/>
  <c r="GB20" i="27"/>
  <c r="GB17" i="27"/>
  <c r="GB16" i="27"/>
  <c r="BI10" i="76"/>
  <c r="FE28" i="22"/>
  <c r="FE24" i="22"/>
  <c r="FE25" i="22" s="1"/>
  <c r="FE26" i="22" s="1"/>
  <c r="FE19" i="22"/>
  <c r="FE13" i="22"/>
  <c r="FE11" i="22"/>
  <c r="FE7" i="22"/>
  <c r="FE12" i="22" s="1"/>
  <c r="CZ14" i="69"/>
  <c r="CZ15" i="69" s="1"/>
  <c r="CZ16" i="69" s="1"/>
  <c r="CZ11" i="69"/>
  <c r="CZ9" i="69"/>
  <c r="CZ14" i="65"/>
  <c r="CZ15" i="65" s="1"/>
  <c r="CZ16" i="65" s="1"/>
  <c r="CZ10" i="65"/>
  <c r="GA22" i="27"/>
  <c r="GA20" i="27"/>
  <c r="GA17" i="27"/>
  <c r="GA16" i="27"/>
  <c r="BH10" i="76"/>
  <c r="AW30" i="22"/>
  <c r="AW29" i="22"/>
  <c r="AW13" i="22"/>
  <c r="AW7" i="22"/>
  <c r="AW12" i="22" s="1"/>
  <c r="FD28" i="22"/>
  <c r="FD24" i="22"/>
  <c r="FD25" i="22" s="1"/>
  <c r="FD26" i="22" s="1"/>
  <c r="FD19" i="22"/>
  <c r="FD13" i="22"/>
  <c r="FD11" i="22"/>
  <c r="FD7" i="22"/>
  <c r="FD12" i="22" s="1"/>
  <c r="T11" i="69"/>
  <c r="T9" i="69"/>
  <c r="CY14" i="69"/>
  <c r="CY15" i="69" s="1"/>
  <c r="CY16" i="69" s="1"/>
  <c r="CY11" i="69"/>
  <c r="CY9" i="69"/>
  <c r="CY14" i="65"/>
  <c r="CY15" i="65" s="1"/>
  <c r="CY16" i="65" s="1"/>
  <c r="CY10" i="65"/>
  <c r="AV14" i="27"/>
  <c r="AV12" i="27"/>
  <c r="AV11" i="27"/>
  <c r="FZ22" i="27"/>
  <c r="FZ20" i="27"/>
  <c r="FZ17" i="27"/>
  <c r="FZ16" i="27"/>
  <c r="K8" i="76"/>
  <c r="BG10" i="76"/>
  <c r="AV17" i="22"/>
  <c r="AV18" i="22"/>
  <c r="AV22" i="22"/>
  <c r="AV16" i="22"/>
  <c r="FC28" i="22"/>
  <c r="FC24" i="22"/>
  <c r="FC25" i="22" s="1"/>
  <c r="FC26" i="22" s="1"/>
  <c r="FC19" i="22"/>
  <c r="FC13" i="22"/>
  <c r="FC11" i="22"/>
  <c r="FC7" i="22"/>
  <c r="FC12" i="22" s="1"/>
  <c r="S13" i="69"/>
  <c r="S12" i="69"/>
  <c r="CX14" i="69"/>
  <c r="CX15" i="69" s="1"/>
  <c r="CX16" i="69" s="1"/>
  <c r="CX11" i="69"/>
  <c r="CX9" i="69"/>
  <c r="S12" i="65"/>
  <c r="S13" i="65"/>
  <c r="S11" i="65"/>
  <c r="CX14" i="65"/>
  <c r="CX15" i="65" s="1"/>
  <c r="CX16" i="65" s="1"/>
  <c r="CX10" i="65"/>
  <c r="FY22" i="27"/>
  <c r="FY20" i="27"/>
  <c r="FY17" i="27"/>
  <c r="FY16" i="27"/>
  <c r="K9" i="76"/>
  <c r="K11" i="76" s="1"/>
  <c r="BF10" i="76"/>
  <c r="GF18" i="27" l="1"/>
  <c r="GF19" i="27" s="1"/>
  <c r="U10" i="65"/>
  <c r="GB18" i="27"/>
  <c r="GB19" i="27" s="1"/>
  <c r="GC18" i="27"/>
  <c r="GC19" i="27" s="1"/>
  <c r="L10" i="76"/>
  <c r="L11" i="76"/>
  <c r="AX19" i="22"/>
  <c r="GD18" i="27"/>
  <c r="GD19" i="27" s="1"/>
  <c r="BL12" i="76"/>
  <c r="BM12" i="76"/>
  <c r="BK12" i="76"/>
  <c r="BJ12" i="76"/>
  <c r="FY18" i="27"/>
  <c r="FY19" i="27" s="1"/>
  <c r="FZ18" i="27"/>
  <c r="FZ19" i="27" s="1"/>
  <c r="T10" i="65"/>
  <c r="AW19" i="22"/>
  <c r="U15" i="65"/>
  <c r="U16" i="65" s="1"/>
  <c r="AX16" i="27"/>
  <c r="M10" i="76"/>
  <c r="BF12" i="76"/>
  <c r="I9" i="81"/>
  <c r="I10" i="81" s="1"/>
  <c r="BI12" i="76"/>
  <c r="AW16" i="27"/>
  <c r="BG12" i="76"/>
  <c r="BH12" i="76"/>
  <c r="GA18" i="27"/>
  <c r="GA19" i="27" s="1"/>
  <c r="T15" i="65"/>
  <c r="T16" i="65" s="1"/>
  <c r="FB28" i="22" l="1"/>
  <c r="FB24" i="22"/>
  <c r="FB25" i="22" s="1"/>
  <c r="FB26" i="22" s="1"/>
  <c r="FB19" i="22"/>
  <c r="FB13" i="22"/>
  <c r="FB11" i="22"/>
  <c r="FB7" i="22"/>
  <c r="FB12" i="22" s="1"/>
  <c r="CW14" i="69"/>
  <c r="CW15" i="69" s="1"/>
  <c r="CW16" i="69" s="1"/>
  <c r="CW11" i="69"/>
  <c r="CW9" i="69"/>
  <c r="S9" i="65"/>
  <c r="CW14" i="65" l="1"/>
  <c r="CW15" i="65" s="1"/>
  <c r="CW16" i="65" s="1"/>
  <c r="CW10" i="65"/>
  <c r="FX22" i="27"/>
  <c r="FX20" i="27"/>
  <c r="FX17" i="27"/>
  <c r="FX16" i="27"/>
  <c r="BE10" i="76"/>
  <c r="FA28" i="22"/>
  <c r="FA24" i="22"/>
  <c r="FA25" i="22" s="1"/>
  <c r="FA26" i="22" s="1"/>
  <c r="FA19" i="22"/>
  <c r="FA13" i="22"/>
  <c r="FA11" i="22"/>
  <c r="FA7" i="22"/>
  <c r="FA12" i="22" s="1"/>
  <c r="CV14" i="69"/>
  <c r="CV15" i="69" s="1"/>
  <c r="CV16" i="69" s="1"/>
  <c r="CV11" i="69"/>
  <c r="CV9" i="69"/>
  <c r="CV14" i="65"/>
  <c r="CV15" i="65" s="1"/>
  <c r="CV16" i="65" s="1"/>
  <c r="CV10" i="65"/>
  <c r="FX18" i="27" l="1"/>
  <c r="FX19" i="27" s="1"/>
  <c r="BE12" i="76"/>
  <c r="AU11" i="27"/>
  <c r="FW22" i="27"/>
  <c r="FW20" i="27"/>
  <c r="FW17" i="27"/>
  <c r="FW16" i="27"/>
  <c r="J8" i="76"/>
  <c r="BD10" i="76"/>
  <c r="AU16" i="22"/>
  <c r="EZ19" i="22"/>
  <c r="AV19" i="22" s="1"/>
  <c r="EZ24" i="22"/>
  <c r="EZ25" i="22" s="1"/>
  <c r="EZ26" i="22" s="1"/>
  <c r="AS29" i="22"/>
  <c r="AT29" i="22"/>
  <c r="AV29" i="22"/>
  <c r="AU29" i="22"/>
  <c r="EZ28" i="22"/>
  <c r="EZ13" i="22"/>
  <c r="EZ11" i="22"/>
  <c r="EZ7" i="22"/>
  <c r="EZ12" i="22" s="1"/>
  <c r="R12" i="69"/>
  <c r="CU14" i="69"/>
  <c r="CU15" i="69" s="1"/>
  <c r="CU16" i="69" s="1"/>
  <c r="CU11" i="69"/>
  <c r="CU9" i="69"/>
  <c r="AV30" i="22"/>
  <c r="R11" i="65"/>
  <c r="CU14" i="65"/>
  <c r="CU15" i="65" s="1"/>
  <c r="CU16" i="65" s="1"/>
  <c r="CU10" i="65"/>
  <c r="EI22" i="27"/>
  <c r="EJ22" i="27"/>
  <c r="EK22" i="27"/>
  <c r="EL22" i="27"/>
  <c r="EM22" i="27"/>
  <c r="EN22" i="27"/>
  <c r="EO22" i="27"/>
  <c r="EP22" i="27"/>
  <c r="EQ22" i="27"/>
  <c r="ER22" i="27"/>
  <c r="ES22" i="27"/>
  <c r="ET22" i="27"/>
  <c r="EU22" i="27"/>
  <c r="EV22" i="27"/>
  <c r="EW22" i="27"/>
  <c r="EX22" i="27"/>
  <c r="EY22" i="27"/>
  <c r="EZ22" i="27"/>
  <c r="FA22" i="27"/>
  <c r="FB22" i="27"/>
  <c r="FC22" i="27"/>
  <c r="FD22" i="27"/>
  <c r="FE22" i="27"/>
  <c r="FF22" i="27"/>
  <c r="FG22" i="27"/>
  <c r="FH22" i="27"/>
  <c r="FI22" i="27"/>
  <c r="FJ22" i="27"/>
  <c r="FK22" i="27"/>
  <c r="FL22" i="27"/>
  <c r="FM22" i="27"/>
  <c r="FN22" i="27"/>
  <c r="FO22" i="27"/>
  <c r="FP22" i="27"/>
  <c r="FQ22" i="27"/>
  <c r="FR22" i="27"/>
  <c r="FS22" i="27"/>
  <c r="FT22" i="27"/>
  <c r="FU22" i="27"/>
  <c r="FV22" i="27"/>
  <c r="EH22" i="27"/>
  <c r="EG22" i="27"/>
  <c r="BD12" i="76" l="1"/>
  <c r="FW18" i="27"/>
  <c r="FW19" i="27" s="1"/>
  <c r="S14" i="69"/>
  <c r="S15" i="69" s="1"/>
  <c r="S16" i="69" s="1"/>
  <c r="S9" i="69"/>
  <c r="S11" i="69"/>
  <c r="AV23" i="22"/>
  <c r="AV25" i="22" s="1"/>
  <c r="AV26" i="22" s="1"/>
  <c r="AV27" i="22" s="1"/>
  <c r="AV7" i="22"/>
  <c r="AV12" i="22" s="1"/>
  <c r="AV13" i="22"/>
  <c r="K10" i="76"/>
  <c r="AV16" i="27"/>
  <c r="AV17" i="27"/>
  <c r="AV18" i="27" s="1"/>
  <c r="S14" i="65"/>
  <c r="AU14" i="27"/>
  <c r="AU12" i="27"/>
  <c r="FV20" i="27"/>
  <c r="FV17" i="27"/>
  <c r="FV16" i="27"/>
  <c r="J9" i="76"/>
  <c r="BC10" i="76"/>
  <c r="AU17" i="22"/>
  <c r="AU18" i="22"/>
  <c r="AU22" i="22"/>
  <c r="BA19" i="27" l="1"/>
  <c r="J10" i="76"/>
  <c r="J11" i="76"/>
  <c r="FV18" i="27"/>
  <c r="FV19" i="27" s="1"/>
  <c r="S15" i="65"/>
  <c r="S16" i="65" s="1"/>
  <c r="BC12" i="76"/>
  <c r="EY28" i="22" l="1"/>
  <c r="EY24" i="22"/>
  <c r="EY19" i="22"/>
  <c r="EY13" i="22"/>
  <c r="EY11" i="22"/>
  <c r="EY7" i="22"/>
  <c r="EY12" i="22" s="1"/>
  <c r="R13" i="69"/>
  <c r="R14" i="69" s="1"/>
  <c r="R15" i="69" s="1"/>
  <c r="R16" i="69" s="1"/>
  <c r="CT14" i="69"/>
  <c r="CT15" i="69" s="1"/>
  <c r="CT16" i="69" s="1"/>
  <c r="CT11" i="69"/>
  <c r="CT9" i="69"/>
  <c r="R12" i="65"/>
  <c r="R13" i="65"/>
  <c r="R14" i="65" s="1"/>
  <c r="CT14" i="65"/>
  <c r="CT15" i="65" s="1"/>
  <c r="CT16" i="65" s="1"/>
  <c r="CT10" i="65"/>
  <c r="CS14" i="65"/>
  <c r="CS15" i="65" s="1"/>
  <c r="CS16" i="65" s="1"/>
  <c r="CS10" i="65"/>
  <c r="CS14" i="69"/>
  <c r="CS15" i="69" s="1"/>
  <c r="CS16" i="69" s="1"/>
  <c r="CS11" i="69"/>
  <c r="CS9" i="69"/>
  <c r="EX28" i="22"/>
  <c r="EX24" i="22"/>
  <c r="EX25" i="22" s="1"/>
  <c r="EX26" i="22" s="1"/>
  <c r="EX19" i="22"/>
  <c r="EX13" i="22"/>
  <c r="EX11" i="22"/>
  <c r="EX7" i="22"/>
  <c r="EX12" i="22" s="1"/>
  <c r="BB10" i="76"/>
  <c r="FU20" i="27"/>
  <c r="FU17" i="27"/>
  <c r="FU16" i="27"/>
  <c r="AR30" i="22"/>
  <c r="AS30" i="22"/>
  <c r="AT30" i="22"/>
  <c r="AU30" i="22"/>
  <c r="AQ30" i="22"/>
  <c r="FT20" i="27"/>
  <c r="FT17" i="27"/>
  <c r="FT16" i="27"/>
  <c r="BA10" i="76"/>
  <c r="EW28" i="22"/>
  <c r="EW24" i="22"/>
  <c r="EW25" i="22" s="1"/>
  <c r="EW26" i="22" s="1"/>
  <c r="EW19" i="22"/>
  <c r="EW13" i="22"/>
  <c r="EW11" i="22"/>
  <c r="EW7" i="22"/>
  <c r="EW12" i="22" s="1"/>
  <c r="CR14" i="69"/>
  <c r="CR15" i="69" s="1"/>
  <c r="CR16" i="69" s="1"/>
  <c r="CR11" i="69"/>
  <c r="CR9" i="69"/>
  <c r="R9" i="65"/>
  <c r="CR14" i="65"/>
  <c r="CR15" i="65" s="1"/>
  <c r="CR16" i="65" s="1"/>
  <c r="CR10" i="65"/>
  <c r="FS20" i="27"/>
  <c r="FS17" i="27"/>
  <c r="FS16" i="27"/>
  <c r="AX19" i="27"/>
  <c r="AZ10" i="76"/>
  <c r="AU13" i="22"/>
  <c r="AU7" i="22"/>
  <c r="AU12" i="22" s="1"/>
  <c r="EV28" i="22"/>
  <c r="EV24" i="22"/>
  <c r="EV25" i="22" s="1"/>
  <c r="EV26" i="22" s="1"/>
  <c r="EV19" i="22"/>
  <c r="EV13" i="22"/>
  <c r="EV11" i="22"/>
  <c r="EV7" i="22"/>
  <c r="EV12" i="22" s="1"/>
  <c r="Q12" i="69"/>
  <c r="R11" i="69"/>
  <c r="CQ11" i="69"/>
  <c r="CQ9" i="69"/>
  <c r="CQ14" i="69"/>
  <c r="CQ15" i="69" s="1"/>
  <c r="CQ16" i="69" s="1"/>
  <c r="Q9" i="65"/>
  <c r="P9" i="65"/>
  <c r="CQ14" i="65"/>
  <c r="CQ15" i="65" s="1"/>
  <c r="CQ16" i="65" s="1"/>
  <c r="CQ10" i="65"/>
  <c r="AT14" i="27"/>
  <c r="AT16" i="27" s="1"/>
  <c r="AT12" i="27"/>
  <c r="FR20" i="27"/>
  <c r="FR17" i="27"/>
  <c r="FR16" i="27"/>
  <c r="AW19" i="27"/>
  <c r="I9" i="76"/>
  <c r="I8" i="76"/>
  <c r="AY10" i="76"/>
  <c r="L12" i="76"/>
  <c r="AT17" i="22"/>
  <c r="AT18" i="22"/>
  <c r="AT22" i="22"/>
  <c r="AT16" i="22"/>
  <c r="AZ19" i="27" l="1"/>
  <c r="AY19" i="27"/>
  <c r="AZ12" i="76"/>
  <c r="M12" i="76"/>
  <c r="S10" i="65"/>
  <c r="AU19" i="22"/>
  <c r="FS18" i="27"/>
  <c r="FS19" i="27" s="1"/>
  <c r="EY25" i="22"/>
  <c r="EY26" i="22" s="1"/>
  <c r="R10" i="65"/>
  <c r="FU18" i="27"/>
  <c r="FU19" i="27" s="1"/>
  <c r="BA12" i="76"/>
  <c r="BB12" i="76"/>
  <c r="AY12" i="76"/>
  <c r="FT18" i="27"/>
  <c r="FT19" i="27" s="1"/>
  <c r="FR18" i="27"/>
  <c r="FR19" i="27" s="1"/>
  <c r="AU16" i="27"/>
  <c r="AU17" i="27"/>
  <c r="AU18" i="27" s="1"/>
  <c r="EU28" i="22"/>
  <c r="EU24" i="22"/>
  <c r="EU25" i="22" s="1"/>
  <c r="EU26" i="22" s="1"/>
  <c r="EU19" i="22"/>
  <c r="EU13" i="22"/>
  <c r="EU11" i="22"/>
  <c r="EU7" i="22"/>
  <c r="EU12" i="22" s="1"/>
  <c r="Q13" i="69"/>
  <c r="CP14" i="69"/>
  <c r="CP15" i="69" s="1"/>
  <c r="CP16" i="69" s="1"/>
  <c r="CP11" i="69"/>
  <c r="CP9" i="69"/>
  <c r="Q12" i="65"/>
  <c r="Q13" i="65"/>
  <c r="Q11" i="65"/>
  <c r="CP14" i="65"/>
  <c r="CP15" i="65" s="1"/>
  <c r="CP16" i="65" s="1"/>
  <c r="CP10" i="65"/>
  <c r="FQ20" i="27"/>
  <c r="FQ17" i="27"/>
  <c r="FQ16" i="27"/>
  <c r="FQ11" i="27"/>
  <c r="AX10" i="76"/>
  <c r="K12" i="76"/>
  <c r="ET28" i="22"/>
  <c r="ET24" i="22"/>
  <c r="ET25" i="22" s="1"/>
  <c r="ET26" i="22" s="1"/>
  <c r="ET19" i="22"/>
  <c r="ET13" i="22"/>
  <c r="ET11" i="22"/>
  <c r="ET7" i="22"/>
  <c r="ET12" i="22" s="1"/>
  <c r="CO14" i="69"/>
  <c r="CO15" i="69" s="1"/>
  <c r="CO16" i="69" s="1"/>
  <c r="CO11" i="69"/>
  <c r="CO9" i="69"/>
  <c r="AV19" i="27" l="1"/>
  <c r="FQ18" i="27"/>
  <c r="FQ19" i="27" s="1"/>
  <c r="AX12" i="76"/>
  <c r="CO14" i="65"/>
  <c r="CO15" i="65" s="1"/>
  <c r="CO16" i="65" s="1"/>
  <c r="CO10" i="65"/>
  <c r="AW10" i="76" l="1"/>
  <c r="W4" i="27"/>
  <c r="X4" i="27" s="1"/>
  <c r="Y4" i="27" s="1"/>
  <c r="I6" i="27"/>
  <c r="J6" i="27"/>
  <c r="K6" i="27"/>
  <c r="L6" i="27"/>
  <c r="M6" i="27"/>
  <c r="N6" i="27"/>
  <c r="O6" i="27"/>
  <c r="P6" i="27"/>
  <c r="Q6" i="27"/>
  <c r="R6" i="27"/>
  <c r="S6" i="27"/>
  <c r="T6" i="27"/>
  <c r="U6" i="27"/>
  <c r="V6" i="27"/>
  <c r="AD6" i="27"/>
  <c r="AD7" i="27" s="1"/>
  <c r="AE6" i="27"/>
  <c r="AE7" i="27" s="1"/>
  <c r="AF6" i="27"/>
  <c r="AF7" i="27" s="1"/>
  <c r="AG6" i="27"/>
  <c r="AG7" i="27" s="1"/>
  <c r="AH6" i="27"/>
  <c r="AH7" i="27" s="1"/>
  <c r="AI6" i="27"/>
  <c r="AI7" i="27" s="1"/>
  <c r="AJ6" i="27"/>
  <c r="AJ7" i="27" s="1"/>
  <c r="AI11" i="27"/>
  <c r="U16" i="27"/>
  <c r="V16" i="27"/>
  <c r="W16" i="27"/>
  <c r="X16" i="27"/>
  <c r="Y16" i="27"/>
  <c r="Z16" i="27"/>
  <c r="AA16" i="27"/>
  <c r="AB16" i="27"/>
  <c r="AC16" i="27"/>
  <c r="AD16" i="27"/>
  <c r="AE16" i="27"/>
  <c r="AF16" i="27"/>
  <c r="AG16" i="27"/>
  <c r="AH16" i="27"/>
  <c r="AI16" i="27"/>
  <c r="AJ16" i="27"/>
  <c r="X17" i="27"/>
  <c r="Y17" i="27"/>
  <c r="Z17" i="27"/>
  <c r="AA17" i="27"/>
  <c r="AB17" i="27"/>
  <c r="AB18" i="27" s="1"/>
  <c r="AB19" i="27" s="1"/>
  <c r="AC17" i="27"/>
  <c r="AD17" i="27"/>
  <c r="AE17" i="27"/>
  <c r="AF17" i="27"/>
  <c r="AG17" i="27"/>
  <c r="AH17" i="27"/>
  <c r="AI17" i="27"/>
  <c r="AJ17" i="27"/>
  <c r="AL6" i="27"/>
  <c r="AM6" i="27"/>
  <c r="AN6" i="27"/>
  <c r="AO6" i="27"/>
  <c r="AP6" i="27"/>
  <c r="AQ6" i="27"/>
  <c r="AR6" i="27"/>
  <c r="AS6" i="27"/>
  <c r="AL12" i="27"/>
  <c r="AM12" i="27"/>
  <c r="AN12" i="27"/>
  <c r="AO12" i="27"/>
  <c r="AP12" i="27"/>
  <c r="AQ12" i="27"/>
  <c r="AR12" i="27"/>
  <c r="AS12" i="27"/>
  <c r="AL13" i="27"/>
  <c r="AM13" i="27"/>
  <c r="AN13" i="27"/>
  <c r="AL14" i="27"/>
  <c r="AL17" i="27" s="1"/>
  <c r="AM14" i="27"/>
  <c r="AM17" i="27" s="1"/>
  <c r="AN14" i="27"/>
  <c r="AN16" i="27" s="1"/>
  <c r="AO14" i="27"/>
  <c r="AO16" i="27" s="1"/>
  <c r="AP14" i="27"/>
  <c r="AP16" i="27" s="1"/>
  <c r="AQ14" i="27"/>
  <c r="AR14" i="27"/>
  <c r="AR17" i="27" s="1"/>
  <c r="AS14" i="27"/>
  <c r="AS17" i="27" s="1"/>
  <c r="CH5" i="27"/>
  <c r="CI5" i="27" s="1"/>
  <c r="CJ5" i="27" s="1"/>
  <c r="CK5" i="27" s="1"/>
  <c r="CL5" i="27" s="1"/>
  <c r="CM5" i="27" s="1"/>
  <c r="CN5" i="27" s="1"/>
  <c r="CO5" i="27" s="1"/>
  <c r="CP5" i="27" s="1"/>
  <c r="CQ5" i="27" s="1"/>
  <c r="CR5" i="27" s="1"/>
  <c r="CS5" i="27" s="1"/>
  <c r="CT5" i="27" s="1"/>
  <c r="CU5" i="27" s="1"/>
  <c r="CV5" i="27" s="1"/>
  <c r="CW5" i="27" s="1"/>
  <c r="CX5" i="27" s="1"/>
  <c r="CY5" i="27" s="1"/>
  <c r="CZ5" i="27" s="1"/>
  <c r="DA5" i="27" s="1"/>
  <c r="DB5" i="27" s="1"/>
  <c r="DC5" i="27" s="1"/>
  <c r="DT6" i="27"/>
  <c r="DT7" i="27" s="1"/>
  <c r="DU6" i="27"/>
  <c r="DU7" i="27" s="1"/>
  <c r="DV6" i="27"/>
  <c r="DV7" i="27" s="1"/>
  <c r="DW6" i="27"/>
  <c r="DW7" i="27" s="1"/>
  <c r="DD11" i="27"/>
  <c r="DE11" i="27"/>
  <c r="DF11" i="27"/>
  <c r="DG11" i="27"/>
  <c r="DH11" i="27"/>
  <c r="DI11" i="27"/>
  <c r="DJ11" i="27"/>
  <c r="DK11" i="27"/>
  <c r="DL11" i="27"/>
  <c r="DM11" i="27"/>
  <c r="DN11" i="27"/>
  <c r="DO11" i="27"/>
  <c r="DP11" i="27"/>
  <c r="DQ11" i="27"/>
  <c r="DR11" i="27"/>
  <c r="DS11" i="27"/>
  <c r="DW11" i="27"/>
  <c r="DZ11" i="27"/>
  <c r="EA11" i="27"/>
  <c r="EB11" i="27"/>
  <c r="EC11" i="27"/>
  <c r="ED11" i="27"/>
  <c r="EE11" i="27"/>
  <c r="EF11" i="27"/>
  <c r="DD14" i="27"/>
  <c r="DE14" i="27"/>
  <c r="DF14" i="27"/>
  <c r="DG14" i="27"/>
  <c r="DH14" i="27"/>
  <c r="DI14" i="27"/>
  <c r="DJ14" i="27"/>
  <c r="DK14" i="27"/>
  <c r="DL14" i="27"/>
  <c r="DM14" i="27"/>
  <c r="DN14" i="27"/>
  <c r="DO14" i="27"/>
  <c r="DP14" i="27"/>
  <c r="DQ14" i="27"/>
  <c r="DR14" i="27"/>
  <c r="DS14" i="27"/>
  <c r="DZ14" i="27"/>
  <c r="DZ20" i="27" s="1"/>
  <c r="EA14" i="27"/>
  <c r="EA17" i="27" s="1"/>
  <c r="EA18" i="27" s="1"/>
  <c r="EA19" i="27" s="1"/>
  <c r="EB14" i="27"/>
  <c r="EB20" i="27" s="1"/>
  <c r="EC14" i="27"/>
  <c r="ED14" i="27"/>
  <c r="ED20" i="27" s="1"/>
  <c r="EE14" i="27"/>
  <c r="EE17" i="27" s="1"/>
  <c r="EE18" i="27" s="1"/>
  <c r="EE19" i="27" s="1"/>
  <c r="EF14" i="27"/>
  <c r="EF20" i="27" s="1"/>
  <c r="DR16" i="27"/>
  <c r="DS16" i="27"/>
  <c r="DT16" i="27"/>
  <c r="DU16" i="27"/>
  <c r="DV16" i="27"/>
  <c r="DW16" i="27"/>
  <c r="DX16" i="27"/>
  <c r="DY16" i="27"/>
  <c r="DZ16" i="27"/>
  <c r="EA16" i="27"/>
  <c r="EB16" i="27"/>
  <c r="EC16" i="27"/>
  <c r="ED16" i="27"/>
  <c r="EE16" i="27"/>
  <c r="EF16" i="27"/>
  <c r="DT17" i="27"/>
  <c r="DU17" i="27"/>
  <c r="DV17" i="27"/>
  <c r="DW17" i="27"/>
  <c r="DX17" i="27"/>
  <c r="DX18" i="27" s="1"/>
  <c r="DX19" i="27" s="1"/>
  <c r="DY17" i="27"/>
  <c r="DY18" i="27" s="1"/>
  <c r="DY19" i="27" s="1"/>
  <c r="DT20" i="27"/>
  <c r="DU20" i="27"/>
  <c r="DV20" i="27"/>
  <c r="DW20" i="27"/>
  <c r="DX20" i="27"/>
  <c r="DY20" i="27"/>
  <c r="EG18" i="27"/>
  <c r="EG19" i="27" s="1"/>
  <c r="EG11" i="27"/>
  <c r="EH11" i="27"/>
  <c r="EI11" i="27"/>
  <c r="EJ11" i="27"/>
  <c r="EK11" i="27"/>
  <c r="EL11" i="27"/>
  <c r="EM11" i="27"/>
  <c r="EN11" i="27"/>
  <c r="EO11" i="27"/>
  <c r="EP11" i="27"/>
  <c r="EQ11" i="27"/>
  <c r="ER11" i="27"/>
  <c r="ES11" i="27"/>
  <c r="ET11" i="27"/>
  <c r="EU11" i="27"/>
  <c r="EV11" i="27"/>
  <c r="EW11" i="27"/>
  <c r="EX11" i="27"/>
  <c r="EY11" i="27"/>
  <c r="EZ11" i="27"/>
  <c r="FA11" i="27"/>
  <c r="FB11" i="27"/>
  <c r="FC11" i="27"/>
  <c r="FD11" i="27"/>
  <c r="FE11" i="27"/>
  <c r="FF11" i="27"/>
  <c r="FG11" i="27"/>
  <c r="FH11" i="27"/>
  <c r="FI11" i="27"/>
  <c r="FJ11" i="27"/>
  <c r="FK11" i="27"/>
  <c r="FL11" i="27"/>
  <c r="FM11" i="27"/>
  <c r="FN11" i="27"/>
  <c r="EG16" i="27"/>
  <c r="EH16" i="27"/>
  <c r="EI16" i="27"/>
  <c r="EJ16" i="27"/>
  <c r="EK16" i="27"/>
  <c r="EL16" i="27"/>
  <c r="EM16" i="27"/>
  <c r="EN16" i="27"/>
  <c r="EO16" i="27"/>
  <c r="EP16" i="27"/>
  <c r="EQ16" i="27"/>
  <c r="ER16" i="27"/>
  <c r="ES16" i="27"/>
  <c r="ET16" i="27"/>
  <c r="EU16" i="27"/>
  <c r="EV16" i="27"/>
  <c r="EW16" i="27"/>
  <c r="EX16" i="27"/>
  <c r="EY16" i="27"/>
  <c r="EZ16" i="27"/>
  <c r="FA16" i="27"/>
  <c r="FB16" i="27"/>
  <c r="FC16" i="27"/>
  <c r="FD16" i="27"/>
  <c r="FE16" i="27"/>
  <c r="FF16" i="27"/>
  <c r="FG16" i="27"/>
  <c r="FH16" i="27"/>
  <c r="FI16" i="27"/>
  <c r="FJ16" i="27"/>
  <c r="FK16" i="27"/>
  <c r="FL16" i="27"/>
  <c r="FM16" i="27"/>
  <c r="FN16" i="27"/>
  <c r="EH17" i="27"/>
  <c r="EI17" i="27"/>
  <c r="EJ17" i="27"/>
  <c r="EK17" i="27"/>
  <c r="EL17" i="27"/>
  <c r="EM17" i="27"/>
  <c r="EN17" i="27"/>
  <c r="EO17" i="27"/>
  <c r="EP17" i="27"/>
  <c r="EQ17" i="27"/>
  <c r="ER17" i="27"/>
  <c r="ES17" i="27"/>
  <c r="ET17" i="27"/>
  <c r="EU17" i="27"/>
  <c r="EV17" i="27"/>
  <c r="EW17" i="27"/>
  <c r="EX17" i="27"/>
  <c r="EY17" i="27"/>
  <c r="EZ17" i="27"/>
  <c r="FA17" i="27"/>
  <c r="FB17" i="27"/>
  <c r="FC17" i="27"/>
  <c r="FD17" i="27"/>
  <c r="FE17" i="27"/>
  <c r="FF17" i="27"/>
  <c r="FG17" i="27"/>
  <c r="FH17" i="27"/>
  <c r="FI17" i="27"/>
  <c r="FJ17" i="27"/>
  <c r="FK17" i="27"/>
  <c r="FL17" i="27"/>
  <c r="FM17" i="27"/>
  <c r="FN17" i="27"/>
  <c r="EG20" i="27"/>
  <c r="EH20" i="27"/>
  <c r="EI20" i="27"/>
  <c r="EJ20" i="27"/>
  <c r="EK20" i="27"/>
  <c r="EL20" i="27"/>
  <c r="EM20" i="27"/>
  <c r="EN20" i="27"/>
  <c r="EO20" i="27"/>
  <c r="EP20" i="27"/>
  <c r="EQ20" i="27"/>
  <c r="ER20" i="27"/>
  <c r="ES20" i="27"/>
  <c r="ET20" i="27"/>
  <c r="EU20" i="27"/>
  <c r="EV20" i="27"/>
  <c r="EW20" i="27"/>
  <c r="EX20" i="27"/>
  <c r="EY20" i="27"/>
  <c r="EZ20" i="27"/>
  <c r="FA20" i="27"/>
  <c r="FB20" i="27"/>
  <c r="FC20" i="27"/>
  <c r="FD20" i="27"/>
  <c r="FE20" i="27"/>
  <c r="FF20" i="27"/>
  <c r="FG20" i="27"/>
  <c r="FH20" i="27"/>
  <c r="FI20" i="27"/>
  <c r="FJ20" i="27"/>
  <c r="FK20" i="27"/>
  <c r="FL20" i="27"/>
  <c r="FM20" i="27"/>
  <c r="FN20" i="27"/>
  <c r="EG23" i="27"/>
  <c r="EH23" i="27"/>
  <c r="EI23" i="27"/>
  <c r="EJ23" i="27"/>
  <c r="EK23" i="27"/>
  <c r="EL23" i="27"/>
  <c r="EM23" i="27"/>
  <c r="EN23" i="27"/>
  <c r="EO23" i="27"/>
  <c r="EP23" i="27"/>
  <c r="EQ23" i="27"/>
  <c r="ER23" i="27"/>
  <c r="ES23" i="27"/>
  <c r="ET23" i="27"/>
  <c r="EU23" i="27"/>
  <c r="EV23" i="27"/>
  <c r="EW23" i="27"/>
  <c r="EX23" i="27"/>
  <c r="EY23" i="27"/>
  <c r="EZ23" i="27"/>
  <c r="FA23" i="27"/>
  <c r="FB23" i="27"/>
  <c r="FC23" i="27"/>
  <c r="FD23" i="27"/>
  <c r="FE23" i="27"/>
  <c r="FF23" i="27"/>
  <c r="FG23" i="27"/>
  <c r="FH23" i="27"/>
  <c r="FI23" i="27"/>
  <c r="FJ23" i="27"/>
  <c r="FK23" i="27"/>
  <c r="FL23" i="27"/>
  <c r="FM23" i="27"/>
  <c r="AT17" i="27"/>
  <c r="AT18" i="27" s="1"/>
  <c r="FP20" i="27"/>
  <c r="FP17" i="27"/>
  <c r="FP16" i="27"/>
  <c r="FP11" i="27"/>
  <c r="AU19" i="27"/>
  <c r="AT13" i="22"/>
  <c r="AT23" i="22"/>
  <c r="AT25" i="22" s="1"/>
  <c r="AT26" i="22" s="1"/>
  <c r="AT27" i="22" s="1"/>
  <c r="ES28" i="22"/>
  <c r="ES24" i="22"/>
  <c r="ES25" i="22" s="1"/>
  <c r="ES26" i="22" s="1"/>
  <c r="ES19" i="22"/>
  <c r="ES13" i="22"/>
  <c r="ES11" i="22"/>
  <c r="ES7" i="22"/>
  <c r="ES12" i="22" s="1"/>
  <c r="Q14" i="69"/>
  <c r="P12" i="69"/>
  <c r="CN14" i="69"/>
  <c r="CN15" i="69" s="1"/>
  <c r="CN16" i="69" s="1"/>
  <c r="CN11" i="69"/>
  <c r="CN9" i="69"/>
  <c r="CN14" i="65"/>
  <c r="CN15" i="65" s="1"/>
  <c r="CN16" i="65" s="1"/>
  <c r="P11" i="65"/>
  <c r="CN10" i="65"/>
  <c r="BF10" i="65"/>
  <c r="BG10" i="65"/>
  <c r="BH10" i="65"/>
  <c r="BI10" i="65"/>
  <c r="BJ10" i="65"/>
  <c r="BK10" i="65"/>
  <c r="BL10" i="65"/>
  <c r="BM10" i="65"/>
  <c r="BN10" i="65"/>
  <c r="BO10" i="65"/>
  <c r="BP10" i="65"/>
  <c r="BQ10" i="65"/>
  <c r="BR10" i="65"/>
  <c r="BS10" i="65"/>
  <c r="BT10" i="65"/>
  <c r="BU10" i="65"/>
  <c r="BV10" i="65"/>
  <c r="BW10" i="65"/>
  <c r="BX10" i="65"/>
  <c r="BY10" i="65"/>
  <c r="BZ10" i="65"/>
  <c r="CA10" i="65"/>
  <c r="CB10" i="65"/>
  <c r="CC10" i="65"/>
  <c r="CD10" i="65"/>
  <c r="CE10" i="65"/>
  <c r="CF10" i="65"/>
  <c r="CG10" i="65"/>
  <c r="CH10" i="65"/>
  <c r="CI10" i="65"/>
  <c r="CJ10" i="65"/>
  <c r="CK10" i="65"/>
  <c r="CL10" i="65"/>
  <c r="CM10" i="65"/>
  <c r="BE10" i="65"/>
  <c r="FO11" i="27"/>
  <c r="FO20" i="27"/>
  <c r="FO17" i="27"/>
  <c r="FO16" i="27"/>
  <c r="AT7" i="22"/>
  <c r="AT12" i="22" s="1"/>
  <c r="AS22" i="22"/>
  <c r="AS23" i="22" s="1"/>
  <c r="ER28" i="22"/>
  <c r="ER24" i="22"/>
  <c r="ER25" i="22" s="1"/>
  <c r="ER26" i="22" s="1"/>
  <c r="ER19" i="22"/>
  <c r="ER13" i="22"/>
  <c r="ER11" i="22"/>
  <c r="ER7" i="22"/>
  <c r="ER12" i="22" s="1"/>
  <c r="Q10" i="69"/>
  <c r="Q7" i="69"/>
  <c r="AS18" i="27" l="1"/>
  <c r="AR18" i="27"/>
  <c r="AM18" i="27"/>
  <c r="AM19" i="27" s="1"/>
  <c r="AL18" i="27"/>
  <c r="AL19" i="27" s="1"/>
  <c r="AL16" i="27"/>
  <c r="EC17" i="27"/>
  <c r="EC18" i="27" s="1"/>
  <c r="EC19" i="27" s="1"/>
  <c r="AK14" i="27"/>
  <c r="EC20" i="27"/>
  <c r="Q10" i="65"/>
  <c r="EB17" i="27"/>
  <c r="EB18" i="27" s="1"/>
  <c r="EB19" i="27" s="1"/>
  <c r="J12" i="76"/>
  <c r="AT11" i="27"/>
  <c r="AS16" i="27"/>
  <c r="AA18" i="27"/>
  <c r="AA19" i="27" s="1"/>
  <c r="AT19" i="22"/>
  <c r="AN17" i="27"/>
  <c r="AN18" i="27" s="1"/>
  <c r="Z18" i="27"/>
  <c r="Z19" i="27" s="1"/>
  <c r="Q15" i="69"/>
  <c r="Q16" i="69" s="1"/>
  <c r="AH18" i="27"/>
  <c r="AH19" i="27" s="1"/>
  <c r="AI18" i="27"/>
  <c r="AI19" i="27" s="1"/>
  <c r="AF18" i="27"/>
  <c r="AF19" i="27" s="1"/>
  <c r="AM16" i="27"/>
  <c r="AD18" i="27"/>
  <c r="AD19" i="27" s="1"/>
  <c r="AN11" i="27"/>
  <c r="ET18" i="27"/>
  <c r="ET19" i="27" s="1"/>
  <c r="EL18" i="27"/>
  <c r="EL19" i="27" s="1"/>
  <c r="AE18" i="27"/>
  <c r="AE19" i="27" s="1"/>
  <c r="AL11" i="27"/>
  <c r="FL18" i="27"/>
  <c r="FL19" i="27" s="1"/>
  <c r="AR16" i="27"/>
  <c r="AO11" i="27"/>
  <c r="AM11" i="27"/>
  <c r="AJ18" i="27"/>
  <c r="AJ19" i="27" s="1"/>
  <c r="FD18" i="27"/>
  <c r="FD19" i="27" s="1"/>
  <c r="EV18" i="27"/>
  <c r="EV19" i="27" s="1"/>
  <c r="EN18" i="27"/>
  <c r="EN19" i="27" s="1"/>
  <c r="AR11" i="27"/>
  <c r="I10" i="76"/>
  <c r="AV12" i="76"/>
  <c r="AW12" i="76"/>
  <c r="AQ17" i="27"/>
  <c r="AQ18" i="27" s="1"/>
  <c r="AQ16" i="27"/>
  <c r="AG18" i="27"/>
  <c r="AG19" i="27" s="1"/>
  <c r="AP17" i="27"/>
  <c r="AP18" i="27" s="1"/>
  <c r="AR19" i="27"/>
  <c r="Y18" i="27"/>
  <c r="Y19" i="27" s="1"/>
  <c r="AP11" i="27"/>
  <c r="AO17" i="27"/>
  <c r="AO18" i="27" s="1"/>
  <c r="X18" i="27"/>
  <c r="X19" i="27" s="1"/>
  <c r="EA20" i="27"/>
  <c r="FI18" i="27"/>
  <c r="FI19" i="27" s="1"/>
  <c r="FA18" i="27"/>
  <c r="FA19" i="27" s="1"/>
  <c r="ES18" i="27"/>
  <c r="ES19" i="27" s="1"/>
  <c r="EK18" i="27"/>
  <c r="EK19" i="27" s="1"/>
  <c r="AC18" i="27"/>
  <c r="AC19" i="27" s="1"/>
  <c r="AS11" i="27"/>
  <c r="AQ11" i="27"/>
  <c r="DW18" i="27"/>
  <c r="DW19" i="27" s="1"/>
  <c r="DT18" i="27"/>
  <c r="DT19" i="27" s="1"/>
  <c r="DV18" i="27"/>
  <c r="DV19" i="27" s="1"/>
  <c r="EE20" i="27"/>
  <c r="ED17" i="27"/>
  <c r="ED18" i="27" s="1"/>
  <c r="ED19" i="27" s="1"/>
  <c r="DU18" i="27"/>
  <c r="DU19" i="27" s="1"/>
  <c r="EU18" i="27"/>
  <c r="EU19" i="27" s="1"/>
  <c r="EM18" i="27"/>
  <c r="EM19" i="27" s="1"/>
  <c r="FC18" i="27"/>
  <c r="FC19" i="27" s="1"/>
  <c r="FB18" i="27"/>
  <c r="FB19" i="27" s="1"/>
  <c r="EZ18" i="27"/>
  <c r="EZ19" i="27" s="1"/>
  <c r="EJ18" i="27"/>
  <c r="EJ19" i="27" s="1"/>
  <c r="EI18" i="27"/>
  <c r="EI19" i="27" s="1"/>
  <c r="DZ17" i="27"/>
  <c r="DZ18" i="27" s="1"/>
  <c r="DZ19" i="27" s="1"/>
  <c r="EH18" i="27"/>
  <c r="EH19" i="27" s="1"/>
  <c r="FK18" i="27"/>
  <c r="FK19" i="27" s="1"/>
  <c r="FM18" i="27"/>
  <c r="FM19" i="27" s="1"/>
  <c r="FE18" i="27"/>
  <c r="FE19" i="27" s="1"/>
  <c r="EW18" i="27"/>
  <c r="EW19" i="27" s="1"/>
  <c r="EO18" i="27"/>
  <c r="EO19" i="27" s="1"/>
  <c r="EF17" i="27"/>
  <c r="EF18" i="27" s="1"/>
  <c r="EF19" i="27" s="1"/>
  <c r="FJ18" i="27"/>
  <c r="FJ19" i="27" s="1"/>
  <c r="FH18" i="27"/>
  <c r="FH19" i="27" s="1"/>
  <c r="ER18" i="27"/>
  <c r="ER19" i="27" s="1"/>
  <c r="FG18" i="27"/>
  <c r="FG19" i="27" s="1"/>
  <c r="EY18" i="27"/>
  <c r="EY19" i="27" s="1"/>
  <c r="EQ18" i="27"/>
  <c r="EQ19" i="27" s="1"/>
  <c r="FN18" i="27"/>
  <c r="FN19" i="27" s="1"/>
  <c r="FF18" i="27"/>
  <c r="FF19" i="27" s="1"/>
  <c r="EX18" i="27"/>
  <c r="EX19" i="27" s="1"/>
  <c r="EP18" i="27"/>
  <c r="EP19" i="27" s="1"/>
  <c r="FP18" i="27"/>
  <c r="FP19" i="27" s="1"/>
  <c r="AT19" i="27"/>
  <c r="FO18" i="27"/>
  <c r="FO19" i="27" s="1"/>
  <c r="CM14" i="69"/>
  <c r="CM15" i="69" s="1"/>
  <c r="CM16" i="69" s="1"/>
  <c r="CM11" i="69"/>
  <c r="CM9" i="69"/>
  <c r="Q14" i="65"/>
  <c r="Q15" i="65" s="1"/>
  <c r="Q16" i="65" s="1"/>
  <c r="AS19" i="27" l="1"/>
  <c r="AQ19" i="27"/>
  <c r="AN19" i="27"/>
  <c r="AP19" i="27"/>
  <c r="I11" i="76"/>
  <c r="I12" i="76" s="1"/>
  <c r="AO19" i="27"/>
  <c r="AK17" i="27"/>
  <c r="AK18" i="27" s="1"/>
  <c r="AK19" i="27" s="1"/>
  <c r="AK16" i="27"/>
  <c r="CM14" i="65"/>
  <c r="CM15" i="65" s="1"/>
  <c r="CM16" i="65" s="1"/>
  <c r="EQ19" i="22"/>
  <c r="AS17" i="22"/>
  <c r="AS18" i="22"/>
  <c r="EQ28" i="22"/>
  <c r="EQ24" i="22"/>
  <c r="EQ25" i="22" s="1"/>
  <c r="EQ26" i="22" s="1"/>
  <c r="EQ13" i="22"/>
  <c r="EQ11" i="22"/>
  <c r="EQ7" i="22"/>
  <c r="EQ12" i="22" s="1"/>
  <c r="P13" i="69"/>
  <c r="P14" i="69" s="1"/>
  <c r="CL14" i="69"/>
  <c r="CL15" i="69" s="1"/>
  <c r="CL16" i="69" s="1"/>
  <c r="CL11" i="69"/>
  <c r="CL9" i="69"/>
  <c r="P12" i="65"/>
  <c r="P13" i="65"/>
  <c r="P14" i="65" s="1"/>
  <c r="CL14" i="65"/>
  <c r="CL15" i="65" s="1"/>
  <c r="CL16" i="65" s="1"/>
  <c r="AU23" i="22"/>
  <c r="AU25" i="22" s="1"/>
  <c r="AU26" i="22" s="1"/>
  <c r="AU27" i="22" s="1"/>
  <c r="R15" i="65"/>
  <c r="R16" i="65" s="1"/>
  <c r="EP28" i="22"/>
  <c r="EO28" i="22"/>
  <c r="EP7" i="22" l="1"/>
  <c r="EP24" i="22" l="1"/>
  <c r="EP25" i="22" s="1"/>
  <c r="EP26" i="22" s="1"/>
  <c r="EP19" i="22"/>
  <c r="EP11" i="22"/>
  <c r="EP13" i="22"/>
  <c r="EP12" i="22"/>
  <c r="CK14" i="69"/>
  <c r="CK15" i="69" s="1"/>
  <c r="CK16" i="69" s="1"/>
  <c r="CK11" i="69"/>
  <c r="CK9" i="69"/>
  <c r="CK14" i="65"/>
  <c r="CK15" i="65" s="1"/>
  <c r="CK16" i="65" s="1"/>
  <c r="EO19" i="22"/>
  <c r="EO16" i="22"/>
  <c r="EN16" i="22"/>
  <c r="EO24" i="22"/>
  <c r="EO25" i="22" s="1"/>
  <c r="EO26" i="22" s="1"/>
  <c r="EO13" i="22"/>
  <c r="EO11" i="22"/>
  <c r="EO7" i="22"/>
  <c r="EO12" i="22" s="1"/>
  <c r="P18" i="69"/>
  <c r="CJ14" i="69"/>
  <c r="CJ15" i="69" s="1"/>
  <c r="CJ16" i="69" s="1"/>
  <c r="CJ11" i="69"/>
  <c r="CJ9" i="69"/>
  <c r="O9" i="65"/>
  <c r="CJ14" i="65"/>
  <c r="CJ15" i="65" s="1"/>
  <c r="CJ16" i="65" s="1"/>
  <c r="EN28" i="22"/>
  <c r="EN24" i="22"/>
  <c r="EN25" i="22" s="1"/>
  <c r="EN26" i="22" s="1"/>
  <c r="EN19" i="22"/>
  <c r="EM16" i="22"/>
  <c r="EN13" i="22"/>
  <c r="EN11" i="22"/>
  <c r="EN7" i="22"/>
  <c r="EN12" i="22" s="1"/>
  <c r="O12" i="69"/>
  <c r="CI14" i="69"/>
  <c r="CI15" i="69" s="1"/>
  <c r="CI16" i="69" s="1"/>
  <c r="CI11" i="69"/>
  <c r="CI9" i="69"/>
  <c r="O11" i="65"/>
  <c r="CI14" i="65"/>
  <c r="CI15" i="65" s="1"/>
  <c r="CI16" i="65" s="1"/>
  <c r="AS16" i="22" l="1"/>
  <c r="P15" i="65"/>
  <c r="P16" i="65" s="1"/>
  <c r="CH14" i="65"/>
  <c r="CH15" i="65" s="1"/>
  <c r="CH16" i="65" s="1"/>
  <c r="P10" i="65"/>
  <c r="O18" i="69"/>
  <c r="P10" i="69"/>
  <c r="P7" i="69"/>
  <c r="CH14" i="69"/>
  <c r="CH15" i="69" s="1"/>
  <c r="CH16" i="69" s="1"/>
  <c r="CH11" i="69"/>
  <c r="CH9" i="69"/>
  <c r="AS25" i="22"/>
  <c r="AS26" i="22" s="1"/>
  <c r="AS27" i="22" s="1"/>
  <c r="EL16" i="22"/>
  <c r="EM19" i="22"/>
  <c r="AS19" i="22" s="1"/>
  <c r="EM28" i="22"/>
  <c r="EM24" i="22"/>
  <c r="EM25" i="22" s="1"/>
  <c r="EM26" i="22" s="1"/>
  <c r="EM13" i="22"/>
  <c r="EM11" i="22"/>
  <c r="EM7" i="22"/>
  <c r="EM12" i="22" s="1"/>
  <c r="AS13" i="22"/>
  <c r="P15" i="69" l="1"/>
  <c r="P16" i="69" s="1"/>
  <c r="AS7" i="22"/>
  <c r="AS12" i="22" s="1"/>
  <c r="EJ24" i="22"/>
  <c r="EG28" i="22"/>
  <c r="EH28" i="22"/>
  <c r="EI28" i="22"/>
  <c r="EJ28" i="22"/>
  <c r="EK28" i="22"/>
  <c r="EL28" i="22"/>
  <c r="EF28" i="22"/>
  <c r="EL19" i="22" l="1"/>
  <c r="AR22" i="22" l="1"/>
  <c r="AR23" i="22" s="1"/>
  <c r="AR18" i="22"/>
  <c r="AR17" i="22"/>
  <c r="EK16" i="22"/>
  <c r="EL24" i="22"/>
  <c r="EL25" i="22" s="1"/>
  <c r="EL26" i="22" s="1"/>
  <c r="EL13" i="22"/>
  <c r="EL11" i="22"/>
  <c r="EL7" i="22"/>
  <c r="EL12" i="22" s="1"/>
  <c r="O13" i="69"/>
  <c r="CG14" i="69"/>
  <c r="CG15" i="69" s="1"/>
  <c r="CG16" i="69" s="1"/>
  <c r="CG11" i="69"/>
  <c r="CG9" i="69"/>
  <c r="O13" i="65"/>
  <c r="O12" i="65"/>
  <c r="CG14" i="65"/>
  <c r="CG15" i="65" s="1"/>
  <c r="CG16" i="65" s="1"/>
  <c r="DK13" i="22"/>
  <c r="DL13" i="22"/>
  <c r="DM13" i="22"/>
  <c r="DN13" i="22"/>
  <c r="DO13" i="22"/>
  <c r="DP13" i="22"/>
  <c r="DQ13" i="22"/>
  <c r="DR13" i="22"/>
  <c r="DS13" i="22"/>
  <c r="DT13" i="22"/>
  <c r="DU13" i="22"/>
  <c r="DV13" i="22"/>
  <c r="DW13" i="22"/>
  <c r="DX13" i="22"/>
  <c r="DY13" i="22"/>
  <c r="DZ13" i="22"/>
  <c r="EA13" i="22"/>
  <c r="EB13" i="22"/>
  <c r="EC13" i="22"/>
  <c r="ED13" i="22"/>
  <c r="EE13" i="22"/>
  <c r="EF13" i="22"/>
  <c r="EG13" i="22"/>
  <c r="EH13" i="22"/>
  <c r="EI13" i="22"/>
  <c r="EJ13" i="22"/>
  <c r="EK13" i="22"/>
  <c r="DJ13" i="22"/>
  <c r="CF14" i="65" l="1"/>
  <c r="CF15" i="65" s="1"/>
  <c r="CF16" i="65" s="1"/>
  <c r="CE14" i="65"/>
  <c r="CE15" i="65" s="1"/>
  <c r="CE16" i="65" s="1"/>
  <c r="CD14" i="65"/>
  <c r="CD15" i="65" s="1"/>
  <c r="CD16" i="65" s="1"/>
  <c r="CC14" i="65"/>
  <c r="CC15" i="65" s="1"/>
  <c r="CC16" i="65" s="1"/>
  <c r="CB14" i="65"/>
  <c r="CB15" i="65" s="1"/>
  <c r="CB16" i="65" s="1"/>
  <c r="CA14" i="65"/>
  <c r="CA15" i="65" s="1"/>
  <c r="CA16" i="65" s="1"/>
  <c r="BZ14" i="65"/>
  <c r="BZ15" i="65" s="1"/>
  <c r="BZ16" i="65" s="1"/>
  <c r="BY14" i="65"/>
  <c r="BY15" i="65" s="1"/>
  <c r="BY16" i="65" s="1"/>
  <c r="BX14" i="65"/>
  <c r="BX15" i="65" s="1"/>
  <c r="BX16" i="65" s="1"/>
  <c r="BW14" i="65"/>
  <c r="BW15" i="65" s="1"/>
  <c r="BW16" i="65" s="1"/>
  <c r="BV14" i="65"/>
  <c r="BV15" i="65" s="1"/>
  <c r="BV16" i="65" s="1"/>
  <c r="BU14" i="65"/>
  <c r="BU15" i="65" s="1"/>
  <c r="BU16" i="65" s="1"/>
  <c r="BT14" i="65"/>
  <c r="BT15" i="65" s="1"/>
  <c r="BT16" i="65" s="1"/>
  <c r="BS14" i="65"/>
  <c r="BS15" i="65" s="1"/>
  <c r="BS16" i="65" s="1"/>
  <c r="BR14" i="65"/>
  <c r="BR15" i="65" s="1"/>
  <c r="BR16" i="65" s="1"/>
  <c r="BQ14" i="65"/>
  <c r="BQ15" i="65" s="1"/>
  <c r="BQ16" i="65" s="1"/>
  <c r="BP14" i="65"/>
  <c r="BP15" i="65" s="1"/>
  <c r="BP16" i="65" s="1"/>
  <c r="BO14" i="65"/>
  <c r="BO15" i="65" s="1"/>
  <c r="BO16" i="65" s="1"/>
  <c r="BN14" i="65"/>
  <c r="BN15" i="65" s="1"/>
  <c r="BN16" i="65" s="1"/>
  <c r="BM14" i="65"/>
  <c r="BM15" i="65" s="1"/>
  <c r="BM16" i="65" s="1"/>
  <c r="BL14" i="65"/>
  <c r="BL15" i="65" s="1"/>
  <c r="BL16" i="65" s="1"/>
  <c r="BK14" i="65"/>
  <c r="BK15" i="65" s="1"/>
  <c r="BK16" i="65" s="1"/>
  <c r="BJ14" i="65"/>
  <c r="BJ15" i="65" s="1"/>
  <c r="BJ16" i="65" s="1"/>
  <c r="BI14" i="65"/>
  <c r="BI15" i="65" s="1"/>
  <c r="BI16" i="65" s="1"/>
  <c r="BH14" i="65"/>
  <c r="BH15" i="65" s="1"/>
  <c r="BH16" i="65" s="1"/>
  <c r="BG14" i="65"/>
  <c r="BG15" i="65" s="1"/>
  <c r="BG16" i="65" s="1"/>
  <c r="BF14" i="65"/>
  <c r="BF15" i="65" s="1"/>
  <c r="BF16" i="65" s="1"/>
  <c r="BD14" i="65"/>
  <c r="BD15" i="65" s="1"/>
  <c r="BD16" i="65" s="1"/>
  <c r="BE13" i="65"/>
  <c r="BE14" i="65" s="1"/>
  <c r="BE15" i="65" s="1"/>
  <c r="BE16" i="65" s="1"/>
  <c r="O14" i="65"/>
  <c r="O15" i="65" s="1"/>
  <c r="O16" i="65" s="1"/>
  <c r="N13" i="65"/>
  <c r="N14" i="65" s="1"/>
  <c r="M13" i="65"/>
  <c r="M14" i="65" s="1"/>
  <c r="L13" i="65"/>
  <c r="L14" i="65" s="1"/>
  <c r="K13" i="65"/>
  <c r="K14" i="65" s="1"/>
  <c r="J13" i="65"/>
  <c r="J14" i="65" s="1"/>
  <c r="H13" i="65"/>
  <c r="BD12" i="65"/>
  <c r="N12" i="65"/>
  <c r="M12" i="65"/>
  <c r="L12" i="65"/>
  <c r="K12" i="65"/>
  <c r="J12" i="65"/>
  <c r="I12" i="65"/>
  <c r="H12" i="65"/>
  <c r="BC12" i="65" s="1"/>
  <c r="BD11" i="65"/>
  <c r="N11" i="65"/>
  <c r="M11" i="65"/>
  <c r="L11" i="65"/>
  <c r="K11" i="65"/>
  <c r="J11" i="65"/>
  <c r="I11" i="65"/>
  <c r="H11" i="65"/>
  <c r="BC11" i="65" s="1"/>
  <c r="BD10" i="65"/>
  <c r="N9" i="65"/>
  <c r="M9" i="65"/>
  <c r="L9" i="65"/>
  <c r="K9" i="65"/>
  <c r="J9" i="65"/>
  <c r="I9" i="65"/>
  <c r="BC8" i="65"/>
  <c r="H8" i="65"/>
  <c r="BC7" i="65"/>
  <c r="K7" i="65"/>
  <c r="J7" i="65"/>
  <c r="I7" i="65"/>
  <c r="H7" i="65"/>
  <c r="BC6" i="65"/>
  <c r="H6" i="65"/>
  <c r="CF14" i="69"/>
  <c r="CF15" i="69" s="1"/>
  <c r="CF16" i="69" s="1"/>
  <c r="CE14" i="69"/>
  <c r="CE15" i="69" s="1"/>
  <c r="CE16" i="69" s="1"/>
  <c r="CD14" i="69"/>
  <c r="CD15" i="69" s="1"/>
  <c r="CD16" i="69" s="1"/>
  <c r="CC14" i="69"/>
  <c r="CC15" i="69" s="1"/>
  <c r="CC16" i="69" s="1"/>
  <c r="CB14" i="69"/>
  <c r="CB15" i="69" s="1"/>
  <c r="CB16" i="69" s="1"/>
  <c r="CA14" i="69"/>
  <c r="CA15" i="69" s="1"/>
  <c r="CA16" i="69" s="1"/>
  <c r="BZ14" i="69"/>
  <c r="BZ15" i="69" s="1"/>
  <c r="BZ16" i="69" s="1"/>
  <c r="BY14" i="69"/>
  <c r="BY15" i="69" s="1"/>
  <c r="BY16" i="69" s="1"/>
  <c r="BX14" i="69"/>
  <c r="BX15" i="69" s="1"/>
  <c r="BX16" i="69" s="1"/>
  <c r="BW14" i="69"/>
  <c r="BW15" i="69" s="1"/>
  <c r="BW16" i="69" s="1"/>
  <c r="BV14" i="69"/>
  <c r="BV15" i="69" s="1"/>
  <c r="BV16" i="69" s="1"/>
  <c r="BU14" i="69"/>
  <c r="BU15" i="69" s="1"/>
  <c r="BU16" i="69" s="1"/>
  <c r="BT14" i="69"/>
  <c r="BT15" i="69" s="1"/>
  <c r="BT16" i="69" s="1"/>
  <c r="BS14" i="69"/>
  <c r="BS15" i="69" s="1"/>
  <c r="BS16" i="69" s="1"/>
  <c r="BR14" i="69"/>
  <c r="BR15" i="69" s="1"/>
  <c r="BR16" i="69" s="1"/>
  <c r="BQ14" i="69"/>
  <c r="BQ15" i="69" s="1"/>
  <c r="BQ16" i="69" s="1"/>
  <c r="BP14" i="69"/>
  <c r="BP15" i="69" s="1"/>
  <c r="BP16" i="69" s="1"/>
  <c r="BO14" i="69"/>
  <c r="BO15" i="69" s="1"/>
  <c r="BO16" i="69" s="1"/>
  <c r="BN14" i="69"/>
  <c r="BN15" i="69" s="1"/>
  <c r="BN16" i="69" s="1"/>
  <c r="BM14" i="69"/>
  <c r="BM15" i="69" s="1"/>
  <c r="BM16" i="69" s="1"/>
  <c r="BL14" i="69"/>
  <c r="BL15" i="69" s="1"/>
  <c r="BL16" i="69" s="1"/>
  <c r="BK14" i="69"/>
  <c r="BK15" i="69" s="1"/>
  <c r="BK16" i="69" s="1"/>
  <c r="BJ14" i="69"/>
  <c r="BJ15" i="69" s="1"/>
  <c r="BJ16" i="69" s="1"/>
  <c r="BI14" i="69"/>
  <c r="BI15" i="69" s="1"/>
  <c r="BI16" i="69" s="1"/>
  <c r="BH14" i="69"/>
  <c r="BH15" i="69" s="1"/>
  <c r="BH16" i="69" s="1"/>
  <c r="BG14" i="69"/>
  <c r="BG15" i="69" s="1"/>
  <c r="BG16" i="69" s="1"/>
  <c r="BF14" i="69"/>
  <c r="BF15" i="69" s="1"/>
  <c r="BF16" i="69" s="1"/>
  <c r="BE14" i="69"/>
  <c r="BE15" i="69" s="1"/>
  <c r="BE16" i="69" s="1"/>
  <c r="BD14" i="69"/>
  <c r="BD15" i="69" s="1"/>
  <c r="BD16" i="69" s="1"/>
  <c r="O14" i="69"/>
  <c r="N13" i="69"/>
  <c r="N14" i="69" s="1"/>
  <c r="N15" i="69" s="1"/>
  <c r="N16" i="69" s="1"/>
  <c r="M13" i="69"/>
  <c r="M14" i="69" s="1"/>
  <c r="M15" i="69" s="1"/>
  <c r="M16" i="69" s="1"/>
  <c r="L13" i="69"/>
  <c r="L14" i="69" s="1"/>
  <c r="L15" i="69" s="1"/>
  <c r="L16" i="69" s="1"/>
  <c r="K13" i="69"/>
  <c r="K14" i="69" s="1"/>
  <c r="K15" i="69" s="1"/>
  <c r="K16" i="69" s="1"/>
  <c r="J13" i="69"/>
  <c r="J14" i="69" s="1"/>
  <c r="I13" i="69"/>
  <c r="I14" i="69" s="1"/>
  <c r="H13" i="69"/>
  <c r="BC13" i="69" s="1"/>
  <c r="BD12" i="69"/>
  <c r="N12" i="69"/>
  <c r="M12" i="69"/>
  <c r="L12" i="69"/>
  <c r="K12" i="69"/>
  <c r="J12" i="69"/>
  <c r="I12" i="69"/>
  <c r="H12" i="69"/>
  <c r="BC12" i="69" s="1"/>
  <c r="CF11" i="69"/>
  <c r="Q11" i="69" s="1"/>
  <c r="CE11" i="69"/>
  <c r="P11" i="69" s="1"/>
  <c r="CD11" i="69"/>
  <c r="O11" i="69" s="1"/>
  <c r="CC11" i="69"/>
  <c r="CB11" i="69"/>
  <c r="CA11" i="69"/>
  <c r="BZ11" i="69"/>
  <c r="BY11" i="69"/>
  <c r="BX11" i="69"/>
  <c r="BW11" i="69"/>
  <c r="BV11" i="69"/>
  <c r="BU11" i="69"/>
  <c r="BT11" i="69"/>
  <c r="BS11" i="69"/>
  <c r="BR11" i="69"/>
  <c r="BQ11" i="69"/>
  <c r="BP11" i="69"/>
  <c r="BO11" i="69"/>
  <c r="BN11" i="69"/>
  <c r="BM11" i="69"/>
  <c r="BL11" i="69"/>
  <c r="BK11" i="69"/>
  <c r="BJ11" i="69"/>
  <c r="BI11" i="69"/>
  <c r="BH11" i="69"/>
  <c r="BG11" i="69"/>
  <c r="BF11" i="69"/>
  <c r="BE11" i="69"/>
  <c r="N11" i="69"/>
  <c r="M11" i="69"/>
  <c r="L11" i="69"/>
  <c r="K11" i="69"/>
  <c r="O10" i="69"/>
  <c r="CF9" i="69"/>
  <c r="Q9" i="69" s="1"/>
  <c r="CE9" i="69"/>
  <c r="P9" i="69" s="1"/>
  <c r="CD9" i="69"/>
  <c r="O9" i="69" s="1"/>
  <c r="CC9" i="69"/>
  <c r="CB9" i="69"/>
  <c r="CA9" i="69"/>
  <c r="BZ9" i="69"/>
  <c r="BY9" i="69"/>
  <c r="BX9" i="69"/>
  <c r="BW9" i="69"/>
  <c r="BV9" i="69"/>
  <c r="BU9" i="69"/>
  <c r="BT9" i="69"/>
  <c r="BS9" i="69"/>
  <c r="BR9" i="69"/>
  <c r="BQ9" i="69"/>
  <c r="BP9" i="69"/>
  <c r="BO9" i="69"/>
  <c r="BN9" i="69"/>
  <c r="BM9" i="69"/>
  <c r="BL9" i="69"/>
  <c r="BK9" i="69"/>
  <c r="BJ9" i="69"/>
  <c r="BI9" i="69"/>
  <c r="BH9" i="69"/>
  <c r="BG9" i="69"/>
  <c r="BF9" i="69"/>
  <c r="BE9" i="69"/>
  <c r="BD9" i="69"/>
  <c r="N9" i="69"/>
  <c r="M9" i="69"/>
  <c r="L9" i="69"/>
  <c r="K9" i="69"/>
  <c r="O7" i="69"/>
  <c r="J7" i="69"/>
  <c r="I7" i="69"/>
  <c r="BC6" i="69"/>
  <c r="H6" i="69"/>
  <c r="AI47" i="22"/>
  <c r="AH47" i="22"/>
  <c r="AG47" i="22"/>
  <c r="AF47" i="22"/>
  <c r="AE47" i="22"/>
  <c r="AC47" i="22"/>
  <c r="AB47" i="22"/>
  <c r="AA47" i="22"/>
  <c r="Z47" i="22"/>
  <c r="Y47" i="22"/>
  <c r="X47" i="22"/>
  <c r="W47" i="22"/>
  <c r="V47" i="22"/>
  <c r="U47" i="22"/>
  <c r="AI46" i="22"/>
  <c r="AH46" i="22"/>
  <c r="AG46" i="22"/>
  <c r="AF46" i="22"/>
  <c r="AE46" i="22"/>
  <c r="AD46" i="22"/>
  <c r="AC46" i="22"/>
  <c r="AB46" i="22"/>
  <c r="AA46" i="22"/>
  <c r="Z46" i="22"/>
  <c r="Y46" i="22"/>
  <c r="X46" i="22"/>
  <c r="W46" i="22"/>
  <c r="V46" i="22"/>
  <c r="U46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EE28" i="22"/>
  <c r="ED28" i="22"/>
  <c r="EC28" i="22"/>
  <c r="EB28" i="22"/>
  <c r="EA28" i="22"/>
  <c r="DZ28" i="22"/>
  <c r="DY28" i="22"/>
  <c r="DX28" i="22"/>
  <c r="DW28" i="22"/>
  <c r="DV28" i="22"/>
  <c r="DU28" i="22"/>
  <c r="DT28" i="22"/>
  <c r="DS28" i="22"/>
  <c r="DR28" i="22"/>
  <c r="DQ28" i="22"/>
  <c r="DP28" i="22"/>
  <c r="DO28" i="22"/>
  <c r="DN28" i="22"/>
  <c r="DM28" i="22"/>
  <c r="DL28" i="22"/>
  <c r="DK28" i="22"/>
  <c r="DJ28" i="22"/>
  <c r="DI28" i="22"/>
  <c r="DH28" i="22"/>
  <c r="DG28" i="22"/>
  <c r="DF28" i="22"/>
  <c r="DE28" i="22"/>
  <c r="DD28" i="22"/>
  <c r="DC28" i="22"/>
  <c r="DB28" i="22"/>
  <c r="DA28" i="22"/>
  <c r="EK24" i="22"/>
  <c r="EK25" i="22" s="1"/>
  <c r="EK26" i="22" s="1"/>
  <c r="EJ25" i="22"/>
  <c r="EJ26" i="22" s="1"/>
  <c r="EI24" i="22"/>
  <c r="EI25" i="22" s="1"/>
  <c r="EI26" i="22" s="1"/>
  <c r="EH24" i="22"/>
  <c r="EH25" i="22" s="1"/>
  <c r="EH26" i="22" s="1"/>
  <c r="EG24" i="22"/>
  <c r="EG25" i="22" s="1"/>
  <c r="EG26" i="22" s="1"/>
  <c r="EF24" i="22"/>
  <c r="EF25" i="22" s="1"/>
  <c r="EF26" i="22" s="1"/>
  <c r="EE24" i="22"/>
  <c r="EE25" i="22" s="1"/>
  <c r="EE26" i="22" s="1"/>
  <c r="ED24" i="22"/>
  <c r="ED25" i="22" s="1"/>
  <c r="ED26" i="22" s="1"/>
  <c r="EC24" i="22"/>
  <c r="EC25" i="22" s="1"/>
  <c r="EC26" i="22" s="1"/>
  <c r="EB24" i="22"/>
  <c r="EB25" i="22" s="1"/>
  <c r="EB26" i="22" s="1"/>
  <c r="EA24" i="22"/>
  <c r="EA25" i="22" s="1"/>
  <c r="EA26" i="22" s="1"/>
  <c r="DZ24" i="22"/>
  <c r="DZ25" i="22" s="1"/>
  <c r="DZ26" i="22" s="1"/>
  <c r="DY24" i="22"/>
  <c r="DY25" i="22" s="1"/>
  <c r="DY26" i="22" s="1"/>
  <c r="DX24" i="22"/>
  <c r="DX25" i="22" s="1"/>
  <c r="DX26" i="22" s="1"/>
  <c r="DW24" i="22"/>
  <c r="DW25" i="22" s="1"/>
  <c r="DW26" i="22" s="1"/>
  <c r="DV24" i="22"/>
  <c r="DV25" i="22" s="1"/>
  <c r="DV26" i="22" s="1"/>
  <c r="DU24" i="22"/>
  <c r="DU25" i="22" s="1"/>
  <c r="DU26" i="22" s="1"/>
  <c r="DT24" i="22"/>
  <c r="DT25" i="22" s="1"/>
  <c r="DT26" i="22" s="1"/>
  <c r="DS24" i="22"/>
  <c r="DS25" i="22" s="1"/>
  <c r="DS26" i="22" s="1"/>
  <c r="DR24" i="22"/>
  <c r="DR25" i="22" s="1"/>
  <c r="DR26" i="22" s="1"/>
  <c r="DQ24" i="22"/>
  <c r="DQ25" i="22" s="1"/>
  <c r="DQ26" i="22" s="1"/>
  <c r="DP24" i="22"/>
  <c r="DP25" i="22" s="1"/>
  <c r="DP26" i="22" s="1"/>
  <c r="DO24" i="22"/>
  <c r="DO25" i="22" s="1"/>
  <c r="DO26" i="22" s="1"/>
  <c r="DN24" i="22"/>
  <c r="DN25" i="22" s="1"/>
  <c r="DN26" i="22" s="1"/>
  <c r="DM24" i="22"/>
  <c r="DM25" i="22" s="1"/>
  <c r="DM26" i="22" s="1"/>
  <c r="DL24" i="22"/>
  <c r="DL25" i="22" s="1"/>
  <c r="DL26" i="22" s="1"/>
  <c r="DK24" i="22"/>
  <c r="DK25" i="22" s="1"/>
  <c r="DK26" i="22" s="1"/>
  <c r="DJ24" i="22"/>
  <c r="DJ25" i="22" s="1"/>
  <c r="DJ26" i="22" s="1"/>
  <c r="DA24" i="22"/>
  <c r="DA25" i="22" s="1"/>
  <c r="DA26" i="22" s="1"/>
  <c r="CZ24" i="22"/>
  <c r="CZ25" i="22" s="1"/>
  <c r="CZ26" i="22" s="1"/>
  <c r="CY24" i="22"/>
  <c r="CY25" i="22" s="1"/>
  <c r="CY26" i="22" s="1"/>
  <c r="EG23" i="22"/>
  <c r="EH23" i="22" s="1"/>
  <c r="EI23" i="22" s="1"/>
  <c r="EJ23" i="22" s="1"/>
  <c r="EK23" i="22" s="1"/>
  <c r="EL23" i="22" s="1"/>
  <c r="EM23" i="22" s="1"/>
  <c r="EN23" i="22" s="1"/>
  <c r="EO23" i="22" s="1"/>
  <c r="EP23" i="22" s="1"/>
  <c r="EQ23" i="22" s="1"/>
  <c r="ER23" i="22" s="1"/>
  <c r="ES23" i="22" s="1"/>
  <c r="ET23" i="22" s="1"/>
  <c r="EU23" i="22" s="1"/>
  <c r="EV23" i="22" s="1"/>
  <c r="EW23" i="22" s="1"/>
  <c r="EF23" i="22"/>
  <c r="EE23" i="22"/>
  <c r="ED23" i="22"/>
  <c r="EC23" i="22"/>
  <c r="EB23" i="22"/>
  <c r="EA23" i="22"/>
  <c r="DZ23" i="22"/>
  <c r="DY23" i="22"/>
  <c r="DX23" i="22"/>
  <c r="DW23" i="22"/>
  <c r="DV23" i="22"/>
  <c r="DU23" i="22"/>
  <c r="DT23" i="22"/>
  <c r="DS23" i="22"/>
  <c r="DR23" i="22"/>
  <c r="DQ23" i="22"/>
  <c r="DP23" i="22"/>
  <c r="DO23" i="22"/>
  <c r="DN23" i="22"/>
  <c r="DM23" i="22"/>
  <c r="DL23" i="22"/>
  <c r="DK23" i="22"/>
  <c r="DJ23" i="22"/>
  <c r="DA23" i="22"/>
  <c r="CZ23" i="22"/>
  <c r="CY23" i="22"/>
  <c r="CX23" i="22"/>
  <c r="CW23" i="22"/>
  <c r="AJ23" i="22"/>
  <c r="AJ25" i="22" s="1"/>
  <c r="AJ26" i="22" s="1"/>
  <c r="AJ27" i="22" s="1"/>
  <c r="AI23" i="22"/>
  <c r="AI25" i="22" s="1"/>
  <c r="AI26" i="22" s="1"/>
  <c r="AI27" i="22" s="1"/>
  <c r="AH23" i="22"/>
  <c r="AH25" i="22" s="1"/>
  <c r="AH26" i="22" s="1"/>
  <c r="AH27" i="22" s="1"/>
  <c r="AG23" i="22"/>
  <c r="AG25" i="22" s="1"/>
  <c r="AG26" i="22" s="1"/>
  <c r="AG27" i="22" s="1"/>
  <c r="AF23" i="22"/>
  <c r="AF25" i="22" s="1"/>
  <c r="AF26" i="22" s="1"/>
  <c r="AF27" i="22" s="1"/>
  <c r="AE23" i="22"/>
  <c r="AE25" i="22" s="1"/>
  <c r="AE26" i="22" s="1"/>
  <c r="AE27" i="22" s="1"/>
  <c r="AD23" i="22"/>
  <c r="AD25" i="22" s="1"/>
  <c r="AD26" i="22" s="1"/>
  <c r="AD27" i="22" s="1"/>
  <c r="AC23" i="22"/>
  <c r="AC25" i="22" s="1"/>
  <c r="AC26" i="22" s="1"/>
  <c r="AC27" i="22" s="1"/>
  <c r="AB23" i="22"/>
  <c r="AB25" i="22" s="1"/>
  <c r="AB26" i="22" s="1"/>
  <c r="AB27" i="22" s="1"/>
  <c r="AA23" i="22"/>
  <c r="AA25" i="22" s="1"/>
  <c r="AA26" i="22" s="1"/>
  <c r="AA27" i="22" s="1"/>
  <c r="Z23" i="22"/>
  <c r="Z25" i="22" s="1"/>
  <c r="Z26" i="22" s="1"/>
  <c r="Z27" i="22" s="1"/>
  <c r="Y23" i="22"/>
  <c r="Y25" i="22" s="1"/>
  <c r="Y26" i="22" s="1"/>
  <c r="Y27" i="22" s="1"/>
  <c r="X23" i="22"/>
  <c r="X25" i="22" s="1"/>
  <c r="X26" i="22" s="1"/>
  <c r="X27" i="22" s="1"/>
  <c r="W23" i="22"/>
  <c r="W25" i="22" s="1"/>
  <c r="W26" i="22" s="1"/>
  <c r="W27" i="22" s="1"/>
  <c r="V23" i="22"/>
  <c r="V25" i="22" s="1"/>
  <c r="V26" i="22" s="1"/>
  <c r="V27" i="22" s="1"/>
  <c r="U23" i="22"/>
  <c r="U25" i="22" s="1"/>
  <c r="U26" i="22" s="1"/>
  <c r="U27" i="22" s="1"/>
  <c r="DI22" i="22"/>
  <c r="DI24" i="22" s="1"/>
  <c r="DI25" i="22" s="1"/>
  <c r="DI26" i="22" s="1"/>
  <c r="DH22" i="22"/>
  <c r="DH23" i="22" s="1"/>
  <c r="DG22" i="22"/>
  <c r="DG24" i="22" s="1"/>
  <c r="DG25" i="22" s="1"/>
  <c r="DG26" i="22" s="1"/>
  <c r="DF22" i="22"/>
  <c r="DF23" i="22" s="1"/>
  <c r="DE22" i="22"/>
  <c r="DE24" i="22" s="1"/>
  <c r="DE25" i="22" s="1"/>
  <c r="DE26" i="22" s="1"/>
  <c r="DD22" i="22"/>
  <c r="DD23" i="22" s="1"/>
  <c r="DC22" i="22"/>
  <c r="DC24" i="22" s="1"/>
  <c r="DC25" i="22" s="1"/>
  <c r="DC26" i="22" s="1"/>
  <c r="DB22" i="22"/>
  <c r="DB23" i="22" s="1"/>
  <c r="CV22" i="22"/>
  <c r="CV23" i="22" s="1"/>
  <c r="CU22" i="22"/>
  <c r="CT22" i="22"/>
  <c r="CS22" i="22"/>
  <c r="CR22" i="22"/>
  <c r="CQ22" i="22"/>
  <c r="CP22" i="22"/>
  <c r="CO22" i="22"/>
  <c r="CN22" i="22"/>
  <c r="CM22" i="22"/>
  <c r="CL22" i="22"/>
  <c r="CK22" i="22"/>
  <c r="CJ22" i="22"/>
  <c r="CI22" i="22"/>
  <c r="CH22" i="22"/>
  <c r="CG22" i="22"/>
  <c r="AQ22" i="22"/>
  <c r="AP22" i="22"/>
  <c r="AP23" i="22" s="1"/>
  <c r="AP25" i="22" s="1"/>
  <c r="AP26" i="22" s="1"/>
  <c r="AP27" i="22" s="1"/>
  <c r="AO22" i="22"/>
  <c r="AO23" i="22" s="1"/>
  <c r="AO25" i="22" s="1"/>
  <c r="AO26" i="22" s="1"/>
  <c r="AO27" i="22" s="1"/>
  <c r="AN22" i="22"/>
  <c r="AN23" i="22" s="1"/>
  <c r="AN25" i="22" s="1"/>
  <c r="AN26" i="22" s="1"/>
  <c r="AN27" i="22" s="1"/>
  <c r="AM22" i="22"/>
  <c r="AM23" i="22" s="1"/>
  <c r="AM25" i="22" s="1"/>
  <c r="AM26" i="22" s="1"/>
  <c r="AM27" i="22" s="1"/>
  <c r="AL22" i="22"/>
  <c r="AL23" i="22" s="1"/>
  <c r="AL25" i="22" s="1"/>
  <c r="EK19" i="22"/>
  <c r="EJ19" i="22"/>
  <c r="EI19" i="22"/>
  <c r="EH19" i="22"/>
  <c r="AQ19" i="22" s="1"/>
  <c r="EC19" i="22"/>
  <c r="EC18" i="22" s="1"/>
  <c r="EB19" i="22"/>
  <c r="EB18" i="22" s="1"/>
  <c r="EA19" i="22"/>
  <c r="EA18" i="22" s="1"/>
  <c r="DZ19" i="22"/>
  <c r="DY19" i="22"/>
  <c r="DY18" i="22" s="1"/>
  <c r="DX19" i="22"/>
  <c r="DX18" i="22" s="1"/>
  <c r="DW19" i="22"/>
  <c r="DW18" i="22" s="1"/>
  <c r="DV19" i="22"/>
  <c r="DV18" i="22" s="1"/>
  <c r="DU19" i="22"/>
  <c r="DU18" i="22" s="1"/>
  <c r="DT19" i="22"/>
  <c r="DT18" i="22" s="1"/>
  <c r="DS19" i="22"/>
  <c r="DS18" i="22" s="1"/>
  <c r="DR19" i="22"/>
  <c r="DQ19" i="22"/>
  <c r="DQ18" i="22" s="1"/>
  <c r="DP19" i="22"/>
  <c r="DP18" i="22" s="1"/>
  <c r="DO19" i="22"/>
  <c r="DO18" i="22" s="1"/>
  <c r="DN19" i="22"/>
  <c r="DM19" i="22"/>
  <c r="DM18" i="22" s="1"/>
  <c r="DL19" i="22"/>
  <c r="DL18" i="22" s="1"/>
  <c r="DK19" i="22"/>
  <c r="DK18" i="22" s="1"/>
  <c r="DJ19" i="22"/>
  <c r="DI19" i="22"/>
  <c r="DI18" i="22" s="1"/>
  <c r="DH19" i="22"/>
  <c r="DH18" i="22" s="1"/>
  <c r="DG19" i="22"/>
  <c r="DG18" i="22" s="1"/>
  <c r="DF19" i="22"/>
  <c r="DF18" i="22" s="1"/>
  <c r="DE19" i="22"/>
  <c r="DD19" i="22"/>
  <c r="DC19" i="22"/>
  <c r="DB19" i="22"/>
  <c r="AJ19" i="22"/>
  <c r="AI19" i="22"/>
  <c r="AI48" i="22" s="1"/>
  <c r="AH19" i="22"/>
  <c r="AH48" i="22" s="1"/>
  <c r="AG19" i="22"/>
  <c r="AG48" i="22" s="1"/>
  <c r="AF19" i="22"/>
  <c r="AF48" i="22" s="1"/>
  <c r="AE19" i="22"/>
  <c r="AE48" i="22" s="1"/>
  <c r="AD19" i="22"/>
  <c r="AD48" i="22" s="1"/>
  <c r="AC19" i="22"/>
  <c r="AC48" i="22" s="1"/>
  <c r="AB19" i="22"/>
  <c r="AB48" i="22" s="1"/>
  <c r="AA19" i="22"/>
  <c r="AA48" i="22" s="1"/>
  <c r="Z19" i="22"/>
  <c r="Z48" i="22" s="1"/>
  <c r="Y19" i="22"/>
  <c r="Y48" i="22" s="1"/>
  <c r="X19" i="22"/>
  <c r="X48" i="22" s="1"/>
  <c r="W19" i="22"/>
  <c r="W48" i="22" s="1"/>
  <c r="V19" i="22"/>
  <c r="V48" i="22" s="1"/>
  <c r="U19" i="22"/>
  <c r="U48" i="22" s="1"/>
  <c r="T19" i="22"/>
  <c r="S19" i="22"/>
  <c r="R19" i="22"/>
  <c r="Q19" i="22"/>
  <c r="P19" i="22"/>
  <c r="O19" i="22"/>
  <c r="N19" i="22"/>
  <c r="M19" i="22"/>
  <c r="L19" i="22"/>
  <c r="K19" i="22"/>
  <c r="J19" i="22"/>
  <c r="I19" i="22"/>
  <c r="AQ18" i="22"/>
  <c r="AQ17" i="22"/>
  <c r="AP17" i="22"/>
  <c r="AO17" i="22"/>
  <c r="AN17" i="22"/>
  <c r="AM17" i="22"/>
  <c r="AL17" i="22"/>
  <c r="AK17" i="22"/>
  <c r="EJ16" i="22"/>
  <c r="EI16" i="22"/>
  <c r="EH16" i="22"/>
  <c r="EG16" i="22"/>
  <c r="EF16" i="22"/>
  <c r="EE16" i="22"/>
  <c r="ED16" i="22"/>
  <c r="EC16" i="22"/>
  <c r="EB16" i="22"/>
  <c r="EA16" i="22"/>
  <c r="DZ16" i="22"/>
  <c r="DY16" i="22"/>
  <c r="DX16" i="22"/>
  <c r="DW16" i="22"/>
  <c r="DV16" i="22"/>
  <c r="DU16" i="22"/>
  <c r="DT16" i="22"/>
  <c r="DS16" i="22"/>
  <c r="DR16" i="22"/>
  <c r="DQ16" i="22"/>
  <c r="DP16" i="22"/>
  <c r="DO16" i="22"/>
  <c r="DN16" i="22"/>
  <c r="DM16" i="22"/>
  <c r="DL16" i="22"/>
  <c r="DK16" i="22"/>
  <c r="DJ16" i="22"/>
  <c r="DI16" i="22"/>
  <c r="DH16" i="22"/>
  <c r="DG16" i="22"/>
  <c r="DF16" i="22"/>
  <c r="DE16" i="22"/>
  <c r="DD16" i="22"/>
  <c r="DB16" i="22"/>
  <c r="CV16" i="22"/>
  <c r="CU16" i="22"/>
  <c r="CT16" i="22"/>
  <c r="CS16" i="22"/>
  <c r="CR16" i="22"/>
  <c r="CQ16" i="22"/>
  <c r="CP16" i="22"/>
  <c r="CO16" i="22"/>
  <c r="CN16" i="22"/>
  <c r="CM16" i="22"/>
  <c r="CL16" i="22"/>
  <c r="CK16" i="22"/>
  <c r="CJ16" i="22"/>
  <c r="CI16" i="22"/>
  <c r="CH16" i="22"/>
  <c r="CG16" i="22"/>
  <c r="AD16" i="22"/>
  <c r="AD47" i="22" s="1"/>
  <c r="DS14" i="22"/>
  <c r="DR14" i="22"/>
  <c r="DQ14" i="22"/>
  <c r="DP14" i="22"/>
  <c r="DO14" i="22"/>
  <c r="DN14" i="22"/>
  <c r="DM14" i="22"/>
  <c r="DL14" i="22"/>
  <c r="DK14" i="22"/>
  <c r="DJ14" i="22"/>
  <c r="DI13" i="22"/>
  <c r="DI14" i="22" s="1"/>
  <c r="DH13" i="22"/>
  <c r="DH14" i="22" s="1"/>
  <c r="DG13" i="22"/>
  <c r="DG14" i="22" s="1"/>
  <c r="DF13" i="22"/>
  <c r="DF14" i="22" s="1"/>
  <c r="DE13" i="22"/>
  <c r="DE14" i="22" s="1"/>
  <c r="DD13" i="22"/>
  <c r="DD14" i="22" s="1"/>
  <c r="DC13" i="22"/>
  <c r="DC14" i="22" s="1"/>
  <c r="DB13" i="22"/>
  <c r="DB14" i="22" s="1"/>
  <c r="DA13" i="22"/>
  <c r="DA14" i="22" s="1"/>
  <c r="CZ13" i="22"/>
  <c r="CZ14" i="22" s="1"/>
  <c r="CY13" i="22"/>
  <c r="CY14" i="22" s="1"/>
  <c r="CX13" i="22"/>
  <c r="CX14" i="22" s="1"/>
  <c r="CW13" i="22"/>
  <c r="CW14" i="22" s="1"/>
  <c r="AR13" i="22"/>
  <c r="AQ13" i="22"/>
  <c r="AP13" i="22"/>
  <c r="AO13" i="22"/>
  <c r="AN13" i="22"/>
  <c r="AM13" i="22"/>
  <c r="AM14" i="22" s="1"/>
  <c r="AL13" i="22"/>
  <c r="AL14" i="22" s="1"/>
  <c r="AK13" i="22"/>
  <c r="AK14" i="22" s="1"/>
  <c r="AJ13" i="22"/>
  <c r="AJ14" i="22" s="1"/>
  <c r="AI13" i="22"/>
  <c r="AI14" i="22" s="1"/>
  <c r="AH13" i="22"/>
  <c r="AH14" i="22" s="1"/>
  <c r="AG13" i="22"/>
  <c r="AG14" i="22" s="1"/>
  <c r="AF13" i="22"/>
  <c r="AF14" i="22" s="1"/>
  <c r="AE13" i="22"/>
  <c r="AE14" i="22" s="1"/>
  <c r="AD13" i="22"/>
  <c r="AD14" i="22" s="1"/>
  <c r="AC13" i="22"/>
  <c r="AC14" i="22" s="1"/>
  <c r="AB13" i="22"/>
  <c r="AA13" i="22"/>
  <c r="Z13" i="22"/>
  <c r="Z14" i="22" s="1"/>
  <c r="Y13" i="22"/>
  <c r="Y14" i="22" s="1"/>
  <c r="X13" i="22"/>
  <c r="X14" i="22" s="1"/>
  <c r="W13" i="22"/>
  <c r="W14" i="22" s="1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EK11" i="22"/>
  <c r="EJ11" i="22"/>
  <c r="EI11" i="22"/>
  <c r="EH11" i="22"/>
  <c r="EG11" i="22"/>
  <c r="EF11" i="22"/>
  <c r="EE11" i="22"/>
  <c r="ED11" i="22"/>
  <c r="EC11" i="22"/>
  <c r="EB11" i="22"/>
  <c r="EA11" i="22"/>
  <c r="DZ11" i="22"/>
  <c r="DY11" i="22"/>
  <c r="DX11" i="22"/>
  <c r="DW11" i="22"/>
  <c r="DV11" i="22"/>
  <c r="AA11" i="22"/>
  <c r="Z11" i="22"/>
  <c r="Y11" i="22"/>
  <c r="X11" i="22"/>
  <c r="W11" i="22"/>
  <c r="EK7" i="22"/>
  <c r="EK12" i="22" s="1"/>
  <c r="EJ7" i="22"/>
  <c r="EJ12" i="22" s="1"/>
  <c r="EI7" i="22"/>
  <c r="EI12" i="22" s="1"/>
  <c r="EH7" i="22"/>
  <c r="EH12" i="22" s="1"/>
  <c r="EG7" i="22"/>
  <c r="EG12" i="22" s="1"/>
  <c r="EF7" i="22"/>
  <c r="EF12" i="22" s="1"/>
  <c r="EE7" i="22"/>
  <c r="EE12" i="22" s="1"/>
  <c r="ED7" i="22"/>
  <c r="ED12" i="22" s="1"/>
  <c r="EC7" i="22"/>
  <c r="EC12" i="22" s="1"/>
  <c r="EB7" i="22"/>
  <c r="EB12" i="22" s="1"/>
  <c r="EA7" i="22"/>
  <c r="EA12" i="22" s="1"/>
  <c r="DZ7" i="22"/>
  <c r="DZ12" i="22" s="1"/>
  <c r="DY7" i="22"/>
  <c r="DY12" i="22" s="1"/>
  <c r="DX7" i="22"/>
  <c r="DX12" i="22" s="1"/>
  <c r="DW7" i="22"/>
  <c r="DW12" i="22" s="1"/>
  <c r="DV7" i="22"/>
  <c r="DV12" i="22" s="1"/>
  <c r="DU7" i="22"/>
  <c r="DU12" i="22" s="1"/>
  <c r="DT7" i="22"/>
  <c r="DT12" i="22" s="1"/>
  <c r="DS7" i="22"/>
  <c r="DS12" i="22" s="1"/>
  <c r="DR7" i="22"/>
  <c r="DR12" i="22" s="1"/>
  <c r="DQ7" i="22"/>
  <c r="DQ12" i="22" s="1"/>
  <c r="DP7" i="22"/>
  <c r="DP12" i="22" s="1"/>
  <c r="DO7" i="22"/>
  <c r="DO12" i="22" s="1"/>
  <c r="DN7" i="22"/>
  <c r="DN12" i="22" s="1"/>
  <c r="DM7" i="22"/>
  <c r="DM12" i="22" s="1"/>
  <c r="DL7" i="22"/>
  <c r="DL12" i="22" s="1"/>
  <c r="DK7" i="22"/>
  <c r="DK12" i="22" s="1"/>
  <c r="DJ7" i="22"/>
  <c r="DJ12" i="22" s="1"/>
  <c r="DI7" i="22"/>
  <c r="DI12" i="22" s="1"/>
  <c r="DH7" i="22"/>
  <c r="DH12" i="22" s="1"/>
  <c r="DG7" i="22"/>
  <c r="DG12" i="22" s="1"/>
  <c r="DF7" i="22"/>
  <c r="DF12" i="22" s="1"/>
  <c r="DE7" i="22"/>
  <c r="DE12" i="22" s="1"/>
  <c r="DD7" i="22"/>
  <c r="DD12" i="22" s="1"/>
  <c r="DC7" i="22"/>
  <c r="DC12" i="22" s="1"/>
  <c r="DB7" i="22"/>
  <c r="DB12" i="22" s="1"/>
  <c r="DA7" i="22"/>
  <c r="DA12" i="22" s="1"/>
  <c r="CZ7" i="22"/>
  <c r="CZ12" i="22" s="1"/>
  <c r="CY7" i="22"/>
  <c r="CY12" i="22" s="1"/>
  <c r="CX7" i="22"/>
  <c r="CX12" i="22" s="1"/>
  <c r="CW7" i="22"/>
  <c r="CW12" i="22" s="1"/>
  <c r="CV7" i="22"/>
  <c r="CU7" i="22"/>
  <c r="CT7" i="22"/>
  <c r="CS7" i="22"/>
  <c r="CR7" i="22"/>
  <c r="CQ7" i="22"/>
  <c r="CP7" i="22"/>
  <c r="CO7" i="22"/>
  <c r="CN7" i="22"/>
  <c r="CM7" i="22"/>
  <c r="CL7" i="22"/>
  <c r="CK7" i="22"/>
  <c r="CJ7" i="22"/>
  <c r="CI7" i="22"/>
  <c r="CH7" i="22"/>
  <c r="CG7" i="22"/>
  <c r="AR7" i="22"/>
  <c r="AR12" i="22" s="1"/>
  <c r="AQ7" i="22"/>
  <c r="AQ12" i="22" s="1"/>
  <c r="AP7" i="22"/>
  <c r="AP12" i="22" s="1"/>
  <c r="AO7" i="22"/>
  <c r="AO12" i="22" s="1"/>
  <c r="AN7" i="22"/>
  <c r="AN12" i="22" s="1"/>
  <c r="AM7" i="22"/>
  <c r="AM12" i="22" s="1"/>
  <c r="AL7" i="22"/>
  <c r="AL12" i="22" s="1"/>
  <c r="AK7" i="22"/>
  <c r="AK12" i="22" s="1"/>
  <c r="AJ7" i="22"/>
  <c r="AJ12" i="22" s="1"/>
  <c r="AI7" i="22"/>
  <c r="AI12" i="22" s="1"/>
  <c r="AH7" i="22"/>
  <c r="AH12" i="22" s="1"/>
  <c r="AG7" i="22"/>
  <c r="AG12" i="22" s="1"/>
  <c r="AF7" i="22"/>
  <c r="AF12" i="22" s="1"/>
  <c r="AE7" i="22"/>
  <c r="AE12" i="22" s="1"/>
  <c r="AD7" i="22"/>
  <c r="AD12" i="22" s="1"/>
  <c r="AC7" i="22"/>
  <c r="AC12" i="22" s="1"/>
  <c r="AB7" i="22"/>
  <c r="AB12" i="22" s="1"/>
  <c r="AA7" i="22"/>
  <c r="AA12" i="22" s="1"/>
  <c r="Z7" i="22"/>
  <c r="Z12" i="22" s="1"/>
  <c r="V7" i="22"/>
  <c r="V12" i="22" s="1"/>
  <c r="U7" i="22"/>
  <c r="U12" i="22" s="1"/>
  <c r="T7" i="22"/>
  <c r="T12" i="22" s="1"/>
  <c r="S7" i="22"/>
  <c r="S12" i="22" s="1"/>
  <c r="R7" i="22"/>
  <c r="R12" i="22" s="1"/>
  <c r="Q7" i="22"/>
  <c r="Q12" i="22" s="1"/>
  <c r="P7" i="22"/>
  <c r="P12" i="22" s="1"/>
  <c r="O7" i="22"/>
  <c r="O12" i="22" s="1"/>
  <c r="N7" i="22"/>
  <c r="N12" i="22" s="1"/>
  <c r="M7" i="22"/>
  <c r="M12" i="22" s="1"/>
  <c r="L7" i="22"/>
  <c r="L12" i="22" s="1"/>
  <c r="K7" i="22"/>
  <c r="K12" i="22" s="1"/>
  <c r="J7" i="22"/>
  <c r="J12" i="22" s="1"/>
  <c r="I7" i="22"/>
  <c r="I12" i="22" s="1"/>
  <c r="W4" i="22"/>
  <c r="X4" i="22" s="1"/>
  <c r="AL26" i="22" l="1"/>
  <c r="AL27" i="22" s="1"/>
  <c r="EX23" i="22"/>
  <c r="EY23" i="22" s="1"/>
  <c r="EZ23" i="22" s="1"/>
  <c r="FA23" i="22" s="1"/>
  <c r="FB23" i="22" s="1"/>
  <c r="FC23" i="22" s="1"/>
  <c r="FD23" i="22" s="1"/>
  <c r="FE23" i="22" s="1"/>
  <c r="FF23" i="22" s="1"/>
  <c r="FG23" i="22" s="1"/>
  <c r="FH23" i="22" s="1"/>
  <c r="FI23" i="22" s="1"/>
  <c r="FJ23" i="22" s="1"/>
  <c r="FK23" i="22" s="1"/>
  <c r="FL23" i="22" s="1"/>
  <c r="FM23" i="22" s="1"/>
  <c r="FN23" i="22" s="1"/>
  <c r="FO23" i="22" s="1"/>
  <c r="FP23" i="22" s="1"/>
  <c r="FQ23" i="22" s="1"/>
  <c r="FR23" i="22" s="1"/>
  <c r="FS23" i="22" s="1"/>
  <c r="FT23" i="22" s="1"/>
  <c r="FU23" i="22" s="1"/>
  <c r="FV23" i="22" s="1"/>
  <c r="FW23" i="22" s="1"/>
  <c r="FX23" i="22" s="1"/>
  <c r="FY23" i="22" s="1"/>
  <c r="FZ23" i="22" s="1"/>
  <c r="GA23" i="22" s="1"/>
  <c r="GB23" i="22" s="1"/>
  <c r="GC23" i="22" s="1"/>
  <c r="GD23" i="22" s="1"/>
  <c r="GE23" i="22" s="1"/>
  <c r="GF23" i="22" s="1"/>
  <c r="GG23" i="22" s="1"/>
  <c r="GH23" i="22" s="1"/>
  <c r="GI23" i="22" s="1"/>
  <c r="GJ23" i="22" s="1"/>
  <c r="GK23" i="22" s="1"/>
  <c r="GL23" i="22" s="1"/>
  <c r="GM23" i="22" s="1"/>
  <c r="GN23" i="22" s="1"/>
  <c r="GO23" i="22" s="1"/>
  <c r="GP23" i="22" s="1"/>
  <c r="GQ23" i="22" s="1"/>
  <c r="GR23" i="22" s="1"/>
  <c r="GS23" i="22" s="1"/>
  <c r="GT23" i="22" s="1"/>
  <c r="GU23" i="22" s="1"/>
  <c r="GV23" i="22" s="1"/>
  <c r="GW23" i="22" s="1"/>
  <c r="GX23" i="22" s="1"/>
  <c r="GY23" i="22" s="1"/>
  <c r="GZ23" i="22" s="1"/>
  <c r="HA23" i="22" s="1"/>
  <c r="HB23" i="22" s="1"/>
  <c r="HC23" i="22" s="1"/>
  <c r="HD23" i="22" s="1"/>
  <c r="HE23" i="22" s="1"/>
  <c r="HF23" i="22" s="1"/>
  <c r="AL19" i="22"/>
  <c r="AL18" i="22" s="1"/>
  <c r="AN19" i="22"/>
  <c r="AN18" i="22" s="1"/>
  <c r="AP19" i="22"/>
  <c r="AR16" i="22"/>
  <c r="AQ16" i="22"/>
  <c r="AM19" i="22"/>
  <c r="AM48" i="22" s="1"/>
  <c r="J9" i="69"/>
  <c r="AR19" i="22"/>
  <c r="AQ23" i="22"/>
  <c r="AQ25" i="22" s="1"/>
  <c r="AQ26" i="22" s="1"/>
  <c r="AQ27" i="22" s="1"/>
  <c r="AL16" i="22"/>
  <c r="AN16" i="22"/>
  <c r="AP16" i="22"/>
  <c r="DG23" i="22"/>
  <c r="L15" i="65"/>
  <c r="L16" i="65" s="1"/>
  <c r="N15" i="65"/>
  <c r="N16" i="65" s="1"/>
  <c r="M10" i="65"/>
  <c r="O10" i="65"/>
  <c r="I10" i="65"/>
  <c r="K10" i="65"/>
  <c r="J10" i="65"/>
  <c r="I13" i="65"/>
  <c r="I14" i="65" s="1"/>
  <c r="I15" i="65" s="1"/>
  <c r="I16" i="65" s="1"/>
  <c r="L10" i="65"/>
  <c r="N10" i="65"/>
  <c r="O15" i="69"/>
  <c r="O16" i="69" s="1"/>
  <c r="I9" i="69"/>
  <c r="J15" i="69"/>
  <c r="J16" i="69" s="1"/>
  <c r="DC23" i="22"/>
  <c r="DN18" i="22"/>
  <c r="DE23" i="22"/>
  <c r="AK16" i="22"/>
  <c r="AM16" i="22"/>
  <c r="AM47" i="22" s="1"/>
  <c r="AO19" i="22"/>
  <c r="AO18" i="22" s="1"/>
  <c r="AO16" i="22"/>
  <c r="DJ18" i="22"/>
  <c r="DR18" i="22"/>
  <c r="DZ18" i="22"/>
  <c r="AP18" i="22" s="1"/>
  <c r="AK19" i="22"/>
  <c r="AK18" i="22" s="1"/>
  <c r="X7" i="22"/>
  <c r="X12" i="22" s="1"/>
  <c r="Y4" i="22"/>
  <c r="Y7" i="22" s="1"/>
  <c r="Y12" i="22" s="1"/>
  <c r="AR25" i="22"/>
  <c r="AR26" i="22" s="1"/>
  <c r="AR27" i="22" s="1"/>
  <c r="W7" i="22"/>
  <c r="W12" i="22" s="1"/>
  <c r="DF24" i="22"/>
  <c r="DF25" i="22" s="1"/>
  <c r="DF26" i="22" s="1"/>
  <c r="AM45" i="22"/>
  <c r="AM46" i="22"/>
  <c r="DI23" i="22"/>
  <c r="DB24" i="22"/>
  <c r="DB25" i="22" s="1"/>
  <c r="DB26" i="22" s="1"/>
  <c r="DD24" i="22"/>
  <c r="DD25" i="22" s="1"/>
  <c r="DD26" i="22" s="1"/>
  <c r="DH24" i="22"/>
  <c r="DH25" i="22" s="1"/>
  <c r="DH26" i="22" s="1"/>
  <c r="AK22" i="22"/>
  <c r="AK23" i="22" s="1"/>
  <c r="AK25" i="22" s="1"/>
  <c r="AK26" i="22" s="1"/>
  <c r="AK27" i="22" s="1"/>
  <c r="I15" i="69"/>
  <c r="I16" i="69" s="1"/>
  <c r="M15" i="65"/>
  <c r="M16" i="65" s="1"/>
  <c r="J15" i="65"/>
  <c r="J16" i="65" s="1"/>
  <c r="K15" i="65"/>
  <c r="K16" i="65" s="1"/>
  <c r="AM18" i="22" l="1"/>
  <c r="X11" i="76"/>
  <c r="X10" i="76"/>
  <c r="X12" i="7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BX6" authorId="0" shapeId="0" xr:uid="{039B3AB1-5062-49E7-B2C7-BF9CD6819DF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Từ 16/03 tăng thêm 50 USD</t>
        </r>
      </text>
    </comment>
    <comment ref="BL24" authorId="0" shapeId="0" xr:uid="{164B4B02-3774-4555-91B9-114AC3AD9C20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M24" authorId="0" shapeId="0" xr:uid="{8E0F412C-B3FA-45A9-98AD-5D2904BA6EC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N24" authorId="0" shapeId="0" xr:uid="{D9387435-1FC4-4256-AACF-2F49CEEBA22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O24" authorId="0" shapeId="0" xr:uid="{30F47F06-3C07-4546-91D9-0AE2D5804096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P24" authorId="0" shapeId="0" xr:uid="{9158D75B-C1F3-4DAF-9144-BA369843EA56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Q24" authorId="0" shapeId="0" xr:uid="{37FACCCB-FBC7-419D-88F5-1E159E4CF3B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R24" authorId="0" shapeId="0" xr:uid="{CC765D84-8FB3-4AA3-99ED-CE5635B404E5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S24" authorId="0" shapeId="0" xr:uid="{F0DD7085-432E-4E40-95C4-3ED9D6319D7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T24" authorId="0" shapeId="0" xr:uid="{C1F7D7B1-5FDC-406F-8D18-A09ADFE402C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U24" authorId="0" shapeId="0" xr:uid="{15E4FBCE-44FC-4613-81B7-99C0B95F2FA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tc={E38F3020-B9E2-458C-8362-614AD84E00F2}</author>
  </authors>
  <commentList>
    <comment ref="AU6" authorId="0" shapeId="0" xr:uid="{E38F3020-B9E2-458C-8362-614AD84E00F2}">
      <text>
        <t>[Threaded comment]
Your version of Excel allows you to read this threaded comment; however, any edits to it will get removed if the file is opened in a newer version of Excel. Learn more: https://go.microsoft.com/fwlink/?linkid=870924
Comment:
    Giá WSS01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Lộc, Giang Văn</author>
    <author>Diễm, Nguyễn Thị Thanh</author>
  </authors>
  <commentList>
    <comment ref="F22" authorId="0" shapeId="0" xr:uid="{4515630C-3D7B-479F-9946-B3E5DD836263}">
      <text>
        <r>
          <rPr>
            <b/>
            <sz val="9"/>
            <color indexed="81"/>
            <rFont val="Tahoma"/>
            <family val="2"/>
          </rPr>
          <t>Lộc, Giang Văn:</t>
        </r>
        <r>
          <rPr>
            <sz val="9"/>
            <color indexed="81"/>
            <rFont val="Tahoma"/>
            <family val="2"/>
          </rPr>
          <t xml:space="preserve">
BQ 4 tuần</t>
        </r>
      </text>
    </comment>
    <comment ref="H22" authorId="0" shapeId="0" xr:uid="{BAD5B414-9895-4F3B-B98A-7DA56154BD09}">
      <text>
        <r>
          <rPr>
            <b/>
            <sz val="9"/>
            <color indexed="81"/>
            <rFont val="Tahoma"/>
            <family val="2"/>
          </rPr>
          <t>Lộc, Giang Văn:</t>
        </r>
        <r>
          <rPr>
            <sz val="9"/>
            <color indexed="81"/>
            <rFont val="Tahoma"/>
            <family val="2"/>
          </rPr>
          <t xml:space="preserve">
BQ 4 tuần</t>
        </r>
      </text>
    </comment>
    <comment ref="CF22" authorId="0" shapeId="0" xr:uid="{206B2C4B-8D0B-469F-BF3E-A46D02D6639B}">
      <text>
        <r>
          <rPr>
            <b/>
            <sz val="9"/>
            <color indexed="81"/>
            <rFont val="Tahoma"/>
            <family val="2"/>
          </rPr>
          <t>Lộc, Giang Văn:</t>
        </r>
        <r>
          <rPr>
            <sz val="9"/>
            <color indexed="81"/>
            <rFont val="Tahoma"/>
            <family val="2"/>
          </rPr>
          <t xml:space="preserve">
BQ 4 tuần</t>
        </r>
      </text>
    </comment>
    <comment ref="BL24" authorId="1" shapeId="0" xr:uid="{D696C53E-3B2C-47DE-9BDA-D17B29CA0E3A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M24" authorId="1" shapeId="0" xr:uid="{7D7AAFEC-3B48-403F-B6CB-037DF43EC97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N24" authorId="1" shapeId="0" xr:uid="{8E48445D-18C0-475E-BF3A-C6754F7D207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O24" authorId="1" shapeId="0" xr:uid="{A8F61C70-41DD-4CD8-834A-6B44FFF99E7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P24" authorId="1" shapeId="0" xr:uid="{C6D9F369-D97F-4A82-AF48-CCF642DC01E8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Q24" authorId="1" shapeId="0" xr:uid="{808C3C18-FA80-45A6-ACBF-08385E50C7BB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R24" authorId="1" shapeId="0" xr:uid="{0C391F74-AC93-4123-97A8-08F07CF7749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S24" authorId="1" shapeId="0" xr:uid="{7BB3C59B-F60E-4C09-B2B5-D2BF4D99F912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T24" authorId="1" shapeId="0" xr:uid="{980A1B31-50CA-44D4-B32A-B7932A35AB5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U24" authorId="1" shapeId="0" xr:uid="{28CE7D86-1BEE-48F7-BAF4-9043EAB59BA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Lộc, Giang Văn</author>
  </authors>
  <commentList>
    <comment ref="F6" authorId="0" shapeId="0" xr:uid="{F5C95243-1A4C-4B6D-A7CD-7F779D045C84}">
      <text>
        <r>
          <rPr>
            <b/>
            <sz val="8"/>
            <color indexed="81"/>
            <rFont val="Tahoma"/>
            <family val="2"/>
          </rPr>
          <t>Lộc, Giang Văn:</t>
        </r>
        <r>
          <rPr>
            <sz val="8"/>
            <color indexed="81"/>
            <rFont val="Tahoma"/>
            <family val="2"/>
          </rPr>
          <t xml:space="preserve">
Lấy giá tồn kho cuối tháng của 38% chai + 62% vảy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<sst xmlns="http://schemas.openxmlformats.org/spreadsheetml/2006/main" count="1134" uniqueCount="196">
  <si>
    <t>Stt</t>
  </si>
  <si>
    <t>Mã SAP</t>
  </si>
  <si>
    <t>Diễn giải</t>
  </si>
  <si>
    <t>Tỷ giá</t>
  </si>
  <si>
    <t>Tên hàng hóa SAP</t>
  </si>
  <si>
    <t>Mã SP</t>
  </si>
  <si>
    <t>Tên sản phẩm</t>
  </si>
  <si>
    <t>Đơn vị tính</t>
  </si>
  <si>
    <t>T1.21</t>
  </si>
  <si>
    <t>T2.21</t>
  </si>
  <si>
    <t>T3.21</t>
  </si>
  <si>
    <t>T4.21</t>
  </si>
  <si>
    <t>T5.21</t>
  </si>
  <si>
    <t>T6.21</t>
  </si>
  <si>
    <t>T7.21</t>
  </si>
  <si>
    <t>T8.21</t>
  </si>
  <si>
    <t>T9.21</t>
  </si>
  <si>
    <t>T10.21</t>
  </si>
  <si>
    <t>T11.21</t>
  </si>
  <si>
    <t>T12.21</t>
  </si>
  <si>
    <t>Vảy PET DBF01-CR</t>
  </si>
  <si>
    <t>A4</t>
  </si>
  <si>
    <t>A4 - Vảy PET tuyển -RL mua ngoài</t>
  </si>
  <si>
    <t>đồng /kg</t>
  </si>
  <si>
    <t>$ /tấn</t>
  </si>
  <si>
    <t>110000329</t>
  </si>
  <si>
    <t>Hạt rPET WSS01</t>
  </si>
  <si>
    <t>WSS01/G</t>
  </si>
  <si>
    <t>WSS01 - Hạt rPET (IV 0.78)</t>
  </si>
  <si>
    <t>DTR-Giá EXW xuất xưởng</t>
  </si>
  <si>
    <t>ẩn</t>
  </si>
  <si>
    <t>Tỷ lệ % lãi gộp Vảy /Giá EXW</t>
  </si>
  <si>
    <t>110000330</t>
  </si>
  <si>
    <t>Hạt rPET SS01</t>
  </si>
  <si>
    <t>ISS01/G</t>
  </si>
  <si>
    <t>SS01 - Hạt rPET  (IV 0.82)</t>
  </si>
  <si>
    <t>DTR-Giá FOB rPET ISS01</t>
  </si>
  <si>
    <t>ICIS</t>
  </si>
  <si>
    <t>ICIS giá rPET  ($ /tấn)</t>
  </si>
  <si>
    <t>ICIS FOB ĐNA - Giá trung bình</t>
  </si>
  <si>
    <t>ICIS FOB ĐNA - Giá Cao</t>
  </si>
  <si>
    <t>Anh 12</t>
  </si>
  <si>
    <t>FENC_FOB TAIWAN BÁN CHO UNILEVER</t>
  </si>
  <si>
    <t>C1</t>
  </si>
  <si>
    <t>DTR-Giá mua Vảy HDPE _Clear  ($ /tấn)</t>
  </si>
  <si>
    <t>Giá vảy HDPE mua ngoài</t>
  </si>
  <si>
    <t>110000339</t>
  </si>
  <si>
    <t>Hạt nhựa rHDPE MBF01</t>
  </si>
  <si>
    <t>MBF01</t>
  </si>
  <si>
    <t>DTR-Giá EXW rHD xuất xưởng</t>
  </si>
  <si>
    <t>DTR-Giá FOB cảng HCM</t>
  </si>
  <si>
    <t>DTR-Giá FOB rHD cảng HCM</t>
  </si>
  <si>
    <t>DTR-Giá FOB rHD xuất xưởng</t>
  </si>
  <si>
    <t>Giá CIF_ĐNÁ rHDPE ($ /tấn)</t>
  </si>
  <si>
    <t>Giá Dafon CIF_ĐNÁ rHD</t>
  </si>
  <si>
    <t>Giá FOB_ĐNÁ rHDPE ($ /tấn)</t>
  </si>
  <si>
    <t>Giá Dafon FOB Taiwan</t>
  </si>
  <si>
    <t>MA TRẬN GIÁ BÁN rHDPE</t>
  </si>
  <si>
    <t>MA TRẬN GIÁ BÁN rPET</t>
  </si>
  <si>
    <t>Giá keo chính phẩm +15%</t>
  </si>
  <si>
    <t xml:space="preserve">ICIS </t>
  </si>
  <si>
    <t>DTR-Giá WSS01 FOB-HCM (IV: 0,78+/- 0.02)</t>
  </si>
  <si>
    <t>DTR-Giá ISS01 FOB-HCM (IV: 0,82+/- 0.02)</t>
  </si>
  <si>
    <t>Hiện tại 23/8</t>
  </si>
  <si>
    <t>ICIS - Giá vảy HDPE</t>
  </si>
  <si>
    <t>4/10</t>
  </si>
  <si>
    <t>11/10</t>
  </si>
  <si>
    <t>18/10</t>
  </si>
  <si>
    <t>25/10</t>
  </si>
  <si>
    <t>Giá thị trường chính phẩm</t>
  </si>
  <si>
    <t>x</t>
  </si>
  <si>
    <t>FENC_BÁN CHO UNILEVER</t>
  </si>
  <si>
    <t>ISS01 (IV: 0,82+/- 0.02)</t>
  </si>
  <si>
    <t>"FOB-DTR"</t>
  </si>
  <si>
    <t>1/23</t>
  </si>
  <si>
    <t>T1/23</t>
  </si>
  <si>
    <t>07.02</t>
  </si>
  <si>
    <t>ICIS Thị trường Mỹ (FOB)</t>
  </si>
  <si>
    <t>Giá tới nhà máy Plascene</t>
  </si>
  <si>
    <t>14.02</t>
  </si>
  <si>
    <t>21.02</t>
  </si>
  <si>
    <t>%</t>
  </si>
  <si>
    <t>TTCP</t>
  </si>
  <si>
    <t>CL</t>
  </si>
  <si>
    <t>Giá keo dự báo</t>
  </si>
  <si>
    <t>Giá dự báo</t>
  </si>
  <si>
    <t>28.02</t>
  </si>
  <si>
    <t>Điểm hòa vốn</t>
  </si>
  <si>
    <t>ICIS Bờ Tây Mỹ (FOB)</t>
  </si>
  <si>
    <t>Điểm hòa vốn có rework</t>
  </si>
  <si>
    <t xml:space="preserve">MA TRẬN GIÁ BÁN rPP </t>
  </si>
  <si>
    <t xml:space="preserve">Vảy PP tuyển </t>
  </si>
  <si>
    <t>Vảy PP tuyển mua ngoài - ICIS</t>
  </si>
  <si>
    <t xml:space="preserve">Giá rPP </t>
  </si>
  <si>
    <t>Giá keo PP chính phẩm</t>
  </si>
  <si>
    <t xml:space="preserve">DTR FOB rPP </t>
  </si>
  <si>
    <t>Dafon FOB (personal care)</t>
  </si>
  <si>
    <t>1</t>
  </si>
  <si>
    <t>Dafon FOB (Home care)</t>
  </si>
  <si>
    <t>Giá bán Unilever</t>
  </si>
  <si>
    <t>DTR- rHD</t>
  </si>
  <si>
    <t>giá EXW</t>
  </si>
  <si>
    <t xml:space="preserve">MA TRẬN GIÁ BÁN rHD ÉP </t>
  </si>
  <si>
    <t>DTR FOB rHD Ép- màu trắng&amp; đỏ</t>
  </si>
  <si>
    <t>DTR FOB rHD Ép- màu dương đậm</t>
  </si>
  <si>
    <t>DTR-xuất hóa đơn (màu trắng&amp; đỏ)</t>
  </si>
  <si>
    <t>Điểm hòa vốn sử dụng 100% Olefin</t>
  </si>
  <si>
    <t>Điểm hòa vốn ( có phí hỗ trợ)</t>
  </si>
  <si>
    <t>Giá bán đối thủ Intco</t>
  </si>
  <si>
    <t>Điểm hòa vốn (có phí hỗ trợ)</t>
  </si>
  <si>
    <t xml:space="preserve">FOB rPP </t>
  </si>
  <si>
    <t>Giá bán đối thủ CHORI</t>
  </si>
  <si>
    <t>Giá bán đối thủ Hyosung</t>
  </si>
  <si>
    <t>Điểm hòa vốn có 25% rewash</t>
  </si>
  <si>
    <t>Giá bán vảy PP</t>
  </si>
  <si>
    <t>Giá bán vảy</t>
  </si>
  <si>
    <t>Giá bán Dafong</t>
  </si>
  <si>
    <t>1/24</t>
  </si>
  <si>
    <t xml:space="preserve">MA TRẬN GIÁ BÁN VẢY PP </t>
  </si>
  <si>
    <t>T12.23</t>
  </si>
  <si>
    <t>MA TRẬN GIÁ BÁN VẢY HDPE ÉP</t>
  </si>
  <si>
    <t>01</t>
  </si>
  <si>
    <t>T1.24</t>
  </si>
  <si>
    <t>02</t>
  </si>
  <si>
    <t>03</t>
  </si>
  <si>
    <t>04</t>
  </si>
  <si>
    <t>05</t>
  </si>
  <si>
    <t>Giá DTR</t>
  </si>
  <si>
    <t>Hạt đen (Châu Âu) - ICIS</t>
  </si>
  <si>
    <t>Hạt màu (Châu Âu) - ICIS</t>
  </si>
  <si>
    <t>RESIN</t>
  </si>
  <si>
    <t>Hạt rHD ép (Châu Âu)-ICIS</t>
  </si>
  <si>
    <t>DTR</t>
  </si>
  <si>
    <t>Unilever</t>
  </si>
  <si>
    <t>Đối thủ CHORI</t>
  </si>
  <si>
    <t>Đối thủ Hyosung</t>
  </si>
  <si>
    <t>DTR-Food grade</t>
  </si>
  <si>
    <t xml:space="preserve">DTR </t>
  </si>
  <si>
    <t>DTR (dương đậm)</t>
  </si>
  <si>
    <t>DTR (màu trắng&amp; đỏ)</t>
  </si>
  <si>
    <t>DTR (personal care)</t>
  </si>
  <si>
    <t>DTR (Home care)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</si>
  <si>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</si>
  <si>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</si>
  <si>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</si>
  <si>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</si>
  <si>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</si>
  <si>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</si>
  <si>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</si>
  <si>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</si>
  <si>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</si>
  <si>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</si>
  <si>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</si>
  <si>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</si>
  <si>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</si>
  <si>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</si>
  <si>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DTR-nội địa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</si>
  <si>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</si>
  <si>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</si>
  <si>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</si>
  <si>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</si>
  <si>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</si>
  <si>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</si>
  <si>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</si>
  <si>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</si>
  <si>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</si>
  <si>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</si>
  <si>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</si>
  <si>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</si>
  <si>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T1.25</t>
  </si>
  <si>
    <t>06</t>
  </si>
  <si>
    <t>WSS01G</t>
  </si>
  <si>
    <t>07</t>
  </si>
  <si>
    <t>DTR (PTBV)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</si>
  <si>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</si>
  <si>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</si>
  <si>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</si>
  <si>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</si>
  <si>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</si>
  <si>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</si>
  <si>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</si>
  <si>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</si>
  <si>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</si>
  <si>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</si>
  <si>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</si>
  <si>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</si>
  <si>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</si>
  <si>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</si>
  <si>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</si>
  <si>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</si>
  <si>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</si>
  <si>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</si>
  <si>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</si>
  <si>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T1.26</t>
  </si>
  <si>
    <t>Kingfa (không màu)</t>
  </si>
  <si>
    <t>Kingfa ( màu trắng)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</si>
</sst>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\ _₫_-;\-* #,##0.00\ _₫_-;_-* &quot;-&quot;??\ _₫_-;_-@_-"/>
    <numFmt numFmtId="168" formatCode="_(* #,##0_);_(* \(#,##0\);_(* &quot;-&quot;??_);_(@_)"/>
    <numFmt numFmtId="169" formatCode="#,##0\ [$₫-42A];\-#,##0\ [$₫-42A]"/>
    <numFmt numFmtId="170" formatCode="0.0%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1"/>
      <color rgb="FFC00000"/>
      <name val="Times New Roman"/>
      <family val="1"/>
    </font>
    <font>
      <sz val="10"/>
      <color rgb="FFC00000"/>
      <name val="Times New Roman"/>
      <family val="1"/>
    </font>
    <font>
      <sz val="10"/>
      <color theme="1"/>
      <name val=".VnArial"/>
      <family val="2"/>
    </font>
    <font>
      <sz val="11"/>
      <color rgb="FF000099"/>
      <name val="Times New Roman"/>
      <family val="1"/>
    </font>
    <font>
      <b/>
      <sz val="18"/>
      <color theme="1"/>
      <name val="Times New Roman"/>
      <family val="1"/>
    </font>
    <font>
      <sz val="10"/>
      <color rgb="FF92D050"/>
      <name val="Times New Roman"/>
      <family val="1"/>
    </font>
    <font>
      <b/>
      <sz val="11"/>
      <color rgb="FF000099"/>
      <name val="Times New Roman"/>
      <family val="1"/>
    </font>
    <font>
      <b/>
      <sz val="11"/>
      <color rgb="FFC0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FF"/>
      <name val="Times New Roman"/>
      <family val="1"/>
    </font>
    <font>
      <sz val="11"/>
      <color rgb="FF0000FF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name val="Times New Roman"/>
      <family val="1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sz val="10"/>
      <color rgb="FF00009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Times New Roman"/>
      <family val="1"/>
    </font>
    <font>
      <b/>
      <sz val="12"/>
      <color theme="9"/>
      <name val="Calibri"/>
      <family val="2"/>
      <scheme val="minor"/>
    </font>
    <font>
      <b/>
      <sz val="16"/>
      <color theme="9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segoe UI"/>
      <family val="2"/>
      <charset val="163"/>
    </font>
    <font>
      <sz val="14"/>
      <color rgb="FFFF000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4"/>
      <color rgb="FF0000FF"/>
      <name val="Times New Roman"/>
      <family val="1"/>
    </font>
    <font>
      <b/>
      <sz val="14"/>
      <color theme="5"/>
      <name val="Calibri"/>
      <family val="2"/>
      <scheme val="minor"/>
    </font>
    <font>
      <sz val="14"/>
      <color rgb="FFFF3399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166" fontId="1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/>
    <xf numFmtId="0" fontId="32" fillId="0" borderId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9" fillId="0" borderId="0"/>
    <xf numFmtId="0" fontId="40" fillId="0" borderId="0"/>
    <xf numFmtId="0" fontId="39" fillId="0" borderId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1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8" fontId="5" fillId="0" borderId="0" xfId="1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9" fontId="4" fillId="0" borderId="1" xfId="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4" fillId="0" borderId="1" xfId="6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6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10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70" fontId="6" fillId="0" borderId="1" xfId="5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164" fontId="4" fillId="0" borderId="4" xfId="6" applyNumberFormat="1" applyFont="1" applyFill="1" applyBorder="1" applyAlignment="1">
      <alignment horizontal="center" vertical="center"/>
    </xf>
    <xf numFmtId="164" fontId="4" fillId="0" borderId="3" xfId="6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6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164" fontId="4" fillId="0" borderId="2" xfId="6" applyNumberFormat="1" applyFont="1" applyFill="1" applyBorder="1" applyAlignment="1">
      <alignment horizontal="center" vertical="center"/>
    </xf>
    <xf numFmtId="164" fontId="4" fillId="4" borderId="2" xfId="6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8" fontId="16" fillId="0" borderId="0" xfId="1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6" fillId="0" borderId="1" xfId="6" applyNumberFormat="1" applyFont="1" applyFill="1" applyBorder="1" applyAlignment="1">
      <alignment horizontal="center" vertical="center"/>
    </xf>
    <xf numFmtId="164" fontId="4" fillId="0" borderId="0" xfId="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164" fontId="21" fillId="5" borderId="1" xfId="6" applyNumberFormat="1" applyFont="1" applyFill="1" applyBorder="1" applyAlignment="1">
      <alignment horizontal="center" vertical="center"/>
    </xf>
    <xf numFmtId="168" fontId="16" fillId="0" borderId="1" xfId="1" applyNumberFormat="1" applyFont="1" applyBorder="1" applyAlignment="1">
      <alignment vertical="center"/>
    </xf>
    <xf numFmtId="169" fontId="4" fillId="0" borderId="3" xfId="6" applyNumberFormat="1" applyFont="1" applyBorder="1" applyAlignment="1">
      <alignment horizontal="center" vertical="center"/>
    </xf>
    <xf numFmtId="164" fontId="4" fillId="0" borderId="3" xfId="6" applyNumberFormat="1" applyFont="1" applyBorder="1" applyAlignment="1">
      <alignment horizontal="center" vertical="center"/>
    </xf>
    <xf numFmtId="164" fontId="4" fillId="4" borderId="3" xfId="6" applyNumberFormat="1" applyFont="1" applyFill="1" applyBorder="1" applyAlignment="1">
      <alignment horizontal="center" vertical="center"/>
    </xf>
    <xf numFmtId="9" fontId="5" fillId="0" borderId="0" xfId="5" applyFont="1" applyAlignment="1">
      <alignment vertical="center"/>
    </xf>
    <xf numFmtId="0" fontId="4" fillId="0" borderId="4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4" fontId="9" fillId="0" borderId="1" xfId="6" applyNumberFormat="1" applyFont="1" applyFill="1" applyBorder="1" applyAlignment="1">
      <alignment horizontal="center" vertical="center"/>
    </xf>
    <xf numFmtId="164" fontId="9" fillId="0" borderId="2" xfId="6" applyNumberFormat="1" applyFont="1" applyFill="1" applyBorder="1" applyAlignment="1">
      <alignment horizontal="center" vertical="center"/>
    </xf>
    <xf numFmtId="164" fontId="9" fillId="0" borderId="3" xfId="6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3" fillId="0" borderId="0" xfId="0" applyFont="1"/>
    <xf numFmtId="0" fontId="24" fillId="0" borderId="0" xfId="0" applyFont="1" applyAlignment="1">
      <alignment vertical="center"/>
    </xf>
    <xf numFmtId="168" fontId="5" fillId="0" borderId="1" xfId="1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vertical="center"/>
    </xf>
    <xf numFmtId="168" fontId="16" fillId="0" borderId="0" xfId="1" applyNumberFormat="1" applyFont="1" applyBorder="1" applyAlignment="1">
      <alignment vertical="center"/>
    </xf>
    <xf numFmtId="0" fontId="28" fillId="0" borderId="0" xfId="0" applyFont="1"/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3" fontId="22" fillId="0" borderId="0" xfId="0" applyNumberFormat="1" applyFont="1" applyAlignment="1">
      <alignment horizontal="center" vertical="center"/>
    </xf>
    <xf numFmtId="164" fontId="4" fillId="0" borderId="1" xfId="6" applyNumberFormat="1" applyFont="1" applyBorder="1" applyAlignment="1">
      <alignment horizontal="center" vertical="center"/>
    </xf>
    <xf numFmtId="9" fontId="0" fillId="0" borderId="0" xfId="5" applyFont="1"/>
    <xf numFmtId="170" fontId="6" fillId="0" borderId="1" xfId="5" applyNumberFormat="1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4" fontId="4" fillId="0" borderId="0" xfId="6" applyNumberFormat="1" applyFont="1" applyFill="1" applyBorder="1" applyAlignment="1">
      <alignment horizontal="right" vertical="center"/>
    </xf>
    <xf numFmtId="9" fontId="22" fillId="0" borderId="0" xfId="5" applyFont="1" applyBorder="1" applyAlignment="1">
      <alignment vertical="center"/>
    </xf>
    <xf numFmtId="0" fontId="28" fillId="0" borderId="0" xfId="0" applyFont="1" applyAlignment="1">
      <alignment wrapText="1"/>
    </xf>
    <xf numFmtId="0" fontId="15" fillId="2" borderId="1" xfId="0" quotePrefix="1" applyFont="1" applyFill="1" applyBorder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16" fontId="15" fillId="2" borderId="1" xfId="0" quotePrefix="1" applyNumberFormat="1" applyFont="1" applyFill="1" applyBorder="1" applyAlignment="1">
      <alignment horizontal="center" vertical="center"/>
    </xf>
    <xf numFmtId="168" fontId="15" fillId="2" borderId="1" xfId="1" quotePrefix="1" applyNumberFormat="1" applyFont="1" applyFill="1" applyBorder="1" applyAlignment="1">
      <alignment horizontal="center" vertical="center"/>
    </xf>
    <xf numFmtId="169" fontId="4" fillId="0" borderId="1" xfId="6" applyNumberFormat="1" applyFont="1" applyBorder="1" applyAlignment="1">
      <alignment horizontal="center" vertical="center"/>
    </xf>
    <xf numFmtId="168" fontId="4" fillId="0" borderId="3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" fontId="15" fillId="2" borderId="1" xfId="0" quotePrefix="1" applyNumberFormat="1" applyFont="1" applyFill="1" applyBorder="1" applyAlignment="1">
      <alignment horizontal="center" vertical="center"/>
    </xf>
    <xf numFmtId="164" fontId="4" fillId="0" borderId="1" xfId="6" applyNumberFormat="1" applyFont="1" applyFill="1" applyBorder="1" applyAlignment="1">
      <alignment vertical="center"/>
    </xf>
    <xf numFmtId="0" fontId="30" fillId="5" borderId="1" xfId="0" applyFont="1" applyFill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168" fontId="0" fillId="0" borderId="0" xfId="1" applyNumberFormat="1" applyFont="1"/>
    <xf numFmtId="1" fontId="15" fillId="2" borderId="1" xfId="0" applyNumberFormat="1" applyFont="1" applyFill="1" applyBorder="1" applyAlignment="1">
      <alignment horizontal="center" vertical="center"/>
    </xf>
    <xf numFmtId="164" fontId="9" fillId="0" borderId="1" xfId="6" applyNumberFormat="1" applyFont="1" applyBorder="1" applyAlignment="1">
      <alignment horizontal="center" vertical="center"/>
    </xf>
    <xf numFmtId="168" fontId="15" fillId="2" borderId="1" xfId="1" applyNumberFormat="1" applyFont="1" applyFill="1" applyBorder="1" applyAlignment="1">
      <alignment horizontal="center" vertical="center"/>
    </xf>
    <xf numFmtId="164" fontId="9" fillId="0" borderId="3" xfId="6" applyNumberFormat="1" applyFont="1" applyBorder="1" applyAlignment="1">
      <alignment horizontal="center" vertical="center"/>
    </xf>
    <xf numFmtId="9" fontId="3" fillId="0" borderId="0" xfId="5" applyFont="1"/>
    <xf numFmtId="0" fontId="29" fillId="0" borderId="0" xfId="0" applyFont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64" fontId="9" fillId="3" borderId="1" xfId="6" applyNumberFormat="1" applyFont="1" applyFill="1" applyBorder="1" applyAlignment="1">
      <alignment horizontal="center" vertical="center"/>
    </xf>
    <xf numFmtId="14" fontId="5" fillId="0" borderId="0" xfId="0" applyNumberFormat="1" applyFont="1" applyAlignment="1">
      <alignment vertical="center"/>
    </xf>
    <xf numFmtId="0" fontId="5" fillId="3" borderId="0" xfId="0" applyFont="1" applyFill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0" borderId="0" xfId="0" quotePrefix="1"/>
    <xf numFmtId="164" fontId="9" fillId="7" borderId="1" xfId="6" applyNumberFormat="1" applyFont="1" applyFill="1" applyBorder="1" applyAlignment="1">
      <alignment horizontal="center" vertical="center"/>
    </xf>
    <xf numFmtId="164" fontId="9" fillId="7" borderId="3" xfId="6" applyNumberFormat="1" applyFont="1" applyFill="1" applyBorder="1" applyAlignment="1">
      <alignment horizontal="center" vertical="center"/>
    </xf>
    <xf numFmtId="0" fontId="5" fillId="0" borderId="0" xfId="0" quotePrefix="1" applyFont="1" applyAlignment="1">
      <alignment vertical="center"/>
    </xf>
    <xf numFmtId="0" fontId="31" fillId="6" borderId="0" xfId="0" applyFont="1" applyFill="1" applyAlignment="1">
      <alignment horizontal="left" vertical="center" wrapText="1"/>
    </xf>
    <xf numFmtId="164" fontId="4" fillId="7" borderId="1" xfId="6" applyNumberFormat="1" applyFont="1" applyFill="1" applyBorder="1" applyAlignment="1">
      <alignment horizontal="center" vertical="center"/>
    </xf>
    <xf numFmtId="168" fontId="5" fillId="0" borderId="0" xfId="1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0" fontId="0" fillId="6" borderId="0" xfId="0" applyFill="1"/>
    <xf numFmtId="168" fontId="0" fillId="6" borderId="0" xfId="1" applyNumberFormat="1" applyFont="1" applyFill="1"/>
    <xf numFmtId="9" fontId="0" fillId="6" borderId="0" xfId="5" applyFont="1" applyFill="1"/>
    <xf numFmtId="168" fontId="31" fillId="6" borderId="0" xfId="1" applyNumberFormat="1" applyFont="1" applyFill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 wrapText="1"/>
    </xf>
    <xf numFmtId="0" fontId="5" fillId="9" borderId="0" xfId="0" applyFont="1" applyFill="1" applyAlignment="1">
      <alignment vertical="center"/>
    </xf>
    <xf numFmtId="168" fontId="9" fillId="0" borderId="1" xfId="1" applyNumberFormat="1" applyFont="1" applyFill="1" applyBorder="1" applyAlignment="1">
      <alignment horizontal="center" vertical="center"/>
    </xf>
    <xf numFmtId="168" fontId="9" fillId="0" borderId="3" xfId="1" applyNumberFormat="1" applyFont="1" applyFill="1" applyBorder="1" applyAlignment="1">
      <alignment horizontal="center" vertical="center"/>
    </xf>
    <xf numFmtId="168" fontId="5" fillId="0" borderId="0" xfId="5" applyNumberFormat="1" applyFont="1" applyAlignment="1">
      <alignment vertical="center"/>
    </xf>
    <xf numFmtId="168" fontId="4" fillId="7" borderId="1" xfId="1" applyNumberFormat="1" applyFont="1" applyFill="1" applyBorder="1" applyAlignment="1">
      <alignment horizontal="center" vertical="center"/>
    </xf>
    <xf numFmtId="168" fontId="21" fillId="5" borderId="1" xfId="1" applyNumberFormat="1" applyFont="1" applyFill="1" applyBorder="1" applyAlignment="1">
      <alignment horizontal="center" vertical="center"/>
    </xf>
    <xf numFmtId="164" fontId="4" fillId="0" borderId="0" xfId="6" applyNumberFormat="1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3" xfId="6" applyNumberFormat="1" applyFont="1" applyFill="1" applyBorder="1" applyAlignment="1">
      <alignment horizontal="right" vertical="center"/>
    </xf>
    <xf numFmtId="168" fontId="4" fillId="0" borderId="3" xfId="1" applyNumberFormat="1" applyFont="1" applyFill="1" applyBorder="1" applyAlignment="1">
      <alignment horizontal="right" vertical="center"/>
    </xf>
    <xf numFmtId="164" fontId="4" fillId="0" borderId="1" xfId="6" applyNumberFormat="1" applyFont="1" applyFill="1" applyBorder="1" applyAlignment="1">
      <alignment horizontal="right" vertical="center"/>
    </xf>
    <xf numFmtId="164" fontId="4" fillId="0" borderId="0" xfId="6" applyNumberFormat="1" applyFont="1" applyBorder="1" applyAlignment="1">
      <alignment horizontal="center" vertical="center"/>
    </xf>
    <xf numFmtId="168" fontId="4" fillId="7" borderId="0" xfId="1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5" fillId="0" borderId="0" xfId="1" applyNumberFormat="1" applyFont="1" applyAlignment="1">
      <alignment horizontal="right" vertical="center"/>
    </xf>
    <xf numFmtId="3" fontId="5" fillId="0" borderId="0" xfId="1" applyNumberFormat="1" applyFont="1" applyAlignment="1">
      <alignment horizontal="right" vertical="center"/>
    </xf>
    <xf numFmtId="164" fontId="6" fillId="0" borderId="1" xfId="6" applyNumberFormat="1" applyFont="1" applyBorder="1" applyAlignment="1">
      <alignment horizontal="center" vertical="center"/>
    </xf>
    <xf numFmtId="9" fontId="22" fillId="0" borderId="0" xfId="5" applyFont="1" applyAlignment="1">
      <alignment vertical="center"/>
    </xf>
    <xf numFmtId="168" fontId="4" fillId="7" borderId="0" xfId="1" applyNumberFormat="1" applyFont="1" applyFill="1" applyAlignment="1">
      <alignment horizontal="center" vertical="center"/>
    </xf>
    <xf numFmtId="0" fontId="41" fillId="0" borderId="0" xfId="0" applyFont="1" applyAlignment="1">
      <alignment vertical="center"/>
    </xf>
    <xf numFmtId="168" fontId="22" fillId="0" borderId="0" xfId="1" applyNumberFormat="1" applyFont="1" applyAlignment="1">
      <alignment vertical="center"/>
    </xf>
    <xf numFmtId="168" fontId="41" fillId="0" borderId="0" xfId="0" applyNumberFormat="1" applyFont="1" applyAlignment="1">
      <alignment vertical="center"/>
    </xf>
    <xf numFmtId="168" fontId="22" fillId="0" borderId="0" xfId="0" applyNumberFormat="1" applyFont="1" applyAlignment="1">
      <alignment vertical="center"/>
    </xf>
    <xf numFmtId="10" fontId="22" fillId="0" borderId="0" xfId="0" applyNumberFormat="1" applyFont="1" applyAlignment="1">
      <alignment vertical="center"/>
    </xf>
    <xf numFmtId="164" fontId="22" fillId="0" borderId="0" xfId="0" applyNumberFormat="1" applyFont="1" applyAlignment="1">
      <alignment vertical="center"/>
    </xf>
    <xf numFmtId="168" fontId="22" fillId="0" borderId="0" xfId="1" applyNumberFormat="1" applyFont="1" applyAlignment="1">
      <alignment horizontal="center" vertical="center"/>
    </xf>
    <xf numFmtId="168" fontId="4" fillId="4" borderId="3" xfId="1" applyNumberFormat="1" applyFont="1" applyFill="1" applyBorder="1" applyAlignment="1">
      <alignment horizontal="center" vertical="center"/>
    </xf>
    <xf numFmtId="168" fontId="9" fillId="0" borderId="3" xfId="1" applyNumberFormat="1" applyFont="1" applyBorder="1" applyAlignment="1">
      <alignment horizontal="center" vertical="center"/>
    </xf>
    <xf numFmtId="168" fontId="5" fillId="0" borderId="0" xfId="1" applyNumberFormat="1" applyFont="1" applyAlignment="1">
      <alignment horizontal="right" vertical="center"/>
    </xf>
    <xf numFmtId="164" fontId="4" fillId="0" borderId="0" xfId="6" applyNumberFormat="1" applyFont="1" applyAlignment="1">
      <alignment horizontal="right" vertical="center"/>
    </xf>
    <xf numFmtId="168" fontId="5" fillId="0" borderId="0" xfId="1" applyNumberFormat="1" applyFont="1" applyAlignment="1">
      <alignment horizontal="center" vertical="center"/>
    </xf>
    <xf numFmtId="164" fontId="4" fillId="0" borderId="1" xfId="6" applyNumberFormat="1" applyFont="1" applyBorder="1" applyAlignment="1">
      <alignment vertical="center"/>
    </xf>
    <xf numFmtId="168" fontId="9" fillId="0" borderId="1" xfId="1" applyNumberFormat="1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164" fontId="21" fillId="5" borderId="0" xfId="6" applyNumberFormat="1" applyFont="1" applyFill="1" applyBorder="1" applyAlignment="1">
      <alignment horizontal="center" vertical="center"/>
    </xf>
    <xf numFmtId="168" fontId="21" fillId="5" borderId="0" xfId="1" applyNumberFormat="1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left" vertical="center"/>
    </xf>
    <xf numFmtId="0" fontId="0" fillId="0" borderId="0" xfId="0" applyAlignment="1">
      <alignment vertical="top"/>
    </xf>
    <xf numFmtId="0" fontId="9" fillId="0" borderId="1" xfId="1" applyNumberFormat="1" applyFont="1" applyBorder="1" applyAlignment="1">
      <alignment horizontal="center" vertical="center"/>
    </xf>
    <xf numFmtId="0" fontId="14" fillId="3" borderId="0" xfId="0" applyFont="1" applyFill="1" applyAlignment="1">
      <alignment vertical="center"/>
    </xf>
    <xf numFmtId="168" fontId="5" fillId="3" borderId="0" xfId="1" applyNumberFormat="1" applyFont="1" applyFill="1" applyAlignment="1">
      <alignment vertical="center"/>
    </xf>
    <xf numFmtId="3" fontId="5" fillId="3" borderId="0" xfId="1" applyNumberFormat="1" applyFont="1" applyFill="1" applyAlignment="1">
      <alignment horizontal="right" vertical="center"/>
    </xf>
    <xf numFmtId="1" fontId="5" fillId="0" borderId="0" xfId="0" applyNumberFormat="1" applyFont="1" applyAlignment="1">
      <alignment vertical="center"/>
    </xf>
    <xf numFmtId="1" fontId="0" fillId="0" borderId="0" xfId="0" applyNumberFormat="1" applyAlignment="1">
      <alignment vertical="top"/>
    </xf>
    <xf numFmtId="170" fontId="29" fillId="0" borderId="0" xfId="5" applyNumberFormat="1" applyFont="1" applyAlignment="1">
      <alignment vertical="center" wrapText="1"/>
    </xf>
    <xf numFmtId="3" fontId="5" fillId="3" borderId="0" xfId="0" applyNumberFormat="1" applyFont="1" applyFill="1" applyAlignment="1">
      <alignment vertical="center"/>
    </xf>
    <xf numFmtId="168" fontId="5" fillId="0" borderId="0" xfId="0" applyNumberFormat="1" applyFont="1" applyAlignment="1">
      <alignment vertical="center"/>
    </xf>
    <xf numFmtId="0" fontId="41" fillId="3" borderId="0" xfId="0" applyFont="1" applyFill="1" applyAlignment="1">
      <alignment vertical="center"/>
    </xf>
    <xf numFmtId="170" fontId="0" fillId="0" borderId="0" xfId="0" applyNumberFormat="1"/>
    <xf numFmtId="166" fontId="0" fillId="0" borderId="0" xfId="0" applyNumberFormat="1"/>
    <xf numFmtId="164" fontId="4" fillId="5" borderId="3" xfId="6" applyNumberFormat="1" applyFont="1" applyFill="1" applyBorder="1" applyAlignment="1">
      <alignment horizontal="center" vertical="center"/>
    </xf>
    <xf numFmtId="168" fontId="15" fillId="2" borderId="1" xfId="1" quotePrefix="1" applyNumberFormat="1" applyFont="1" applyFill="1" applyBorder="1" applyAlignment="1">
      <alignment vertical="center"/>
    </xf>
    <xf numFmtId="3" fontId="5" fillId="10" borderId="0" xfId="1" applyNumberFormat="1" applyFont="1" applyFill="1" applyAlignment="1">
      <alignment horizontal="right" vertical="center"/>
    </xf>
    <xf numFmtId="168" fontId="5" fillId="10" borderId="0" xfId="1" applyNumberFormat="1" applyFont="1" applyFill="1" applyAlignment="1">
      <alignment vertical="center"/>
    </xf>
    <xf numFmtId="41" fontId="5" fillId="0" borderId="0" xfId="16" applyFont="1" applyAlignment="1">
      <alignment vertical="center"/>
    </xf>
    <xf numFmtId="41" fontId="15" fillId="2" borderId="1" xfId="16" quotePrefix="1" applyFont="1" applyFill="1" applyBorder="1" applyAlignment="1">
      <alignment horizontal="center" vertical="center"/>
    </xf>
    <xf numFmtId="41" fontId="4" fillId="0" borderId="3" xfId="16" applyFont="1" applyBorder="1" applyAlignment="1">
      <alignment horizontal="center" vertical="center"/>
    </xf>
    <xf numFmtId="41" fontId="7" fillId="0" borderId="0" xfId="16" applyFont="1" applyAlignment="1">
      <alignment vertical="center"/>
    </xf>
    <xf numFmtId="41" fontId="4" fillId="7" borderId="0" xfId="16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9" fillId="0" borderId="0" xfId="6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3" fillId="0" borderId="0" xfId="0" applyFont="1" applyAlignment="1">
      <alignment horizontal="left" wrapText="1"/>
    </xf>
    <xf numFmtId="0" fontId="33" fillId="0" borderId="0" xfId="0" quotePrefix="1" applyFont="1" applyAlignment="1">
      <alignment horizontal="left" wrapText="1"/>
    </xf>
    <xf numFmtId="9" fontId="36" fillId="0" borderId="0" xfId="5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</cellXfs>
  <cellStyles count="17">
    <cellStyle name="Comma" xfId="1" builtinId="3"/>
    <cellStyle name="Comma [0]" xfId="16" builtinId="6"/>
    <cellStyle name="Comma 2" xfId="3" xr:uid="{194E7761-03A8-44F9-BB05-263B1C78CC73}"/>
    <cellStyle name="Comma 2 2" xfId="9" xr:uid="{B070CB0A-E990-438F-9A05-4D2B8B00BB61}"/>
    <cellStyle name="Comma 3" xfId="10" xr:uid="{C6CF9922-71FF-4B02-ABBC-976A0C2F44D2}"/>
    <cellStyle name="Comma 4" xfId="14" xr:uid="{41706825-7D02-4CED-A836-0572959B3845}"/>
    <cellStyle name="Comma 5" xfId="15" xr:uid="{FB08A40A-C8A1-4AF4-95E6-975B75C1DB5F}"/>
    <cellStyle name="Currency" xfId="6" builtinId="4"/>
    <cellStyle name="Normal" xfId="0" builtinId="0"/>
    <cellStyle name="Normal 10" xfId="7" xr:uid="{71E9BD72-641B-468E-ADC3-E2C0EE31EE9B}"/>
    <cellStyle name="Normal 2" xfId="2" xr:uid="{991F7F03-A84D-4AE6-9014-83531200038C}"/>
    <cellStyle name="Normal 2 2" xfId="8" xr:uid="{CF5ABDB8-0502-48EC-812C-10BF2A0C0E15}"/>
    <cellStyle name="Normal 3" xfId="11" xr:uid="{F5403120-556B-402E-80FC-9E4945468064}"/>
    <cellStyle name="Normal 4" xfId="12" xr:uid="{13C362C1-B5D5-4B5C-98B0-B146F8EF7A73}"/>
    <cellStyle name="Normal 5" xfId="13" xr:uid="{8D15DEF2-E4EA-440E-A253-FF9932868990}"/>
    <cellStyle name="Percent" xfId="5" builtinId="5"/>
    <cellStyle name="Percent 2" xfId="4" xr:uid="{D46C7BA7-423C-4BFB-84DF-0670B505554D}"/>
  </cellStyles>
  <dxfs count="0"/>
  <tableStyles count="0" defaultTableStyle="TableStyleMedium2" defaultPivotStyle="PivotStyleLight16"/>
  <colors>
    <mruColors>
      <color rgb="FFFF3399"/>
      <color rgb="FF0000FF"/>
      <color rgb="FF60943C"/>
      <color rgb="FF4E6F49"/>
      <color rgb="FF639D69"/>
      <color rgb="FF2CD8D4"/>
      <color rgb="FFFFCC00"/>
      <color rgb="FFFF6600"/>
      <color rgb="FFFF505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microsoft.com/office/2022/10/relationships/richValueRel" Target="richData/richValueRel.xml"/><Relationship Id="rId30" Type="http://schemas.microsoft.com/office/2017/06/relationships/rdRichValueTypes" Target="richData/rdRichValueTyp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0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</a:t>
            </a:r>
            <a:r>
              <a:rPr lang="en-US" sz="20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sz="20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WSS01G NĂM 2025 &amp;2026 (USD/tấn)</a:t>
            </a:r>
            <a:endParaRPr lang="en-US" sz="20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505115686632961E-2"/>
          <c:y val="0.11047368858807251"/>
          <c:w val="0.78550934188825883"/>
          <c:h val="0.8086243455651364"/>
        </c:manualLayout>
      </c:layout>
      <c:areaChart>
        <c:grouping val="stacked"/>
        <c:varyColors val="0"/>
        <c:ser>
          <c:idx val="1"/>
          <c:order val="8"/>
          <c:tx>
            <c:strRef>
              <c:f>'Ma trận PET'!$H$17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PET'!$X$17:$CB$17</c:f>
              <c:numCache>
                <c:formatCode>"$"#,##0_);\("$"#,##0\)</c:formatCode>
                <c:ptCount val="19"/>
                <c:pt idx="0">
                  <c:v>827.5</c:v>
                </c:pt>
                <c:pt idx="1">
                  <c:v>840</c:v>
                </c:pt>
                <c:pt idx="2">
                  <c:v>822.5</c:v>
                </c:pt>
                <c:pt idx="3">
                  <c:v>765</c:v>
                </c:pt>
                <c:pt idx="4">
                  <c:v>782</c:v>
                </c:pt>
                <c:pt idx="5">
                  <c:v>807.5</c:v>
                </c:pt>
                <c:pt idx="6">
                  <c:v>802</c:v>
                </c:pt>
                <c:pt idx="7">
                  <c:v>795</c:v>
                </c:pt>
                <c:pt idx="8">
                  <c:v>782.5</c:v>
                </c:pt>
                <c:pt idx="9">
                  <c:v>772</c:v>
                </c:pt>
                <c:pt idx="10">
                  <c:v>770</c:v>
                </c:pt>
                <c:pt idx="11">
                  <c:v>772.5</c:v>
                </c:pt>
                <c:pt idx="12">
                  <c:v>805</c:v>
                </c:pt>
                <c:pt idx="13">
                  <c:v>840</c:v>
                </c:pt>
                <c:pt idx="14">
                  <c:v>1108.75</c:v>
                </c:pt>
                <c:pt idx="15">
                  <c:v>1194</c:v>
                </c:pt>
                <c:pt idx="16">
                  <c:v>1207.5</c:v>
                </c:pt>
                <c:pt idx="17">
                  <c:v>1102.5</c:v>
                </c:pt>
                <c:pt idx="18">
                  <c:v>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CC-432C-9FA9-F70F542DAA5F}"/>
            </c:ext>
          </c:extLst>
        </c:ser>
        <c:ser>
          <c:idx val="2"/>
          <c:order val="9"/>
          <c:tx>
            <c:strRef>
              <c:f>'Ma trận PET'!$H$18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accent4">
                  <a:lumMod val="20000"/>
                  <a:lumOff val="80000"/>
                </a:schemeClr>
              </a:solidFill>
            </a:ln>
            <a:effectLst/>
          </c:spPr>
          <c:val>
            <c:numRef>
              <c:f>'Ma trận PET'!$X$18:$CB$18</c:f>
              <c:numCache>
                <c:formatCode>"$"#,##0_);\("$"#,##0\)</c:formatCode>
                <c:ptCount val="19"/>
                <c:pt idx="0">
                  <c:v>402.5</c:v>
                </c:pt>
                <c:pt idx="1">
                  <c:v>390</c:v>
                </c:pt>
                <c:pt idx="2">
                  <c:v>407.5</c:v>
                </c:pt>
                <c:pt idx="3">
                  <c:v>485</c:v>
                </c:pt>
                <c:pt idx="4">
                  <c:v>468</c:v>
                </c:pt>
                <c:pt idx="5">
                  <c:v>442.5</c:v>
                </c:pt>
                <c:pt idx="6">
                  <c:v>448</c:v>
                </c:pt>
                <c:pt idx="7">
                  <c:v>425</c:v>
                </c:pt>
                <c:pt idx="8">
                  <c:v>437.5</c:v>
                </c:pt>
                <c:pt idx="9">
                  <c:v>438</c:v>
                </c:pt>
                <c:pt idx="10">
                  <c:v>430</c:v>
                </c:pt>
                <c:pt idx="11">
                  <c:v>427.5</c:v>
                </c:pt>
                <c:pt idx="12">
                  <c:v>355</c:v>
                </c:pt>
                <c:pt idx="13">
                  <c:v>320</c:v>
                </c:pt>
                <c:pt idx="14">
                  <c:v>51.25</c:v>
                </c:pt>
                <c:pt idx="15">
                  <c:v>86</c:v>
                </c:pt>
                <c:pt idx="16">
                  <c:v>172.5</c:v>
                </c:pt>
                <c:pt idx="17">
                  <c:v>247.5</c:v>
                </c:pt>
                <c:pt idx="18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CC-432C-9FA9-F70F542DA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4"/>
          <c:order val="0"/>
          <c:tx>
            <c:strRef>
              <c:f>'Ma trận PET'!$H$6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3703224216216945E-3"/>
                  <c:y val="-2.99032111610533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B7-4E08-9661-7367DE7DA873}"/>
                </c:ext>
              </c:extLst>
            </c:dLbl>
            <c:dLbl>
              <c:idx val="1"/>
              <c:layout>
                <c:manualLayout>
                  <c:x val="-1.6304046569041931E-2"/>
                  <c:y val="-2.7594082886068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A6F-4524-A680-A8A288F16413}"/>
                </c:ext>
              </c:extLst>
            </c:dLbl>
            <c:dLbl>
              <c:idx val="2"/>
              <c:layout>
                <c:manualLayout>
                  <c:x val="-2.5243131360820917E-2"/>
                  <c:y val="2.26531888440383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2D-49E3-8DED-11BE198763C6}"/>
                </c:ext>
              </c:extLst>
            </c:dLbl>
            <c:dLbl>
              <c:idx val="3"/>
              <c:layout>
                <c:manualLayout>
                  <c:x val="-1.5367188337168181E-2"/>
                  <c:y val="2.53089926494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AE-401E-95D2-E8DFD5D5569B}"/>
                </c:ext>
              </c:extLst>
            </c:dLbl>
            <c:dLbl>
              <c:idx val="4"/>
              <c:layout>
                <c:manualLayout>
                  <c:x val="-2.1583936827378896E-2"/>
                  <c:y val="2.30478197793578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A6F-4524-A680-A8A288F16413}"/>
                </c:ext>
              </c:extLst>
            </c:dLbl>
            <c:dLbl>
              <c:idx val="8"/>
              <c:layout>
                <c:manualLayout>
                  <c:x val="-1.9842777369480064E-2"/>
                  <c:y val="-2.231243840970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AE-401E-95D2-E8DFD5D5569B}"/>
                </c:ext>
              </c:extLst>
            </c:dLbl>
            <c:dLbl>
              <c:idx val="9"/>
              <c:layout>
                <c:manualLayout>
                  <c:x val="-1.7167346712920955E-2"/>
                  <c:y val="2.02942279002859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A6F-4524-A680-A8A288F16413}"/>
                </c:ext>
              </c:extLst>
            </c:dLbl>
            <c:dLbl>
              <c:idx val="10"/>
              <c:layout>
                <c:manualLayout>
                  <c:x val="-2.5173061158733454E-2"/>
                  <c:y val="3.17001913368529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A6F-4524-A680-A8A288F16413}"/>
                </c:ext>
              </c:extLst>
            </c:dLbl>
            <c:dLbl>
              <c:idx val="11"/>
              <c:layout>
                <c:manualLayout>
                  <c:x val="-2.4278372316888664E-2"/>
                  <c:y val="-3.38475310679422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A6F-4524-A680-A8A288F16413}"/>
                </c:ext>
              </c:extLst>
            </c:dLbl>
            <c:dLbl>
              <c:idx val="12"/>
              <c:layout>
                <c:manualLayout>
                  <c:x val="-2.4269538999691455E-2"/>
                  <c:y val="-4.29464313124677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AE-401E-95D2-E8DFD5D5569B}"/>
                </c:ext>
              </c:extLst>
            </c:dLbl>
            <c:dLbl>
              <c:idx val="13"/>
              <c:layout>
                <c:manualLayout>
                  <c:x val="-1.8950967150627027E-2"/>
                  <c:y val="-2.90398067744422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24-491A-B6FB-8CB7B92ED4F4}"/>
                </c:ext>
              </c:extLst>
            </c:dLbl>
            <c:dLbl>
              <c:idx val="14"/>
              <c:layout>
                <c:manualLayout>
                  <c:x val="-2.1597039913343757E-2"/>
                  <c:y val="2.5166436540488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C2-4B58-9058-FE1EA3783F38}"/>
                </c:ext>
              </c:extLst>
            </c:dLbl>
            <c:dLbl>
              <c:idx val="15"/>
              <c:layout>
                <c:manualLayout>
                  <c:x val="-5.5649898343241256E-3"/>
                  <c:y val="4.661621874563461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F6-4E34-ABA6-39B13E087FA3}"/>
                </c:ext>
              </c:extLst>
            </c:dLbl>
            <c:dLbl>
              <c:idx val="16"/>
              <c:layout>
                <c:manualLayout>
                  <c:x val="-1.7139089062060853E-2"/>
                  <c:y val="-2.75688194136514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7D-434B-B47E-DB8B47E82B1B}"/>
                </c:ext>
              </c:extLst>
            </c:dLbl>
            <c:dLbl>
              <c:idx val="17"/>
              <c:layout>
                <c:manualLayout>
                  <c:x val="-1.4468062195246306E-2"/>
                  <c:y val="-2.7568819413651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92-4268-9EA9-C2B5410404A1}"/>
                </c:ext>
              </c:extLst>
            </c:dLbl>
            <c:dLbl>
              <c:idx val="18"/>
              <c:layout>
                <c:manualLayout>
                  <c:x val="-2.8936124390493657E-3"/>
                  <c:y val="2.318549247758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61-455B-93CD-01BD05488CE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PET'!$I$5:$CB$5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PET'!$AL$6:$CB$6</c:f>
              <c:numCache>
                <c:formatCode>"$"#,##0_);\("$"#,##0\)</c:formatCode>
                <c:ptCount val="19"/>
                <c:pt idx="0">
                  <c:v>1230</c:v>
                </c:pt>
                <c:pt idx="1">
                  <c:v>1230</c:v>
                </c:pt>
                <c:pt idx="2">
                  <c:v>1230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1250</c:v>
                </c:pt>
                <c:pt idx="7">
                  <c:v>1220</c:v>
                </c:pt>
                <c:pt idx="8">
                  <c:v>1220</c:v>
                </c:pt>
                <c:pt idx="9">
                  <c:v>1210</c:v>
                </c:pt>
                <c:pt idx="10">
                  <c:v>1200</c:v>
                </c:pt>
                <c:pt idx="11">
                  <c:v>1200</c:v>
                </c:pt>
                <c:pt idx="12">
                  <c:v>1160</c:v>
                </c:pt>
                <c:pt idx="13">
                  <c:v>1160</c:v>
                </c:pt>
                <c:pt idx="14">
                  <c:v>1160</c:v>
                </c:pt>
                <c:pt idx="15">
                  <c:v>1280</c:v>
                </c:pt>
                <c:pt idx="16">
                  <c:v>1380</c:v>
                </c:pt>
                <c:pt idx="17">
                  <c:v>1350</c:v>
                </c:pt>
                <c:pt idx="18">
                  <c:v>1330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4-AAD9-428E-AA2F-574999B2252F}"/>
            </c:ext>
          </c:extLst>
        </c:ser>
        <c:ser>
          <c:idx val="12"/>
          <c:order val="1"/>
          <c:tx>
            <c:strRef>
              <c:f>'Ma trận PET'!$H$11:$H$11</c:f>
              <c:strCache>
                <c:ptCount val="1"/>
                <c:pt idx="0">
                  <c:v>ICIS</c:v>
                </c:pt>
              </c:strCache>
            </c:strRef>
          </c:tx>
          <c:spPr>
            <a:ln w="539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5383726275214881E-2"/>
                  <c:y val="-2.4779140143443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B7-4E08-9661-7367DE7DA873}"/>
                </c:ext>
              </c:extLst>
            </c:dLbl>
            <c:dLbl>
              <c:idx val="8"/>
              <c:layout>
                <c:manualLayout>
                  <c:x val="-1.2708295618655902E-2"/>
                  <c:y val="-2.4779140143443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B7-4E08-9661-7367DE7DA873}"/>
                </c:ext>
              </c:extLst>
            </c:dLbl>
            <c:dLbl>
              <c:idx val="9"/>
              <c:layout>
                <c:manualLayout>
                  <c:x val="-1.7158508338756658E-2"/>
                  <c:y val="2.01990898738245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B7-4E08-9661-7367DE7DA8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B7-4E08-9661-7367DE7DA873}"/>
                </c:ext>
              </c:extLst>
            </c:dLbl>
            <c:dLbl>
              <c:idx val="11"/>
              <c:layout>
                <c:manualLayout>
                  <c:x val="-2.3411515434784636E-2"/>
                  <c:y val="3.36538872008124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B7-4E08-9661-7367DE7DA873}"/>
                </c:ext>
              </c:extLst>
            </c:dLbl>
            <c:dLbl>
              <c:idx val="12"/>
              <c:layout>
                <c:manualLayout>
                  <c:x val="-1.7167346712920955E-2"/>
                  <c:y val="2.0069982288127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B7-4E08-9661-7367DE7DA873}"/>
                </c:ext>
              </c:extLst>
            </c:dLbl>
            <c:dLbl>
              <c:idx val="13"/>
              <c:layout>
                <c:manualLayout>
                  <c:x val="-1.9842777369480064E-2"/>
                  <c:y val="3.12822628960208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24-491A-B6FB-8CB7B92ED4F4}"/>
                </c:ext>
              </c:extLst>
            </c:dLbl>
            <c:dLbl>
              <c:idx val="14"/>
              <c:layout>
                <c:manualLayout>
                  <c:x val="-2.0734587588333232E-2"/>
                  <c:y val="-6.06584380886999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C2-4B58-9058-FE1EA3783F38}"/>
                </c:ext>
              </c:extLst>
            </c:dLbl>
            <c:dLbl>
              <c:idx val="15"/>
              <c:layout>
                <c:manualLayout>
                  <c:x val="-2.8713538818257795E-2"/>
                  <c:y val="-3.47205633619627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28-43A7-B7C6-5BE430290B0D}"/>
                </c:ext>
              </c:extLst>
            </c:dLbl>
            <c:dLbl>
              <c:idx val="16"/>
              <c:layout>
                <c:manualLayout>
                  <c:x val="-1.5358404484184402E-2"/>
                  <c:y val="3.4489861944275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7D-434B-B47E-DB8B47E82B1B}"/>
                </c:ext>
              </c:extLst>
            </c:dLbl>
            <c:dLbl>
              <c:idx val="17"/>
              <c:layout>
                <c:manualLayout>
                  <c:x val="-2.070045821781389E-2"/>
                  <c:y val="2.9875833590526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92-4268-9EA9-C2B5410404A1}"/>
                </c:ext>
              </c:extLst>
            </c:dLbl>
            <c:dLbl>
              <c:idx val="18"/>
              <c:layout>
                <c:manualLayout>
                  <c:x val="-1.1797035328431626E-2"/>
                  <c:y val="2.75688194136514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61-455B-93CD-01BD05488CE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PET'!$I$11:$CB$11</c:f>
              <c:numCache>
                <c:formatCode>"$"#,##0_);\("$"#,##0\)</c:formatCode>
                <c:ptCount val="19"/>
                <c:pt idx="0">
                  <c:v>1368.75</c:v>
                </c:pt>
                <c:pt idx="1">
                  <c:v>1350</c:v>
                </c:pt>
                <c:pt idx="2">
                  <c:v>1360</c:v>
                </c:pt>
                <c:pt idx="3">
                  <c:v>1360</c:v>
                </c:pt>
                <c:pt idx="4">
                  <c:v>1360</c:v>
                </c:pt>
                <c:pt idx="5">
                  <c:v>1360</c:v>
                </c:pt>
                <c:pt idx="6">
                  <c:v>1324</c:v>
                </c:pt>
                <c:pt idx="7">
                  <c:v>1295</c:v>
                </c:pt>
                <c:pt idx="8">
                  <c:v>1275</c:v>
                </c:pt>
                <c:pt idx="9">
                  <c:v>1248</c:v>
                </c:pt>
                <c:pt idx="10">
                  <c:v>1243.75</c:v>
                </c:pt>
                <c:pt idx="11">
                  <c:v>1193.75</c:v>
                </c:pt>
                <c:pt idx="12">
                  <c:v>1150</c:v>
                </c:pt>
                <c:pt idx="13">
                  <c:v>1150</c:v>
                </c:pt>
                <c:pt idx="14">
                  <c:v>1220</c:v>
                </c:pt>
                <c:pt idx="15">
                  <c:v>1314</c:v>
                </c:pt>
                <c:pt idx="16">
                  <c:v>1358.75</c:v>
                </c:pt>
                <c:pt idx="17">
                  <c:v>1307.5</c:v>
                </c:pt>
                <c:pt idx="18">
                  <c:v>1277.5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AD9-428E-AA2F-574999B2252F}"/>
            </c:ext>
          </c:extLst>
        </c:ser>
        <c:ser>
          <c:idx val="15"/>
          <c:order val="2"/>
          <c:tx>
            <c:strRef>
              <c:f>'Ma trận PET'!$H$14:$H$14</c:f>
              <c:strCache>
                <c:ptCount val="1"/>
                <c:pt idx="0">
                  <c:v>RESIN</c:v>
                </c:pt>
              </c:strCache>
            </c:strRef>
          </c:tx>
          <c:spPr>
            <a:ln w="444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3.7839547279875916E-3"/>
                  <c:y val="1.626444994696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56-4E77-9059-2F845C8B04B8}"/>
                </c:ext>
              </c:extLst>
            </c:dLbl>
            <c:dLbl>
              <c:idx val="15"/>
              <c:layout>
                <c:manualLayout>
                  <c:x val="-1.8919773639937305E-2"/>
                  <c:y val="-2.7568819413651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28-43A7-B7C6-5BE430290B0D}"/>
                </c:ext>
              </c:extLst>
            </c:dLbl>
            <c:dLbl>
              <c:idx val="16"/>
              <c:layout>
                <c:manualLayout>
                  <c:x val="-1.9810115928875664E-2"/>
                  <c:y val="-3.21828477674006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56-4E77-9059-2F845C8B04B8}"/>
                </c:ext>
              </c:extLst>
            </c:dLbl>
            <c:dLbl>
              <c:idx val="17"/>
              <c:layout>
                <c:manualLayout>
                  <c:x val="-3.405559255188715E-2"/>
                  <c:y val="3.0106535008213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92-4268-9EA9-C2B5410404A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PET'!$I$14:$CB$14</c:f>
              <c:numCache>
                <c:formatCode>"$"#,##0_);\("$"#,##0\)</c:formatCode>
                <c:ptCount val="19"/>
                <c:pt idx="0">
                  <c:v>827.5</c:v>
                </c:pt>
                <c:pt idx="1">
                  <c:v>840</c:v>
                </c:pt>
                <c:pt idx="2">
                  <c:v>822.5</c:v>
                </c:pt>
                <c:pt idx="3">
                  <c:v>765</c:v>
                </c:pt>
                <c:pt idx="4">
                  <c:v>782</c:v>
                </c:pt>
                <c:pt idx="5">
                  <c:v>807.5</c:v>
                </c:pt>
                <c:pt idx="6">
                  <c:v>802</c:v>
                </c:pt>
                <c:pt idx="7">
                  <c:v>795</c:v>
                </c:pt>
                <c:pt idx="8">
                  <c:v>782.5</c:v>
                </c:pt>
                <c:pt idx="9">
                  <c:v>772</c:v>
                </c:pt>
                <c:pt idx="10">
                  <c:v>770</c:v>
                </c:pt>
                <c:pt idx="11">
                  <c:v>772.5</c:v>
                </c:pt>
                <c:pt idx="12">
                  <c:v>805</c:v>
                </c:pt>
                <c:pt idx="13">
                  <c:v>840</c:v>
                </c:pt>
                <c:pt idx="14">
                  <c:v>1108.75</c:v>
                </c:pt>
                <c:pt idx="15">
                  <c:v>1194</c:v>
                </c:pt>
                <c:pt idx="16">
                  <c:v>1207.5</c:v>
                </c:pt>
                <c:pt idx="17">
                  <c:v>1102.5</c:v>
                </c:pt>
                <c:pt idx="18">
                  <c:v>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AAD9-428E-AA2F-574999B2252F}"/>
            </c:ext>
          </c:extLst>
        </c:ser>
        <c:ser>
          <c:idx val="4"/>
          <c:order val="3"/>
          <c:tx>
            <c:strRef>
              <c:f>'Ma trận PET'!$H$24</c:f>
              <c:strCache>
                <c:ptCount val="1"/>
                <c:pt idx="0">
                  <c:v>Giá bán Unilever</c:v>
                </c:pt>
              </c:strCache>
            </c:strRef>
          </c:tx>
          <c:spPr>
            <a:ln w="53975" cap="rnd">
              <a:solidFill>
                <a:srgbClr val="2CD8D4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4970686127885024E-2"/>
                  <c:y val="-2.690947345894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4D-4B9B-8EBA-22D46FC5B95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AE-401E-95D2-E8DFD5D5569B}"/>
                </c:ext>
              </c:extLst>
            </c:dLbl>
            <c:dLbl>
              <c:idx val="6"/>
              <c:layout>
                <c:manualLayout>
                  <c:x val="-2.8537927003297235E-2"/>
                  <c:y val="-2.24245612157855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AE-401E-95D2-E8DFD5D5569B}"/>
                </c:ext>
              </c:extLst>
            </c:dLbl>
            <c:dLbl>
              <c:idx val="7"/>
              <c:layout>
                <c:manualLayout>
                  <c:x val="-1.6275536494068047E-2"/>
                  <c:y val="2.0069982288128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B7-4E08-9661-7367DE7DA87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AE-401E-95D2-E8DFD5D5569B}"/>
                </c:ext>
              </c:extLst>
            </c:dLbl>
            <c:dLbl>
              <c:idx val="9"/>
              <c:layout>
                <c:manualLayout>
                  <c:x val="-9.1410547432437556E-3"/>
                  <c:y val="-2.7021596265021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4D-4B9B-8EBA-22D46FC5B951}"/>
                </c:ext>
              </c:extLst>
            </c:dLbl>
            <c:dLbl>
              <c:idx val="10"/>
              <c:layout>
                <c:manualLayout>
                  <c:x val="-2.0511635033619906E-2"/>
                  <c:y val="-3.36368418236783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AE-401E-95D2-E8DFD5D5569B}"/>
                </c:ext>
              </c:extLst>
            </c:dLbl>
            <c:dLbl>
              <c:idx val="14"/>
              <c:layout>
                <c:manualLayout>
                  <c:x val="-2.1368214934517557E-2"/>
                  <c:y val="-7.15174394831125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3C-4761-A116-BC49477955FF}"/>
                </c:ext>
              </c:extLst>
            </c:dLbl>
            <c:dLbl>
              <c:idx val="15"/>
              <c:layout>
                <c:manualLayout>
                  <c:x val="-1.5372004988440623E-2"/>
                  <c:y val="2.94271465813228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F6-4E34-ABA6-39B13E087FA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0B-4B00-81E4-3E4E81D0B577}"/>
                </c:ext>
              </c:extLst>
            </c:dLbl>
            <c:dLbl>
              <c:idx val="17"/>
              <c:layout>
                <c:manualLayout>
                  <c:x val="-1.1129278611727827E-3"/>
                  <c:y val="4.4986776449054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92-4268-9EA9-C2B5410404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CD8D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PET'!$I$5:$CB$5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PET'!$X$24:$CB$24</c:f>
              <c:numCache>
                <c:formatCode>#,##0</c:formatCode>
                <c:ptCount val="19"/>
                <c:pt idx="0">
                  <c:v>1300</c:v>
                </c:pt>
                <c:pt idx="1">
                  <c:v>1300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1280</c:v>
                </c:pt>
                <c:pt idx="7">
                  <c:v>1280</c:v>
                </c:pt>
                <c:pt idx="8">
                  <c:v>1280</c:v>
                </c:pt>
                <c:pt idx="9">
                  <c:v>1280</c:v>
                </c:pt>
                <c:pt idx="10">
                  <c:v>1280</c:v>
                </c:pt>
                <c:pt idx="11">
                  <c:v>1280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  <c:pt idx="15">
                  <c:v>1184</c:v>
                </c:pt>
                <c:pt idx="16">
                  <c:v>1184</c:v>
                </c:pt>
                <c:pt idx="17">
                  <c:v>1184</c:v>
                </c:pt>
                <c:pt idx="18">
                  <c:v>1355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AD-4A38-A633-822797BF3B10}"/>
            </c:ext>
          </c:extLst>
        </c:ser>
        <c:ser>
          <c:idx val="0"/>
          <c:order val="4"/>
          <c:tx>
            <c:strRef>
              <c:f>'Ma trận PET'!$H$16</c:f>
              <c:strCache>
                <c:ptCount val="1"/>
                <c:pt idx="0">
                  <c:v>Giá keo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'Ma trận PET'!$I$5:$CB$5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PET'!$U$16:$AT$16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5D8-4192-9A7E-2102ECE33B65}"/>
            </c:ext>
          </c:extLst>
        </c:ser>
        <c:ser>
          <c:idx val="11"/>
          <c:order val="5"/>
          <c:tx>
            <c:strRef>
              <c:f>'Ma trận PET'!$H$10:$H$10</c:f>
              <c:strCache>
                <c:ptCount val="1"/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PET'!$I$10:$AT$10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1-AAD9-428E-AA2F-574999B2252F}"/>
            </c:ext>
          </c:extLst>
        </c:ser>
        <c:ser>
          <c:idx val="3"/>
          <c:order val="6"/>
          <c:tx>
            <c:strRef>
              <c:f>'Ma trận PET'!$H$20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39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1.7139089062060853E-2"/>
                  <c:y val="3.47205633619627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28-43A7-B7C6-5BE430290B0D}"/>
                </c:ext>
              </c:extLst>
            </c:dLbl>
            <c:dLbl>
              <c:idx val="15"/>
              <c:layout>
                <c:manualLayout>
                  <c:x val="-6.4549815948021392E-3"/>
                  <c:y val="1.626444994696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28-43A7-B7C6-5BE430290B0D}"/>
                </c:ext>
              </c:extLst>
            </c:dLbl>
            <c:dLbl>
              <c:idx val="16"/>
              <c:layout>
                <c:manualLayout>
                  <c:x val="-1.0016350750555044E-2"/>
                  <c:y val="2.77995208313389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7D-434B-B47E-DB8B47E82B1B}"/>
                </c:ext>
              </c:extLst>
            </c:dLbl>
            <c:dLbl>
              <c:idx val="17"/>
              <c:layout>
                <c:manualLayout>
                  <c:x val="-7.3453238837404965E-3"/>
                  <c:y val="1.626444994696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3F-43DB-B7CA-C6860E548D97}"/>
                </c:ext>
              </c:extLst>
            </c:dLbl>
            <c:dLbl>
              <c:idx val="18"/>
              <c:layout>
                <c:manualLayout>
                  <c:x val="-1.5358404484184532E-2"/>
                  <c:y val="3.010653500821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61-455B-93CD-01BD05488CE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PET'!$X$20:$CB$20</c:f>
              <c:numCache>
                <c:formatCode>_(* #,##0_);_(* \(#,##0\);_(* "-"??_);_(@_)</c:formatCode>
                <c:ptCount val="19"/>
                <c:pt idx="0">
                  <c:v>1181</c:v>
                </c:pt>
                <c:pt idx="1">
                  <c:v>1185.2425317608468</c:v>
                </c:pt>
                <c:pt idx="2">
                  <c:v>1190.7839269244525</c:v>
                </c:pt>
                <c:pt idx="3">
                  <c:v>1188.8989547033088</c:v>
                </c:pt>
                <c:pt idx="4">
                  <c:v>1208.4563999076058</c:v>
                </c:pt>
                <c:pt idx="5">
                  <c:v>1167.8121893749728</c:v>
                </c:pt>
                <c:pt idx="6">
                  <c:v>1185.3194123375963</c:v>
                </c:pt>
                <c:pt idx="7">
                  <c:v>1163.1486661843744</c:v>
                </c:pt>
                <c:pt idx="8">
                  <c:v>1186.2627781335511</c:v>
                </c:pt>
                <c:pt idx="9">
                  <c:v>1128</c:v>
                </c:pt>
                <c:pt idx="10">
                  <c:v>1070.511623054196</c:v>
                </c:pt>
                <c:pt idx="11">
                  <c:v>1092.8990526695691</c:v>
                </c:pt>
                <c:pt idx="12">
                  <c:v>1096.8836793746136</c:v>
                </c:pt>
                <c:pt idx="13">
                  <c:v>1056.1519929547876</c:v>
                </c:pt>
                <c:pt idx="14">
                  <c:v>1057.7957262938128</c:v>
                </c:pt>
                <c:pt idx="15">
                  <c:v>1077.9158612626186</c:v>
                </c:pt>
                <c:pt idx="16">
                  <c:v>1157.3856098126769</c:v>
                </c:pt>
                <c:pt idx="17">
                  <c:v>1148.232441827543</c:v>
                </c:pt>
                <c:pt idx="18">
                  <c:v>1150.4249366139495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8-40C3-8211-CA0056C21B68}"/>
            </c:ext>
          </c:extLst>
        </c:ser>
        <c:ser>
          <c:idx val="13"/>
          <c:order val="7"/>
          <c:tx>
            <c:strRef>
              <c:f>'Ma trận PET'!$H$12:$H$12</c:f>
              <c:strCache>
                <c:ptCount val="1"/>
                <c:pt idx="0">
                  <c:v>ICIS FOB ĐNA - Giá Cao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PET'!$I$12:$AT$12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3-AAD9-428E-AA2F-574999B225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7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2CD8D4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6039552089125082"/>
          <c:y val="0.1729205219083694"/>
          <c:w val="0.12089472182259471"/>
          <c:h val="0.490834975888299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WSS01G NĂM 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84932756217568"/>
          <c:y val="1.7039155005494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036512302036513E-2"/>
          <c:y val="0.12702304327693809"/>
          <c:w val="0.83837451831756371"/>
          <c:h val="0.78739317269635756"/>
        </c:manualLayout>
      </c:layout>
      <c:areaChart>
        <c:grouping val="stacked"/>
        <c:varyColors val="0"/>
        <c:ser>
          <c:idx val="5"/>
          <c:order val="9"/>
          <c:tx>
            <c:strRef>
              <c:f>'Ma trận PET'!$CF$17</c:f>
              <c:strCache>
                <c:ptCount val="1"/>
                <c:pt idx="0">
                  <c:v>TTCP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val>
            <c:numRef>
              <c:f>'Ma trận PET'!$DT$17:$LD$17</c:f>
              <c:numCache>
                <c:formatCode>"$"#,##0_);\("$"#,##0\)</c:formatCode>
                <c:ptCount val="28"/>
                <c:pt idx="0">
                  <c:v>795</c:v>
                </c:pt>
                <c:pt idx="1">
                  <c:v>795</c:v>
                </c:pt>
                <c:pt idx="2">
                  <c:v>795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840</c:v>
                </c:pt>
                <c:pt idx="7">
                  <c:v>840</c:v>
                </c:pt>
                <c:pt idx="8">
                  <c:v>840</c:v>
                </c:pt>
                <c:pt idx="9">
                  <c:v>935</c:v>
                </c:pt>
                <c:pt idx="10">
                  <c:v>1080</c:v>
                </c:pt>
                <c:pt idx="11">
                  <c:v>1280</c:v>
                </c:pt>
                <c:pt idx="12">
                  <c:v>1140</c:v>
                </c:pt>
                <c:pt idx="13">
                  <c:v>1140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1230</c:v>
                </c:pt>
                <c:pt idx="18">
                  <c:v>1250</c:v>
                </c:pt>
                <c:pt idx="19">
                  <c:v>1230</c:v>
                </c:pt>
                <c:pt idx="20">
                  <c:v>1190</c:v>
                </c:pt>
                <c:pt idx="21">
                  <c:v>1160</c:v>
                </c:pt>
                <c:pt idx="22">
                  <c:v>1140</c:v>
                </c:pt>
                <c:pt idx="23">
                  <c:v>1140</c:v>
                </c:pt>
                <c:pt idx="24">
                  <c:v>1090</c:v>
                </c:pt>
                <c:pt idx="25">
                  <c:v>1040</c:v>
                </c:pt>
                <c:pt idx="26">
                  <c:v>990</c:v>
                </c:pt>
                <c:pt idx="27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6EAD-431A-BDD4-033E20348306}"/>
            </c:ext>
          </c:extLst>
        </c:ser>
        <c:ser>
          <c:idx val="8"/>
          <c:order val="11"/>
          <c:tx>
            <c:strRef>
              <c:f>'Ma trận PET'!$CF$18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'Ma trận PET'!$DT$18:$LD$18</c:f>
              <c:numCache>
                <c:formatCode>"$"#.##0_);\("$"#.##0\)</c:formatCode>
                <c:ptCount val="28"/>
                <c:pt idx="0">
                  <c:v>365</c:v>
                </c:pt>
                <c:pt idx="1">
                  <c:v>365</c:v>
                </c:pt>
                <c:pt idx="2">
                  <c:v>365</c:v>
                </c:pt>
                <c:pt idx="3">
                  <c:v>340</c:v>
                </c:pt>
                <c:pt idx="4">
                  <c:v>340</c:v>
                </c:pt>
                <c:pt idx="5">
                  <c:v>320</c:v>
                </c:pt>
                <c:pt idx="6">
                  <c:v>320</c:v>
                </c:pt>
                <c:pt idx="7">
                  <c:v>320</c:v>
                </c:pt>
                <c:pt idx="8">
                  <c:v>320</c:v>
                </c:pt>
                <c:pt idx="9">
                  <c:v>225</c:v>
                </c:pt>
                <c:pt idx="10">
                  <c:v>80</c:v>
                </c:pt>
                <c:pt idx="11">
                  <c:v>-70</c:v>
                </c:pt>
                <c:pt idx="12">
                  <c:v>140</c:v>
                </c:pt>
                <c:pt idx="13">
                  <c:v>140</c:v>
                </c:pt>
                <c:pt idx="14">
                  <c:v>80</c:v>
                </c:pt>
                <c:pt idx="15">
                  <c:v>110</c:v>
                </c:pt>
                <c:pt idx="16">
                  <c:v>180</c:v>
                </c:pt>
                <c:pt idx="17">
                  <c:v>150</c:v>
                </c:pt>
                <c:pt idx="18">
                  <c:v>130</c:v>
                </c:pt>
                <c:pt idx="19">
                  <c:v>150</c:v>
                </c:pt>
                <c:pt idx="20">
                  <c:v>190</c:v>
                </c:pt>
                <c:pt idx="21">
                  <c:v>220</c:v>
                </c:pt>
                <c:pt idx="22">
                  <c:v>210</c:v>
                </c:pt>
                <c:pt idx="23">
                  <c:v>210</c:v>
                </c:pt>
                <c:pt idx="24">
                  <c:v>260</c:v>
                </c:pt>
                <c:pt idx="25">
                  <c:v>310</c:v>
                </c:pt>
                <c:pt idx="26">
                  <c:v>340</c:v>
                </c:pt>
                <c:pt idx="27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6EAD-431A-BDD4-033E20348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9"/>
          <c:order val="7"/>
          <c:tx>
            <c:strRef>
              <c:f>'Ma trận PET'!#REF!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'Ma trận PET'!$DD$5:$EP$5</c:f>
            </c:multiLvlStrRef>
          </c:cat>
          <c:val>
            <c:numRef>
              <c:f>'Ma trận PET'!#REF!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8-6EAD-431A-BDD4-033E20348306}"/>
            </c:ext>
          </c:extLst>
        </c:ser>
        <c:ser>
          <c:idx val="6"/>
          <c:order val="8"/>
          <c:tx>
            <c:strRef>
              <c:f>'Ma trận PET'!$CF$9</c:f>
              <c:strCache>
                <c:ptCount val="1"/>
                <c:pt idx="0">
                  <c:v>DTR-Giá FOB rPET ISS01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'Ma trận PET'!$DD$5:$EP$5</c:f>
            </c:multiLvlStrRef>
          </c:cat>
          <c:val>
            <c:numRef>
              <c:f>'Ma trận PET'!$CG$9:$EP$9</c:f>
            </c:numRef>
          </c:val>
          <c:smooth val="0"/>
          <c:extLst>
            <c:ext xmlns:c16="http://schemas.microsoft.com/office/drawing/2014/chart" uri="{C3380CC4-5D6E-409C-BE32-E72D297353CC}">
              <c16:uniqueId val="{00000049-6EAD-431A-BDD4-033E203483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17"/>
          <c:order val="0"/>
          <c:tx>
            <c:strRef>
              <c:f>'Ma trận PET'!$CF$6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120-459F-BE41-95966B17458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B7-4A27-B42A-12F9480615F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43C-4EF4-A08D-17C37DD1C1F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43C-4EF4-A08D-17C37DD1C1FA}"/>
                </c:ext>
              </c:extLst>
            </c:dLbl>
            <c:dLbl>
              <c:idx val="9"/>
              <c:layout>
                <c:manualLayout>
                  <c:x val="-2.5158480369583354E-2"/>
                  <c:y val="3.04702777461276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CC-4294-8016-7D2A3179649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CC-4294-8016-7D2A3179649A}"/>
                </c:ext>
              </c:extLst>
            </c:dLbl>
            <c:dLbl>
              <c:idx val="11"/>
              <c:layout>
                <c:manualLayout>
                  <c:x val="-2.0705651985586299E-2"/>
                  <c:y val="4.22348637484935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BC-4203-AA3E-CA25D6F2999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43C-4EF4-A08D-17C37DD1C1FA}"/>
                </c:ext>
              </c:extLst>
            </c:dLbl>
            <c:dLbl>
              <c:idx val="13"/>
              <c:layout>
                <c:manualLayout>
                  <c:x val="-1.2690560894391602E-2"/>
                  <c:y val="2.34115261447081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DF-40B5-B642-07E314FD7AEA}"/>
                </c:ext>
              </c:extLst>
            </c:dLbl>
            <c:dLbl>
              <c:idx val="14"/>
              <c:layout>
                <c:manualLayout>
                  <c:x val="-5.5660354799963174E-3"/>
                  <c:y val="2.3411526144708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7A-43A9-AB61-50614F26B956}"/>
                </c:ext>
              </c:extLst>
            </c:dLbl>
            <c:dLbl>
              <c:idx val="15"/>
              <c:layout>
                <c:manualLayout>
                  <c:x val="-1.4471692247990425E-2"/>
                  <c:y val="2.81173605456544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17-4FD3-A70D-16A95F8F5F8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43C-4EF4-A08D-17C37DD1C1F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43C-4EF4-A08D-17C37DD1C1F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43C-4EF4-A08D-17C37DD1C1F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43C-4EF4-A08D-17C37DD1C1F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43C-4EF4-A08D-17C37DD1C1FA}"/>
                </c:ext>
              </c:extLst>
            </c:dLbl>
            <c:dLbl>
              <c:idx val="26"/>
              <c:layout>
                <c:manualLayout>
                  <c:x val="-1.9815086308786888E-2"/>
                  <c:y val="1.8705691743761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43C-4EF4-A08D-17C37DD1C1FA}"/>
                </c:ext>
              </c:extLst>
            </c:dLbl>
            <c:dLbl>
              <c:idx val="27"/>
              <c:layout>
                <c:manualLayout>
                  <c:x val="-1.2690560894391602E-2"/>
                  <c:y val="2.341152614470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43C-4EF4-A08D-17C37DD1C1F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PET'!$DD$5:$LD$5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PET'!$EG$6:$LD$6</c:f>
              <c:numCache>
                <c:formatCode>"$"#,##0_);\("$"#,##0\)</c:formatCode>
                <c:ptCount val="28"/>
                <c:pt idx="0">
                  <c:v>1160</c:v>
                </c:pt>
                <c:pt idx="1">
                  <c:v>1160</c:v>
                </c:pt>
                <c:pt idx="2">
                  <c:v>1160</c:v>
                </c:pt>
                <c:pt idx="3">
                  <c:v>1160</c:v>
                </c:pt>
                <c:pt idx="4">
                  <c:v>1160</c:v>
                </c:pt>
                <c:pt idx="5">
                  <c:v>1160</c:v>
                </c:pt>
                <c:pt idx="6">
                  <c:v>1160</c:v>
                </c:pt>
                <c:pt idx="7">
                  <c:v>1160</c:v>
                </c:pt>
                <c:pt idx="8">
                  <c:v>1160</c:v>
                </c:pt>
                <c:pt idx="9">
                  <c:v>1160</c:v>
                </c:pt>
                <c:pt idx="10">
                  <c:v>1160</c:v>
                </c:pt>
                <c:pt idx="11">
                  <c:v>1210</c:v>
                </c:pt>
                <c:pt idx="12">
                  <c:v>1280</c:v>
                </c:pt>
                <c:pt idx="13">
                  <c:v>1280</c:v>
                </c:pt>
                <c:pt idx="14">
                  <c:v>1280</c:v>
                </c:pt>
                <c:pt idx="15">
                  <c:v>1310</c:v>
                </c:pt>
                <c:pt idx="16">
                  <c:v>1380</c:v>
                </c:pt>
                <c:pt idx="17">
                  <c:v>1380</c:v>
                </c:pt>
                <c:pt idx="18">
                  <c:v>1380</c:v>
                </c:pt>
                <c:pt idx="19">
                  <c:v>1380</c:v>
                </c:pt>
                <c:pt idx="20">
                  <c:v>1380</c:v>
                </c:pt>
                <c:pt idx="21">
                  <c:v>1380</c:v>
                </c:pt>
                <c:pt idx="22">
                  <c:v>1350</c:v>
                </c:pt>
                <c:pt idx="23">
                  <c:v>1350</c:v>
                </c:pt>
                <c:pt idx="24">
                  <c:v>1350</c:v>
                </c:pt>
                <c:pt idx="25">
                  <c:v>1350</c:v>
                </c:pt>
                <c:pt idx="26">
                  <c:v>1330</c:v>
                </c:pt>
                <c:pt idx="27">
                  <c:v>1330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6EAD-431A-BDD4-033E20348306}"/>
            </c:ext>
          </c:extLst>
        </c:ser>
        <c:ser>
          <c:idx val="10"/>
          <c:order val="1"/>
          <c:tx>
            <c:strRef>
              <c:f>'Ma trận PET'!$CF$11</c:f>
              <c:strCache>
                <c:ptCount val="1"/>
                <c:pt idx="0">
                  <c:v>ICIS</c:v>
                </c:pt>
              </c:strCache>
            </c:strRef>
          </c:tx>
          <c:spPr>
            <a:ln w="539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375-4C9F-B19F-D89D1329A9B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A2-4C78-B686-AE0DB523554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43C-4EF4-A08D-17C37DD1C1F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43C-4EF4-A08D-17C37DD1C1F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43C-4EF4-A08D-17C37DD1C1FA}"/>
                </c:ext>
              </c:extLst>
            </c:dLbl>
            <c:dLbl>
              <c:idx val="9"/>
              <c:layout>
                <c:manualLayout>
                  <c:x val="-2.159621766238571E-2"/>
                  <c:y val="-5.8705284151805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CC-4294-8016-7D2A3179649A}"/>
                </c:ext>
              </c:extLst>
            </c:dLbl>
            <c:dLbl>
              <c:idx val="10"/>
              <c:layout>
                <c:manualLayout>
                  <c:x val="-2.0705651985586299E-2"/>
                  <c:y val="-4.69406981494398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CC-4294-8016-7D2A3179649A}"/>
                </c:ext>
              </c:extLst>
            </c:dLbl>
            <c:dLbl>
              <c:idx val="11"/>
              <c:layout>
                <c:manualLayout>
                  <c:x val="-2.003772772798674E-3"/>
                  <c:y val="2.470563060496836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DD-44FD-B260-53E3440CC193}"/>
                </c:ext>
              </c:extLst>
            </c:dLbl>
            <c:dLbl>
              <c:idx val="12"/>
              <c:layout>
                <c:manualLayout>
                  <c:x val="-1.7143389278388786E-2"/>
                  <c:y val="-4.22348637484935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E1-4EF8-88EA-2A815121811E}"/>
                </c:ext>
              </c:extLst>
            </c:dLbl>
            <c:dLbl>
              <c:idx val="13"/>
              <c:layout>
                <c:manualLayout>
                  <c:x val="-1.0018863863993371E-2"/>
                  <c:y val="-3.04702777461276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9DF-40B5-B642-07E314FD7AE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7A-43A9-AB61-50614F26B956}"/>
                </c:ext>
              </c:extLst>
            </c:dLbl>
            <c:dLbl>
              <c:idx val="15"/>
              <c:layout>
                <c:manualLayout>
                  <c:x val="-1.9815086308786888E-2"/>
                  <c:y val="-3.04702777461276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17-4FD3-A70D-16A95F8F5F8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43C-4EF4-A08D-17C37DD1C1F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PET'!$DD$5:$LD$5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PET'!$CG$11:$LD$11</c:f>
              <c:numCache>
                <c:formatCode>"$"#,##0_);\("$"#,##0\)</c:formatCode>
                <c:ptCount val="28"/>
                <c:pt idx="0">
                  <c:v>1150</c:v>
                </c:pt>
                <c:pt idx="1">
                  <c:v>1150</c:v>
                </c:pt>
                <c:pt idx="2">
                  <c:v>1150</c:v>
                </c:pt>
                <c:pt idx="3">
                  <c:v>1150</c:v>
                </c:pt>
                <c:pt idx="4">
                  <c:v>1150</c:v>
                </c:pt>
                <c:pt idx="5">
                  <c:v>1150</c:v>
                </c:pt>
                <c:pt idx="6">
                  <c:v>1150</c:v>
                </c:pt>
                <c:pt idx="7">
                  <c:v>1150</c:v>
                </c:pt>
                <c:pt idx="8">
                  <c:v>1150</c:v>
                </c:pt>
                <c:pt idx="9">
                  <c:v>1175</c:v>
                </c:pt>
                <c:pt idx="10">
                  <c:v>1185</c:v>
                </c:pt>
                <c:pt idx="11">
                  <c:v>1220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  <c:pt idx="15">
                  <c:v>1315</c:v>
                </c:pt>
                <c:pt idx="16">
                  <c:v>1315</c:v>
                </c:pt>
                <c:pt idx="17">
                  <c:v>1340</c:v>
                </c:pt>
                <c:pt idx="18">
                  <c:v>1350</c:v>
                </c:pt>
                <c:pt idx="19">
                  <c:v>1370</c:v>
                </c:pt>
                <c:pt idx="20">
                  <c:v>1375</c:v>
                </c:pt>
                <c:pt idx="21">
                  <c:v>1340</c:v>
                </c:pt>
                <c:pt idx="22">
                  <c:v>1340</c:v>
                </c:pt>
                <c:pt idx="23">
                  <c:v>1310</c:v>
                </c:pt>
                <c:pt idx="24">
                  <c:v>1290</c:v>
                </c:pt>
                <c:pt idx="25">
                  <c:v>1290</c:v>
                </c:pt>
                <c:pt idx="26">
                  <c:v>1290</c:v>
                </c:pt>
                <c:pt idx="27">
                  <c:v>1265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6EAD-431A-BDD4-033E20348306}"/>
            </c:ext>
          </c:extLst>
        </c:ser>
        <c:ser>
          <c:idx val="16"/>
          <c:order val="2"/>
          <c:tx>
            <c:strRef>
              <c:f>'Ma trận PET'!$CF$14</c:f>
              <c:strCache>
                <c:ptCount val="1"/>
                <c:pt idx="0">
                  <c:v>RESIN</c:v>
                </c:pt>
              </c:strCache>
            </c:strRef>
          </c:tx>
          <c:spPr>
            <a:ln w="444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2.226414191999833E-4"/>
                  <c:y val="-1.39998573428154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CC-4294-8016-7D2A3179649A}"/>
                </c:ext>
              </c:extLst>
            </c:dLbl>
            <c:dLbl>
              <c:idx val="11"/>
              <c:layout>
                <c:manualLayout>
                  <c:x val="-1.2690560894391602E-2"/>
                  <c:y val="-3.04702777461276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DD-44FD-B260-53E3440CC193}"/>
                </c:ext>
              </c:extLst>
            </c:dLbl>
            <c:dLbl>
              <c:idx val="14"/>
              <c:layout>
                <c:manualLayout>
                  <c:x val="-2.2486783339185253E-2"/>
                  <c:y val="-2.10586089442349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B1-43D3-976A-AB8C056036A0}"/>
                </c:ext>
              </c:extLst>
            </c:dLbl>
            <c:dLbl>
              <c:idx val="15"/>
              <c:layout>
                <c:manualLayout>
                  <c:x val="-2.2486783339185121E-2"/>
                  <c:y val="-2.57644433451812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B1-43D3-976A-AB8C056036A0}"/>
                </c:ext>
              </c:extLst>
            </c:dLbl>
            <c:dLbl>
              <c:idx val="16"/>
              <c:layout>
                <c:manualLayout>
                  <c:x val="-1.9815086308787019E-2"/>
                  <c:y val="-3.04702777461276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B1-43D3-976A-AB8C056036A0}"/>
                </c:ext>
              </c:extLst>
            </c:dLbl>
            <c:dLbl>
              <c:idx val="17"/>
              <c:layout>
                <c:manualLayout>
                  <c:x val="-1.9815086308786888E-2"/>
                  <c:y val="-3.04702777461276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D9-4D6A-9168-B6A28AB44891}"/>
                </c:ext>
              </c:extLst>
            </c:dLbl>
            <c:dLbl>
              <c:idx val="18"/>
              <c:layout>
                <c:manualLayout>
                  <c:x val="-1.0909429540792782E-2"/>
                  <c:y val="-2.81173605456544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00-429C-B5C2-6EE981CA569E}"/>
                </c:ext>
              </c:extLst>
            </c:dLbl>
            <c:dLbl>
              <c:idx val="19"/>
              <c:layout>
                <c:manualLayout>
                  <c:x val="-6.4566011567957276E-3"/>
                  <c:y val="-1.8705691743761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9B-43CD-8E10-A9D94BF60FE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62-4E27-934F-88CFCCEC317A}"/>
                </c:ext>
              </c:extLst>
            </c:dLbl>
            <c:dLbl>
              <c:idx val="21"/>
              <c:layout>
                <c:manualLayout>
                  <c:x val="-2.8943384495982156E-3"/>
                  <c:y val="-2.235271340449518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2A-4B4C-93B0-1EA11D97529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43C-4EF4-A08D-17C37DD1C1F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PET'!$DD$5:$LD$5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PET'!$CG$14:$LD$14</c:f>
              <c:numCache>
                <c:formatCode>"$"#,##0_);\("$"#,##0\)</c:formatCode>
                <c:ptCount val="28"/>
                <c:pt idx="0">
                  <c:v>795</c:v>
                </c:pt>
                <c:pt idx="1">
                  <c:v>795</c:v>
                </c:pt>
                <c:pt idx="2">
                  <c:v>795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840</c:v>
                </c:pt>
                <c:pt idx="7">
                  <c:v>840</c:v>
                </c:pt>
                <c:pt idx="8">
                  <c:v>840</c:v>
                </c:pt>
                <c:pt idx="9">
                  <c:v>935</c:v>
                </c:pt>
                <c:pt idx="10">
                  <c:v>1080</c:v>
                </c:pt>
                <c:pt idx="11">
                  <c:v>1280</c:v>
                </c:pt>
                <c:pt idx="12">
                  <c:v>1140</c:v>
                </c:pt>
                <c:pt idx="13">
                  <c:v>1140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1230</c:v>
                </c:pt>
                <c:pt idx="18">
                  <c:v>1250</c:v>
                </c:pt>
                <c:pt idx="19">
                  <c:v>1230</c:v>
                </c:pt>
                <c:pt idx="20">
                  <c:v>1190</c:v>
                </c:pt>
                <c:pt idx="21">
                  <c:v>1160</c:v>
                </c:pt>
                <c:pt idx="22">
                  <c:v>1140</c:v>
                </c:pt>
                <c:pt idx="23">
                  <c:v>1140</c:v>
                </c:pt>
                <c:pt idx="24">
                  <c:v>1090</c:v>
                </c:pt>
                <c:pt idx="25">
                  <c:v>1040</c:v>
                </c:pt>
                <c:pt idx="26">
                  <c:v>990</c:v>
                </c:pt>
                <c:pt idx="27">
                  <c:v>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6EAD-431A-BDD4-033E20348306}"/>
            </c:ext>
          </c:extLst>
        </c:ser>
        <c:ser>
          <c:idx val="0"/>
          <c:order val="3"/>
          <c:tx>
            <c:strRef>
              <c:f>'Ma trận PET'!$CF$25</c:f>
              <c:strCache>
                <c:ptCount val="1"/>
                <c:pt idx="0">
                  <c:v>Unilever</c:v>
                </c:pt>
              </c:strCache>
            </c:strRef>
          </c:tx>
          <c:spPr>
            <a:ln w="50800" cap="rnd">
              <a:solidFill>
                <a:srgbClr val="2CD8D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5D-49B1-9278-C3021B5DD9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40-436E-9013-39C77CB2399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3C-4EF4-A08D-17C37DD1C1F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3C-4EF4-A08D-17C37DD1C1F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3C-4EF4-A08D-17C37DD1C1F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3C-4EF4-A08D-17C37DD1C1F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BC-4203-AA3E-CA25D6F2999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E1-4EF8-88EA-2A815121811E}"/>
                </c:ext>
              </c:extLst>
            </c:dLbl>
            <c:dLbl>
              <c:idx val="14"/>
              <c:layout>
                <c:manualLayout>
                  <c:x val="-2.159621766238571E-2"/>
                  <c:y val="2.811736054565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B1-43D3-976A-AB8C056036A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B1-43D3-976A-AB8C056036A0}"/>
                </c:ext>
              </c:extLst>
            </c:dLbl>
            <c:dLbl>
              <c:idx val="16"/>
              <c:layout>
                <c:manualLayout>
                  <c:x val="-2.3377349015984664E-2"/>
                  <c:y val="3.2823194946600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B1-43D3-976A-AB8C056036A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D9-4D6A-9168-B6A28AB44891}"/>
                </c:ext>
              </c:extLst>
            </c:dLbl>
            <c:dLbl>
              <c:idx val="18"/>
              <c:layout>
                <c:manualLayout>
                  <c:x val="-2.3377349015984532E-2"/>
                  <c:y val="-3.3058486666648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00-429C-B5C2-6EE981CA569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9B-43CD-8E10-A9D94BF60FE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3C-4EF4-A08D-17C37DD1C1F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3C-4EF4-A08D-17C37DD1C1F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3C-4EF4-A08D-17C37DD1C1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CD8D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PET'!$DD$5:$LD$5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PET'!$EG$25:$LD$25</c:f>
              <c:numCache>
                <c:formatCode>#,##0</c:formatCode>
                <c:ptCount val="28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1250</c:v>
                </c:pt>
                <c:pt idx="7">
                  <c:v>1250</c:v>
                </c:pt>
                <c:pt idx="8">
                  <c:v>1250</c:v>
                </c:pt>
                <c:pt idx="9">
                  <c:v>1250</c:v>
                </c:pt>
                <c:pt idx="10">
                  <c:v>1250</c:v>
                </c:pt>
                <c:pt idx="11">
                  <c:v>1250</c:v>
                </c:pt>
                <c:pt idx="12">
                  <c:v>1250</c:v>
                </c:pt>
                <c:pt idx="13">
                  <c:v>1184</c:v>
                </c:pt>
                <c:pt idx="14">
                  <c:v>1184</c:v>
                </c:pt>
                <c:pt idx="15">
                  <c:v>1184</c:v>
                </c:pt>
                <c:pt idx="16">
                  <c:v>1184</c:v>
                </c:pt>
                <c:pt idx="17">
                  <c:v>1184</c:v>
                </c:pt>
                <c:pt idx="18">
                  <c:v>1184</c:v>
                </c:pt>
                <c:pt idx="19">
                  <c:v>1184</c:v>
                </c:pt>
                <c:pt idx="20">
                  <c:v>1184</c:v>
                </c:pt>
                <c:pt idx="21">
                  <c:v>1184</c:v>
                </c:pt>
                <c:pt idx="22">
                  <c:v>1184</c:v>
                </c:pt>
                <c:pt idx="23">
                  <c:v>1184</c:v>
                </c:pt>
                <c:pt idx="24">
                  <c:v>1184</c:v>
                </c:pt>
                <c:pt idx="25">
                  <c:v>1184</c:v>
                </c:pt>
                <c:pt idx="26">
                  <c:v>1355</c:v>
                </c:pt>
                <c:pt idx="27">
                  <c:v>1355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1-6EAD-431A-BDD4-033E20348306}"/>
            </c:ext>
          </c:extLst>
        </c:ser>
        <c:ser>
          <c:idx val="15"/>
          <c:order val="4"/>
          <c:tx>
            <c:strRef>
              <c:f>'Ma trận PET'!$CF$7</c:f>
              <c:strCache>
                <c:ptCount val="1"/>
                <c:pt idx="0">
                  <c:v>DTR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PET'!$DD$5:$LD$5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PET'!$CG$7:$GT$7</c:f>
            </c:numRef>
          </c:val>
          <c:smooth val="0"/>
          <c:extLst>
            <c:ext xmlns:c16="http://schemas.microsoft.com/office/drawing/2014/chart" uri="{C3380CC4-5D6E-409C-BE32-E72D297353CC}">
              <c16:uniqueId val="{00000032-6EAD-431A-BDD4-033E20348306}"/>
            </c:ext>
          </c:extLst>
        </c:ser>
        <c:ser>
          <c:idx val="12"/>
          <c:order val="5"/>
          <c:tx>
            <c:strRef>
              <c:f>'Ma trận PET'!$CF$22</c:f>
              <c:strCache>
                <c:ptCount val="1"/>
                <c:pt idx="0">
                  <c:v>Điểm hòa vốn có 25% rewash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PET'!$DD$5:$LD$5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PET'!$EG$22:$GI$22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0-6EAD-431A-BDD4-033E20348306}"/>
            </c:ext>
          </c:extLst>
        </c:ser>
        <c:ser>
          <c:idx val="14"/>
          <c:order val="6"/>
          <c:tx>
            <c:strRef>
              <c:f>'Ma trận PET'!$CF$21</c:f>
              <c:strCache>
                <c:ptCount val="1"/>
                <c:pt idx="0">
                  <c:v>Điểm hòa vốn</c:v>
                </c:pt>
              </c:strCache>
              <c:extLst xmlns:c15="http://schemas.microsoft.com/office/drawing/2012/chart"/>
            </c:strRef>
          </c:tx>
          <c:spPr>
            <a:ln w="539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C1-4190-B3B7-7A0CE6AEF4D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12-409F-AE7A-38E108CB092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3C-4EF4-A08D-17C37DD1C1F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3C-4EF4-A08D-17C37DD1C1F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43C-4EF4-A08D-17C37DD1C1F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43C-4EF4-A08D-17C37DD1C1F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43C-4EF4-A08D-17C37DD1C1F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43C-4EF4-A08D-17C37DD1C1FA}"/>
                </c:ext>
              </c:extLst>
            </c:dLbl>
            <c:dLbl>
              <c:idx val="18"/>
              <c:layout>
                <c:manualLayout>
                  <c:x val="-1.4471692247990555E-2"/>
                  <c:y val="3.30584866666480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00-429C-B5C2-6EE981CA569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43C-4EF4-A08D-17C37DD1C1F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2A-4B4C-93B0-1EA11D975299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6A-4E4C-AC38-3E98AC79988B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B7-4AF8-860A-8BA7B8E16A3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0C-4E66-8A8E-C613941F586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PET'!$DD$5:$LD$5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PET'!$EG$21:$LD$21</c:f>
              <c:numCache>
                <c:formatCode>"$"#,##0_);\("$"#,##0\)</c:formatCode>
                <c:ptCount val="28"/>
                <c:pt idx="0">
                  <c:v>1096.8836793746136</c:v>
                </c:pt>
                <c:pt idx="1">
                  <c:v>1096.8836793746136</c:v>
                </c:pt>
                <c:pt idx="2">
                  <c:v>1096.8836793746136</c:v>
                </c:pt>
                <c:pt idx="3">
                  <c:v>1096.8836793746136</c:v>
                </c:pt>
                <c:pt idx="4">
                  <c:v>1096.8836793746136</c:v>
                </c:pt>
                <c:pt idx="5">
                  <c:v>1056.1519929547876</c:v>
                </c:pt>
                <c:pt idx="6">
                  <c:v>1056.1519929547876</c:v>
                </c:pt>
                <c:pt idx="7">
                  <c:v>1056.1519929547876</c:v>
                </c:pt>
                <c:pt idx="8">
                  <c:v>1056.1519929547876</c:v>
                </c:pt>
                <c:pt idx="9">
                  <c:v>1057.7957262938128</c:v>
                </c:pt>
                <c:pt idx="10">
                  <c:v>1057.7957262938128</c:v>
                </c:pt>
                <c:pt idx="11">
                  <c:v>1057.7957262938128</c:v>
                </c:pt>
                <c:pt idx="12">
                  <c:v>1057.7957262938128</c:v>
                </c:pt>
                <c:pt idx="13">
                  <c:v>1077.9158612626186</c:v>
                </c:pt>
                <c:pt idx="14">
                  <c:v>1077.9158612626186</c:v>
                </c:pt>
                <c:pt idx="15">
                  <c:v>1077.9158612626186</c:v>
                </c:pt>
                <c:pt idx="16">
                  <c:v>1077.9158612626186</c:v>
                </c:pt>
                <c:pt idx="17">
                  <c:v>1077.9158612626186</c:v>
                </c:pt>
                <c:pt idx="18">
                  <c:v>1157.3856098126769</c:v>
                </c:pt>
                <c:pt idx="19">
                  <c:v>1157.3856098126769</c:v>
                </c:pt>
                <c:pt idx="20">
                  <c:v>1157.3856098126769</c:v>
                </c:pt>
                <c:pt idx="21">
                  <c:v>1157.3856098126769</c:v>
                </c:pt>
                <c:pt idx="22">
                  <c:v>1148.232441827543</c:v>
                </c:pt>
                <c:pt idx="23">
                  <c:v>1148.232441827543</c:v>
                </c:pt>
                <c:pt idx="24">
                  <c:v>1148.232441827543</c:v>
                </c:pt>
                <c:pt idx="25">
                  <c:v>1148.232441827543</c:v>
                </c:pt>
                <c:pt idx="26">
                  <c:v>1150.4249366139495</c:v>
                </c:pt>
                <c:pt idx="27">
                  <c:v>1150.4249366139495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6EAD-431A-BDD4-033E20348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7"/>
          <c:order val="10"/>
          <c:tx>
            <c:strRef>
              <c:f>'Ma trận PET'!$CF$19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'Ma trận PET'!$EG$5:$FV$5</c:f>
            </c:multiLvlStrRef>
          </c:cat>
          <c:val>
            <c:numRef>
              <c:f>'Ma trận PET'!$DT$19:$GI$19</c:f>
            </c:numRef>
          </c:val>
          <c:smooth val="0"/>
          <c:extLst>
            <c:ext xmlns:c16="http://schemas.microsoft.com/office/drawing/2014/chart" uri="{C3380CC4-5D6E-409C-BE32-E72D297353CC}">
              <c16:uniqueId val="{0000005D-6EAD-431A-BDD4-033E20348306}"/>
            </c:ext>
          </c:extLst>
        </c:ser>
        <c:ser>
          <c:idx val="1"/>
          <c:order val="12"/>
          <c:tx>
            <c:strRef>
              <c:f>'Ma trận PET'!$CF$24</c:f>
              <c:strCache>
                <c:ptCount val="1"/>
                <c:pt idx="0">
                  <c:v>Giá bán đối thủ Intco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 trận PET'!$EG$24:$FV$24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865-4CF6-9C98-1F7017A5E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645199"/>
        <c:axId val="1466660175"/>
        <c:extLst/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7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200"/>
      </c:valAx>
      <c:valAx>
        <c:axId val="1466660175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466645199"/>
        <c:crosses val="max"/>
        <c:crossBetween val="between"/>
      </c:valAx>
      <c:catAx>
        <c:axId val="1466645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6660175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7030A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2CD8D4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9194563285876005"/>
          <c:y val="0.16364187118056231"/>
          <c:w val="9.5586447666048249E-2"/>
          <c:h val="0.42105434775560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-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FIBER 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NĂM 2025 &amp;2026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84932756217568"/>
          <c:y val="1.7039155005494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036512302036513E-2"/>
          <c:y val="0.12702304327693809"/>
          <c:w val="0.79419486344881862"/>
          <c:h val="0.78739317269635756"/>
        </c:manualLayout>
      </c:layout>
      <c:areaChart>
        <c:grouping val="stacked"/>
        <c:varyColors val="0"/>
        <c:ser>
          <c:idx val="1"/>
          <c:order val="5"/>
          <c:tx>
            <c:strRef>
              <c:f>'Ma trận PET- Fiber'!$H$10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PET- Fiber'!$J$10:$AQ$10</c:f>
              <c:numCache>
                <c:formatCode>_(* #,##0_);_(* \(#,##0\);_(* "-"??_);_(@_)</c:formatCode>
                <c:ptCount val="19"/>
                <c:pt idx="0">
                  <c:v>827.5</c:v>
                </c:pt>
                <c:pt idx="1">
                  <c:v>840</c:v>
                </c:pt>
                <c:pt idx="2">
                  <c:v>822.5</c:v>
                </c:pt>
                <c:pt idx="3">
                  <c:v>765</c:v>
                </c:pt>
                <c:pt idx="4">
                  <c:v>782</c:v>
                </c:pt>
                <c:pt idx="5">
                  <c:v>807.5</c:v>
                </c:pt>
                <c:pt idx="6">
                  <c:v>802</c:v>
                </c:pt>
                <c:pt idx="7">
                  <c:v>795</c:v>
                </c:pt>
                <c:pt idx="8">
                  <c:v>782.5</c:v>
                </c:pt>
                <c:pt idx="9">
                  <c:v>772</c:v>
                </c:pt>
                <c:pt idx="10">
                  <c:v>770</c:v>
                </c:pt>
                <c:pt idx="11">
                  <c:v>772.5</c:v>
                </c:pt>
                <c:pt idx="12">
                  <c:v>805</c:v>
                </c:pt>
                <c:pt idx="13">
                  <c:v>840</c:v>
                </c:pt>
                <c:pt idx="14">
                  <c:v>1108.75</c:v>
                </c:pt>
                <c:pt idx="15">
                  <c:v>1194</c:v>
                </c:pt>
                <c:pt idx="16">
                  <c:v>1207.5</c:v>
                </c:pt>
                <c:pt idx="17">
                  <c:v>1102.5</c:v>
                </c:pt>
                <c:pt idx="18">
                  <c:v>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6-4E38-9EAF-31A3F79AB53B}"/>
            </c:ext>
          </c:extLst>
        </c:ser>
        <c:ser>
          <c:idx val="2"/>
          <c:order val="6"/>
          <c:tx>
            <c:strRef>
              <c:f>'Ma trận PET- Fiber'!$H$11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PET- Fiber'!$J$11:$AQ$11</c:f>
              <c:numCache>
                <c:formatCode>"$"#,##0_);\("$"#,##0\)</c:formatCode>
                <c:ptCount val="19"/>
                <c:pt idx="0">
                  <c:v>272.5</c:v>
                </c:pt>
                <c:pt idx="1">
                  <c:v>260</c:v>
                </c:pt>
                <c:pt idx="2">
                  <c:v>277.5</c:v>
                </c:pt>
                <c:pt idx="3">
                  <c:v>355</c:v>
                </c:pt>
                <c:pt idx="4">
                  <c:v>338</c:v>
                </c:pt>
                <c:pt idx="5">
                  <c:v>312.5</c:v>
                </c:pt>
                <c:pt idx="6">
                  <c:v>318</c:v>
                </c:pt>
                <c:pt idx="7">
                  <c:v>295</c:v>
                </c:pt>
                <c:pt idx="8">
                  <c:v>307.5</c:v>
                </c:pt>
                <c:pt idx="9">
                  <c:v>308</c:v>
                </c:pt>
                <c:pt idx="10">
                  <c:v>300</c:v>
                </c:pt>
                <c:pt idx="11">
                  <c:v>297.5</c:v>
                </c:pt>
                <c:pt idx="12">
                  <c:v>225</c:v>
                </c:pt>
                <c:pt idx="13">
                  <c:v>190</c:v>
                </c:pt>
                <c:pt idx="14">
                  <c:v>-78.75</c:v>
                </c:pt>
                <c:pt idx="15">
                  <c:v>-44</c:v>
                </c:pt>
                <c:pt idx="16">
                  <c:v>42.5</c:v>
                </c:pt>
                <c:pt idx="17">
                  <c:v>117.5</c:v>
                </c:pt>
                <c:pt idx="18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6-4E38-9EAF-31A3F79AB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9"/>
          <c:order val="0"/>
          <c:tx>
            <c:strRef>
              <c:f>'Ma trận PET- Fiber'!$H$6</c:f>
              <c:strCache>
                <c:ptCount val="1"/>
                <c:pt idx="0">
                  <c:v>DTR-Food grade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Fiber'!$J$5:$AQ$5</c:f>
              <c:strCache>
                <c:ptCount val="19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</c:strCache>
            </c:strRef>
          </c:cat>
          <c:val>
            <c:numRef>
              <c:f>'Ma trận PET- Fiber'!$J$6:$AQ$6</c:f>
              <c:numCache>
                <c:formatCode>_(* #,##0_);_(* \(#,##0\);_(* "-"??_);_(@_)</c:formatCode>
                <c:ptCount val="19"/>
                <c:pt idx="0">
                  <c:v>1230</c:v>
                </c:pt>
                <c:pt idx="1">
                  <c:v>1230</c:v>
                </c:pt>
                <c:pt idx="2">
                  <c:v>1230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1250</c:v>
                </c:pt>
                <c:pt idx="7">
                  <c:v>1220</c:v>
                </c:pt>
                <c:pt idx="8">
                  <c:v>1220</c:v>
                </c:pt>
                <c:pt idx="9">
                  <c:v>1210</c:v>
                </c:pt>
                <c:pt idx="10">
                  <c:v>1200</c:v>
                </c:pt>
                <c:pt idx="11">
                  <c:v>1200</c:v>
                </c:pt>
                <c:pt idx="12">
                  <c:v>1160</c:v>
                </c:pt>
                <c:pt idx="13">
                  <c:v>1160</c:v>
                </c:pt>
                <c:pt idx="14">
                  <c:v>1160</c:v>
                </c:pt>
                <c:pt idx="15">
                  <c:v>1280</c:v>
                </c:pt>
                <c:pt idx="16">
                  <c:v>1380</c:v>
                </c:pt>
                <c:pt idx="17">
                  <c:v>1350</c:v>
                </c:pt>
                <c:pt idx="18">
                  <c:v>1350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3726-4E38-9EAF-31A3F79AB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lineChart>
        <c:grouping val="standard"/>
        <c:varyColors val="0"/>
        <c:ser>
          <c:idx val="3"/>
          <c:order val="1"/>
          <c:tx>
            <c:strRef>
              <c:f>'Ma trận PET- Fiber'!$H$14</c:f>
              <c:strCache>
                <c:ptCount val="1"/>
                <c:pt idx="0">
                  <c:v>Giá bán đối thủ CHORI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Fiber'!$J$5:$AQ$5</c:f>
              <c:strCache>
                <c:ptCount val="19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</c:strCache>
            </c:strRef>
          </c:cat>
          <c:val>
            <c:numRef>
              <c:f>'Ma trận PET- Fiber'!$J$14:$T$14</c:f>
            </c:numRef>
          </c:val>
          <c:smooth val="0"/>
          <c:extLst>
            <c:ext xmlns:c16="http://schemas.microsoft.com/office/drawing/2014/chart" uri="{C3380CC4-5D6E-409C-BE32-E72D297353CC}">
              <c16:uniqueId val="{0000002C-3726-4E38-9EAF-31A3F79AB53B}"/>
            </c:ext>
          </c:extLst>
        </c:ser>
        <c:ser>
          <c:idx val="4"/>
          <c:order val="2"/>
          <c:tx>
            <c:strRef>
              <c:f>'Ma trận PET- Fiber'!$H$15</c:f>
              <c:strCache>
                <c:ptCount val="1"/>
                <c:pt idx="0">
                  <c:v>Giá bán đối thủ Hyosung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Fiber'!$J$5:$AQ$5</c:f>
              <c:strCache>
                <c:ptCount val="19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</c:strCache>
            </c:strRef>
          </c:cat>
          <c:val>
            <c:numRef>
              <c:f>'Ma trận PET- Fiber'!$J$15:$R$15</c:f>
            </c:numRef>
          </c:val>
          <c:smooth val="0"/>
          <c:extLst>
            <c:ext xmlns:c16="http://schemas.microsoft.com/office/drawing/2014/chart" uri="{C3380CC4-5D6E-409C-BE32-E72D297353CC}">
              <c16:uniqueId val="{00000040-3726-4E38-9EAF-31A3F79AB53B}"/>
            </c:ext>
          </c:extLst>
        </c:ser>
        <c:ser>
          <c:idx val="6"/>
          <c:order val="3"/>
          <c:tx>
            <c:strRef>
              <c:f>'Ma trận PET- Fiber'!$H$7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5"/>
              <c:layout>
                <c:manualLayout>
                  <c:x val="-1.5380063968990927E-2"/>
                  <c:y val="3.5411403867121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4E-4184-9CD1-FE47035B108B}"/>
                </c:ext>
              </c:extLst>
            </c:dLbl>
            <c:dLbl>
              <c:idx val="16"/>
              <c:layout>
                <c:manualLayout>
                  <c:x val="-1.1813672324007523E-2"/>
                  <c:y val="-2.81173605456545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1F-409E-8A47-3F42C38B0F47}"/>
                </c:ext>
              </c:extLst>
            </c:dLbl>
            <c:dLbl>
              <c:idx val="17"/>
              <c:layout>
                <c:manualLayout>
                  <c:x val="-1.5380063968990927E-2"/>
                  <c:y val="-3.04702777461276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D4A-4620-9C02-0E66200A1E5D}"/>
                </c:ext>
              </c:extLst>
            </c:dLbl>
            <c:dLbl>
              <c:idx val="18"/>
              <c:layout>
                <c:manualLayout>
                  <c:x val="-2.1621249347711882E-2"/>
                  <c:y val="-3.04702777461276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DE-463A-8299-FFB620E7382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Fiber'!$J$5:$AQ$5</c:f>
              <c:strCache>
                <c:ptCount val="19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</c:strCache>
            </c:strRef>
          </c:cat>
          <c:val>
            <c:numRef>
              <c:f>'Ma trận PET- Fiber'!$J$7:$AQ$7</c:f>
              <c:numCache>
                <c:formatCode>_(* #,##0_);_(* \(#,##0\);_(* "-"??_);_(@_)</c:formatCode>
                <c:ptCount val="19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  <c:pt idx="3">
                  <c:v>1120</c:v>
                </c:pt>
                <c:pt idx="4">
                  <c:v>1120</c:v>
                </c:pt>
                <c:pt idx="5">
                  <c:v>1120</c:v>
                </c:pt>
                <c:pt idx="6">
                  <c:v>1120</c:v>
                </c:pt>
                <c:pt idx="7">
                  <c:v>1090</c:v>
                </c:pt>
                <c:pt idx="8">
                  <c:v>1090</c:v>
                </c:pt>
                <c:pt idx="9">
                  <c:v>1080</c:v>
                </c:pt>
                <c:pt idx="10">
                  <c:v>1070</c:v>
                </c:pt>
                <c:pt idx="11">
                  <c:v>1070</c:v>
                </c:pt>
                <c:pt idx="12">
                  <c:v>1030</c:v>
                </c:pt>
                <c:pt idx="13">
                  <c:v>1030</c:v>
                </c:pt>
                <c:pt idx="14">
                  <c:v>1030</c:v>
                </c:pt>
                <c:pt idx="15">
                  <c:v>1150</c:v>
                </c:pt>
                <c:pt idx="16">
                  <c:v>1250</c:v>
                </c:pt>
                <c:pt idx="17">
                  <c:v>1220</c:v>
                </c:pt>
                <c:pt idx="18">
                  <c:v>1220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3726-4E38-9EAF-31A3F79AB53B}"/>
            </c:ext>
          </c:extLst>
        </c:ser>
        <c:ser>
          <c:idx val="0"/>
          <c:order val="4"/>
          <c:tx>
            <c:strRef>
              <c:f>'Ma trận PET- Fiber'!$H$9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4.3019599217612302E-2"/>
                  <c:y val="-1.63527745432885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E3-4F53-8FF4-8B6CE2E0FE88}"/>
                </c:ext>
              </c:extLst>
            </c:dLbl>
            <c:dLbl>
              <c:idx val="15"/>
              <c:layout>
                <c:manualLayout>
                  <c:x val="-1.5380063968990927E-2"/>
                  <c:y val="-2.81173605456544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C1-4ACA-A051-5AFF42B36C9F}"/>
                </c:ext>
              </c:extLst>
            </c:dLbl>
            <c:dLbl>
              <c:idx val="16"/>
              <c:layout>
                <c:manualLayout>
                  <c:x val="-1.9838053525220181E-2"/>
                  <c:y val="4.24701554685408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7E-4B89-B1A1-93D01572BE1D}"/>
                </c:ext>
              </c:extLst>
            </c:dLbl>
            <c:dLbl>
              <c:idx val="17"/>
              <c:layout>
                <c:manualLayout>
                  <c:x val="-1.805485770272848E-2"/>
                  <c:y val="2.36468178647554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98-4D19-B5DF-E69B57033F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Fiber'!$J$5:$AQ$5</c:f>
              <c:strCache>
                <c:ptCount val="19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</c:strCache>
            </c:strRef>
          </c:cat>
          <c:val>
            <c:numRef>
              <c:f>'Ma trận PET- Fiber'!$J$9:$AQ$9</c:f>
              <c:numCache>
                <c:formatCode>_(* #,##0_);_(* \(#,##0\);_(* "-"??_);_(@_)</c:formatCode>
                <c:ptCount val="19"/>
                <c:pt idx="0">
                  <c:v>827.5</c:v>
                </c:pt>
                <c:pt idx="1">
                  <c:v>840</c:v>
                </c:pt>
                <c:pt idx="2">
                  <c:v>822.5</c:v>
                </c:pt>
                <c:pt idx="3">
                  <c:v>765</c:v>
                </c:pt>
                <c:pt idx="4">
                  <c:v>782</c:v>
                </c:pt>
                <c:pt idx="5">
                  <c:v>807.5</c:v>
                </c:pt>
                <c:pt idx="6">
                  <c:v>802</c:v>
                </c:pt>
                <c:pt idx="7">
                  <c:v>795</c:v>
                </c:pt>
                <c:pt idx="8">
                  <c:v>782.5</c:v>
                </c:pt>
                <c:pt idx="9">
                  <c:v>772</c:v>
                </c:pt>
                <c:pt idx="10">
                  <c:v>770</c:v>
                </c:pt>
                <c:pt idx="11">
                  <c:v>772.5</c:v>
                </c:pt>
                <c:pt idx="12">
                  <c:v>805</c:v>
                </c:pt>
                <c:pt idx="13">
                  <c:v>840</c:v>
                </c:pt>
                <c:pt idx="14">
                  <c:v>1108.75</c:v>
                </c:pt>
                <c:pt idx="15">
                  <c:v>1194</c:v>
                </c:pt>
                <c:pt idx="16">
                  <c:v>1207.5</c:v>
                </c:pt>
                <c:pt idx="17">
                  <c:v>1102.5</c:v>
                </c:pt>
                <c:pt idx="18">
                  <c:v>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3726-4E38-9EAF-31A3F79AB53B}"/>
            </c:ext>
          </c:extLst>
        </c:ser>
        <c:ser>
          <c:idx val="5"/>
          <c:order val="7"/>
          <c:tx>
            <c:strRef>
              <c:f>'Ma trận PET- Fiber'!$H$13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Fiber'!$J$5:$AQ$5</c:f>
              <c:strCache>
                <c:ptCount val="19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</c:strCache>
            </c:strRef>
          </c:cat>
          <c:val>
            <c:numRef>
              <c:f>'Ma trận PET- Fiber'!$J$13:$AQ$13</c:f>
              <c:numCache>
                <c:formatCode>_(* #,##0_);_(* \(#,##0\);_(* "-"??_);_(@_)</c:formatCode>
                <c:ptCount val="19"/>
                <c:pt idx="0">
                  <c:v>668.04613132777956</c:v>
                </c:pt>
                <c:pt idx="1">
                  <c:v>694.46136145567061</c:v>
                </c:pt>
                <c:pt idx="2">
                  <c:v>704.64253339668858</c:v>
                </c:pt>
                <c:pt idx="3">
                  <c:v>693.32467456021789</c:v>
                </c:pt>
                <c:pt idx="4">
                  <c:v>701.49240475275428</c:v>
                </c:pt>
                <c:pt idx="5">
                  <c:v>711.95211896874696</c:v>
                </c:pt>
                <c:pt idx="6">
                  <c:v>716.07583093115807</c:v>
                </c:pt>
                <c:pt idx="7">
                  <c:v>711.5515229380502</c:v>
                </c:pt>
                <c:pt idx="8">
                  <c:v>657.6425700422576</c:v>
                </c:pt>
                <c:pt idx="9">
                  <c:v>655.42324121217587</c:v>
                </c:pt>
                <c:pt idx="10">
                  <c:v>687.77689086730652</c:v>
                </c:pt>
                <c:pt idx="11">
                  <c:v>599.05685394273485</c:v>
                </c:pt>
                <c:pt idx="12">
                  <c:v>646.08292221736849</c:v>
                </c:pt>
                <c:pt idx="13">
                  <c:v>621.38247673824969</c:v>
                </c:pt>
                <c:pt idx="14">
                  <c:v>578.95337311294793</c:v>
                </c:pt>
                <c:pt idx="15">
                  <c:v>592.33348263164464</c:v>
                </c:pt>
                <c:pt idx="16">
                  <c:v>590.22158959460091</c:v>
                </c:pt>
                <c:pt idx="17">
                  <c:v>580.70606487135785</c:v>
                </c:pt>
                <c:pt idx="18">
                  <c:v>590.83413876263489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3726-4E38-9EAF-31A3F79AB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ax val="1500"/>
          <c:min val="5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200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639D6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5346939351474149"/>
          <c:y val="0.17692547829526514"/>
          <c:w val="0.10726097886770733"/>
          <c:h val="0.602543003267219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-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FIBER 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NĂM 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84932756217568"/>
          <c:y val="1.7039155005494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98159249990064E-2"/>
          <c:y val="0.1294110015080347"/>
          <c:w val="0.79419486344881862"/>
          <c:h val="0.78739317269635756"/>
        </c:manualLayout>
      </c:layout>
      <c:areaChart>
        <c:grouping val="stacked"/>
        <c:varyColors val="0"/>
        <c:ser>
          <c:idx val="1"/>
          <c:order val="5"/>
          <c:tx>
            <c:strRef>
              <c:f>'Ma trận PET- Fiber'!$AU$10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PET- Fiber'!$AV$10:$GK$10</c:f>
              <c:numCache>
                <c:formatCode>"$"#,##0_);\("$"#,##0\)</c:formatCode>
                <c:ptCount val="28"/>
                <c:pt idx="0">
                  <c:v>795</c:v>
                </c:pt>
                <c:pt idx="1">
                  <c:v>795</c:v>
                </c:pt>
                <c:pt idx="2">
                  <c:v>795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840</c:v>
                </c:pt>
                <c:pt idx="7">
                  <c:v>840</c:v>
                </c:pt>
                <c:pt idx="8">
                  <c:v>840</c:v>
                </c:pt>
                <c:pt idx="9">
                  <c:v>935</c:v>
                </c:pt>
                <c:pt idx="10">
                  <c:v>1080</c:v>
                </c:pt>
                <c:pt idx="11">
                  <c:v>1280</c:v>
                </c:pt>
                <c:pt idx="12">
                  <c:v>1140</c:v>
                </c:pt>
                <c:pt idx="13">
                  <c:v>1140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1230</c:v>
                </c:pt>
                <c:pt idx="18">
                  <c:v>1250</c:v>
                </c:pt>
                <c:pt idx="19">
                  <c:v>1230</c:v>
                </c:pt>
                <c:pt idx="20">
                  <c:v>1190</c:v>
                </c:pt>
                <c:pt idx="21">
                  <c:v>1160</c:v>
                </c:pt>
                <c:pt idx="22">
                  <c:v>1140</c:v>
                </c:pt>
                <c:pt idx="23">
                  <c:v>1140</c:v>
                </c:pt>
                <c:pt idx="24">
                  <c:v>1090</c:v>
                </c:pt>
                <c:pt idx="25">
                  <c:v>1040</c:v>
                </c:pt>
                <c:pt idx="26">
                  <c:v>990</c:v>
                </c:pt>
                <c:pt idx="27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4CCB-4527-97D7-47C7E1671784}"/>
            </c:ext>
          </c:extLst>
        </c:ser>
        <c:ser>
          <c:idx val="2"/>
          <c:order val="6"/>
          <c:tx>
            <c:strRef>
              <c:f>'Ma trận PET- Fiber'!$DQ$4</c:f>
              <c:strCache>
                <c:ptCount val="1"/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'Ma trận PET- Fiber'!$AV$11:$GK$11</c:f>
              <c:numCache>
                <c:formatCode>"$"#.##0_);\("$"#.##0\)</c:formatCode>
                <c:ptCount val="28"/>
                <c:pt idx="0">
                  <c:v>235</c:v>
                </c:pt>
                <c:pt idx="1">
                  <c:v>235</c:v>
                </c:pt>
                <c:pt idx="2">
                  <c:v>235</c:v>
                </c:pt>
                <c:pt idx="3">
                  <c:v>210</c:v>
                </c:pt>
                <c:pt idx="4">
                  <c:v>210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95</c:v>
                </c:pt>
                <c:pt idx="10">
                  <c:v>-50</c:v>
                </c:pt>
                <c:pt idx="11">
                  <c:v>-200</c:v>
                </c:pt>
                <c:pt idx="12">
                  <c:v>10</c:v>
                </c:pt>
                <c:pt idx="13">
                  <c:v>10</c:v>
                </c:pt>
                <c:pt idx="14">
                  <c:v>-50</c:v>
                </c:pt>
                <c:pt idx="15">
                  <c:v>-20</c:v>
                </c:pt>
                <c:pt idx="16">
                  <c:v>50</c:v>
                </c:pt>
                <c:pt idx="17">
                  <c:v>20</c:v>
                </c:pt>
                <c:pt idx="18">
                  <c:v>0</c:v>
                </c:pt>
                <c:pt idx="19">
                  <c:v>20</c:v>
                </c:pt>
                <c:pt idx="20">
                  <c:v>60</c:v>
                </c:pt>
                <c:pt idx="21">
                  <c:v>90</c:v>
                </c:pt>
                <c:pt idx="22">
                  <c:v>80</c:v>
                </c:pt>
                <c:pt idx="23">
                  <c:v>80</c:v>
                </c:pt>
                <c:pt idx="24">
                  <c:v>130</c:v>
                </c:pt>
                <c:pt idx="25">
                  <c:v>180</c:v>
                </c:pt>
                <c:pt idx="26">
                  <c:v>210</c:v>
                </c:pt>
                <c:pt idx="27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4CCB-4527-97D7-47C7E1671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9"/>
          <c:order val="0"/>
          <c:tx>
            <c:strRef>
              <c:f>'Ma trận PET- Fiber'!$AU$6</c:f>
              <c:strCache>
                <c:ptCount val="1"/>
                <c:pt idx="0">
                  <c:v>DTR-Food grade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Fiber'!$AE$5:$GK$5</c:f>
              <c:strCache>
                <c:ptCount val="44"/>
                <c:pt idx="0">
                  <c:v> 7 </c:v>
                </c:pt>
                <c:pt idx="1">
                  <c:v> 8 </c:v>
                </c:pt>
                <c:pt idx="2">
                  <c:v> 9 </c:v>
                </c:pt>
                <c:pt idx="3">
                  <c:v> 10 </c:v>
                </c:pt>
                <c:pt idx="4">
                  <c:v> 11 </c:v>
                </c:pt>
                <c:pt idx="5">
                  <c:v> 12 </c:v>
                </c:pt>
                <c:pt idx="6">
                  <c:v> T1.26 </c:v>
                </c:pt>
                <c:pt idx="7">
                  <c:v> 2 </c:v>
                </c:pt>
                <c:pt idx="8">
                  <c:v> 3 </c:v>
                </c:pt>
                <c:pt idx="9">
                  <c:v> 4 </c:v>
                </c:pt>
                <c:pt idx="10">
                  <c:v> 5 </c:v>
                </c:pt>
                <c:pt idx="11">
                  <c:v> 6 </c:v>
                </c:pt>
                <c:pt idx="12">
                  <c:v> 7 </c:v>
                </c:pt>
                <c:pt idx="14">
                  <c:v>Mã SP</c:v>
                </c:pt>
                <c:pt idx="15">
                  <c:v>Diễn giải</c:v>
                </c:pt>
                <c:pt idx="16">
                  <c:v> 01 </c:v>
                </c:pt>
                <c:pt idx="17">
                  <c:v> 02 </c:v>
                </c:pt>
                <c:pt idx="18">
                  <c:v> 03 </c:v>
                </c:pt>
                <c:pt idx="19">
                  <c:v> 04 </c:v>
                </c:pt>
                <c:pt idx="20">
                  <c:v> 05 </c:v>
                </c:pt>
                <c:pt idx="21">
                  <c:v> 06 </c:v>
                </c:pt>
                <c:pt idx="22">
                  <c:v> 07 </c:v>
                </c:pt>
                <c:pt idx="23">
                  <c:v> 08 </c:v>
                </c:pt>
                <c:pt idx="24">
                  <c:v> 09 </c:v>
                </c:pt>
                <c:pt idx="25">
                  <c:v> 10 </c:v>
                </c:pt>
                <c:pt idx="26">
                  <c:v> 11 </c:v>
                </c:pt>
                <c:pt idx="27">
                  <c:v> 12 </c:v>
                </c:pt>
                <c:pt idx="28">
                  <c:v> 13 </c:v>
                </c:pt>
                <c:pt idx="29">
                  <c:v> 14 </c:v>
                </c:pt>
                <c:pt idx="30">
                  <c:v> 15 </c:v>
                </c:pt>
                <c:pt idx="31">
                  <c:v> 16 </c:v>
                </c:pt>
                <c:pt idx="32">
                  <c:v> 17 </c:v>
                </c:pt>
                <c:pt idx="33">
                  <c:v> 18 </c:v>
                </c:pt>
                <c:pt idx="34">
                  <c:v> 19 </c:v>
                </c:pt>
                <c:pt idx="35">
                  <c:v> 20 </c:v>
                </c:pt>
                <c:pt idx="36">
                  <c:v> 21 </c:v>
                </c:pt>
                <c:pt idx="37">
                  <c:v> 22 </c:v>
                </c:pt>
                <c:pt idx="38">
                  <c:v> 23 </c:v>
                </c:pt>
                <c:pt idx="39">
                  <c:v> 24 </c:v>
                </c:pt>
                <c:pt idx="40">
                  <c:v> 25 </c:v>
                </c:pt>
                <c:pt idx="41">
                  <c:v> 26 </c:v>
                </c:pt>
                <c:pt idx="42">
                  <c:v> 27 </c:v>
                </c:pt>
                <c:pt idx="43">
                  <c:v> 28 </c:v>
                </c:pt>
              </c:strCache>
            </c:strRef>
          </c:cat>
          <c:val>
            <c:numRef>
              <c:f>'Ma trận PET- Fiber'!$BM$6:$GK$6</c:f>
              <c:numCache>
                <c:formatCode>"$"#,##0_);\("$"#,##0\)</c:formatCode>
                <c:ptCount val="28"/>
                <c:pt idx="0">
                  <c:v>1160</c:v>
                </c:pt>
                <c:pt idx="1">
                  <c:v>1160</c:v>
                </c:pt>
                <c:pt idx="2">
                  <c:v>1160</c:v>
                </c:pt>
                <c:pt idx="3">
                  <c:v>1160</c:v>
                </c:pt>
                <c:pt idx="4">
                  <c:v>1160</c:v>
                </c:pt>
                <c:pt idx="5">
                  <c:v>1160</c:v>
                </c:pt>
                <c:pt idx="6">
                  <c:v>1160</c:v>
                </c:pt>
                <c:pt idx="7">
                  <c:v>1160</c:v>
                </c:pt>
                <c:pt idx="8">
                  <c:v>1160</c:v>
                </c:pt>
                <c:pt idx="9">
                  <c:v>1160</c:v>
                </c:pt>
                <c:pt idx="10">
                  <c:v>1160</c:v>
                </c:pt>
                <c:pt idx="11">
                  <c:v>1210</c:v>
                </c:pt>
                <c:pt idx="12">
                  <c:v>1280</c:v>
                </c:pt>
                <c:pt idx="13">
                  <c:v>1280</c:v>
                </c:pt>
                <c:pt idx="14">
                  <c:v>1280</c:v>
                </c:pt>
                <c:pt idx="15">
                  <c:v>1310</c:v>
                </c:pt>
                <c:pt idx="16">
                  <c:v>1380</c:v>
                </c:pt>
                <c:pt idx="17">
                  <c:v>1380</c:v>
                </c:pt>
                <c:pt idx="18">
                  <c:v>1380</c:v>
                </c:pt>
                <c:pt idx="19">
                  <c:v>1380</c:v>
                </c:pt>
                <c:pt idx="20">
                  <c:v>1380</c:v>
                </c:pt>
                <c:pt idx="21">
                  <c:v>1380</c:v>
                </c:pt>
                <c:pt idx="22">
                  <c:v>1350</c:v>
                </c:pt>
                <c:pt idx="23">
                  <c:v>1350</c:v>
                </c:pt>
                <c:pt idx="24">
                  <c:v>1350</c:v>
                </c:pt>
                <c:pt idx="25">
                  <c:v>1350</c:v>
                </c:pt>
                <c:pt idx="26">
                  <c:v>1330</c:v>
                </c:pt>
                <c:pt idx="27">
                  <c:v>1330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804-4658-BA44-4C763EAE1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lineChart>
        <c:grouping val="standard"/>
        <c:varyColors val="0"/>
        <c:ser>
          <c:idx val="3"/>
          <c:order val="1"/>
          <c:tx>
            <c:strRef>
              <c:f>'Ma trận PET- Fiber'!$AU$14</c:f>
              <c:strCache>
                <c:ptCount val="1"/>
                <c:pt idx="0">
                  <c:v>Đối thủ CHORI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Fiber'!$BM$5:$GI$5</c:f>
              <c:strCache>
                <c:ptCount val="26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</c:strCache>
            </c:strRef>
          </c:cat>
          <c:val>
            <c:numRef>
              <c:f>'Ma trận PET- Fiber'!$AV$14:$CM$14</c:f>
            </c:numRef>
          </c:val>
          <c:smooth val="0"/>
          <c:extLst>
            <c:ext xmlns:c16="http://schemas.microsoft.com/office/drawing/2014/chart" uri="{C3380CC4-5D6E-409C-BE32-E72D297353CC}">
              <c16:uniqueId val="{00000051-4CCB-4527-97D7-47C7E1671784}"/>
            </c:ext>
          </c:extLst>
        </c:ser>
        <c:ser>
          <c:idx val="4"/>
          <c:order val="2"/>
          <c:tx>
            <c:strRef>
              <c:f>'Ma trận PET- Fiber'!$AU$15</c:f>
              <c:strCache>
                <c:ptCount val="1"/>
                <c:pt idx="0">
                  <c:v>Đối thủ Hyosung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CD8D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Fiber'!$BM$5:$GI$5</c:f>
              <c:strCache>
                <c:ptCount val="26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</c:strCache>
            </c:strRef>
          </c:cat>
          <c:val>
            <c:numRef>
              <c:f>'Ma trận PET- Fiber'!$AV$15:$CM$15</c:f>
            </c:numRef>
          </c:val>
          <c:smooth val="0"/>
          <c:extLst>
            <c:ext xmlns:c16="http://schemas.microsoft.com/office/drawing/2014/chart" uri="{C3380CC4-5D6E-409C-BE32-E72D297353CC}">
              <c16:uniqueId val="{00000052-4CCB-4527-97D7-47C7E1671784}"/>
            </c:ext>
          </c:extLst>
        </c:ser>
        <c:ser>
          <c:idx val="6"/>
          <c:order val="3"/>
          <c:tx>
            <c:strRef>
              <c:f>'Ma trận PET- Fiber'!$AU$7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1.8952490994626155E-2"/>
                  <c:y val="4.0134896058328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69-468C-8E2D-2DFBE710894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Fiber'!$BM$5:$GI$5</c:f>
              <c:strCache>
                <c:ptCount val="26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</c:strCache>
            </c:strRef>
          </c:cat>
          <c:val>
            <c:numRef>
              <c:f>'Ma trận PET- Fiber'!$AV$7:$GK$7</c:f>
              <c:numCache>
                <c:formatCode>"$"#,##0_);\("$"#,##0\)</c:formatCode>
                <c:ptCount val="28"/>
                <c:pt idx="0">
                  <c:v>1030</c:v>
                </c:pt>
                <c:pt idx="1">
                  <c:v>1030</c:v>
                </c:pt>
                <c:pt idx="2">
                  <c:v>1030</c:v>
                </c:pt>
                <c:pt idx="3">
                  <c:v>1030</c:v>
                </c:pt>
                <c:pt idx="4">
                  <c:v>1030</c:v>
                </c:pt>
                <c:pt idx="5">
                  <c:v>1030</c:v>
                </c:pt>
                <c:pt idx="6">
                  <c:v>1030</c:v>
                </c:pt>
                <c:pt idx="7">
                  <c:v>1030</c:v>
                </c:pt>
                <c:pt idx="8">
                  <c:v>1030</c:v>
                </c:pt>
                <c:pt idx="9">
                  <c:v>1030</c:v>
                </c:pt>
                <c:pt idx="10">
                  <c:v>1030</c:v>
                </c:pt>
                <c:pt idx="11">
                  <c:v>1080</c:v>
                </c:pt>
                <c:pt idx="12">
                  <c:v>1150</c:v>
                </c:pt>
                <c:pt idx="13">
                  <c:v>1150</c:v>
                </c:pt>
                <c:pt idx="14">
                  <c:v>1150</c:v>
                </c:pt>
                <c:pt idx="15">
                  <c:v>1180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1250</c:v>
                </c:pt>
                <c:pt idx="20">
                  <c:v>1250</c:v>
                </c:pt>
                <c:pt idx="21">
                  <c:v>1250</c:v>
                </c:pt>
                <c:pt idx="22">
                  <c:v>1220</c:v>
                </c:pt>
                <c:pt idx="23">
                  <c:v>1220</c:v>
                </c:pt>
                <c:pt idx="24">
                  <c:v>1220</c:v>
                </c:pt>
                <c:pt idx="25">
                  <c:v>1220</c:v>
                </c:pt>
                <c:pt idx="26">
                  <c:v>1200</c:v>
                </c:pt>
                <c:pt idx="27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CCB-4527-97D7-47C7E1671784}"/>
            </c:ext>
          </c:extLst>
        </c:ser>
        <c:ser>
          <c:idx val="0"/>
          <c:order val="4"/>
          <c:tx>
            <c:strRef>
              <c:f>'Ma trận PET- Fiber'!$AU$9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1628136782102705E-2"/>
                  <c:y val="-3.5399215107493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71-42E1-8C2B-5FCA6B7FAD74}"/>
                </c:ext>
              </c:extLst>
            </c:dLbl>
            <c:dLbl>
              <c:idx val="14"/>
              <c:layout>
                <c:manualLayout>
                  <c:x val="-1.8060609065467154E-2"/>
                  <c:y val="-3.5399215107493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71-42E1-8C2B-5FCA6B7FAD7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Fiber'!$BM$5:$GI$5</c:f>
              <c:strCache>
                <c:ptCount val="26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</c:strCache>
            </c:strRef>
          </c:cat>
          <c:val>
            <c:numRef>
              <c:f>'Ma trận PET- Fiber'!$AV$9:$GK$9</c:f>
              <c:numCache>
                <c:formatCode>"$"#,##0_);\("$"#,##0\)</c:formatCode>
                <c:ptCount val="28"/>
                <c:pt idx="0">
                  <c:v>795</c:v>
                </c:pt>
                <c:pt idx="1">
                  <c:v>795</c:v>
                </c:pt>
                <c:pt idx="2">
                  <c:v>795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840</c:v>
                </c:pt>
                <c:pt idx="7">
                  <c:v>840</c:v>
                </c:pt>
                <c:pt idx="8">
                  <c:v>840</c:v>
                </c:pt>
                <c:pt idx="9">
                  <c:v>935</c:v>
                </c:pt>
                <c:pt idx="10">
                  <c:v>1080</c:v>
                </c:pt>
                <c:pt idx="11">
                  <c:v>1280</c:v>
                </c:pt>
                <c:pt idx="12">
                  <c:v>1140</c:v>
                </c:pt>
                <c:pt idx="13">
                  <c:v>1140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1230</c:v>
                </c:pt>
                <c:pt idx="18">
                  <c:v>1250</c:v>
                </c:pt>
                <c:pt idx="19">
                  <c:v>1230</c:v>
                </c:pt>
                <c:pt idx="20">
                  <c:v>1190</c:v>
                </c:pt>
                <c:pt idx="21">
                  <c:v>1160</c:v>
                </c:pt>
                <c:pt idx="22">
                  <c:v>1140</c:v>
                </c:pt>
                <c:pt idx="23">
                  <c:v>1140</c:v>
                </c:pt>
                <c:pt idx="24">
                  <c:v>1090</c:v>
                </c:pt>
                <c:pt idx="25">
                  <c:v>1040</c:v>
                </c:pt>
                <c:pt idx="26">
                  <c:v>990</c:v>
                </c:pt>
                <c:pt idx="27">
                  <c:v>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E67-4D54-A958-B92AD9232860}"/>
            </c:ext>
          </c:extLst>
        </c:ser>
        <c:ser>
          <c:idx val="5"/>
          <c:order val="7"/>
          <c:tx>
            <c:strRef>
              <c:f>'Ma trận PET- Fiber'!$AU$13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Fiber'!$BM$5:$GI$5</c:f>
              <c:strCache>
                <c:ptCount val="26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</c:strCache>
            </c:strRef>
          </c:cat>
          <c:val>
            <c:numRef>
              <c:f>'Ma trận PET- Fiber'!$AV$13:$GK$13</c:f>
              <c:numCache>
                <c:formatCode>_(* #,##0_);_(* \(#,##0\);_(* "-"??_);_(@_)</c:formatCode>
                <c:ptCount val="28"/>
                <c:pt idx="0">
                  <c:v>646.08292221736849</c:v>
                </c:pt>
                <c:pt idx="1">
                  <c:v>646.08292221736849</c:v>
                </c:pt>
                <c:pt idx="2">
                  <c:v>646.08292221736849</c:v>
                </c:pt>
                <c:pt idx="3">
                  <c:v>646.08292221736849</c:v>
                </c:pt>
                <c:pt idx="4">
                  <c:v>646.08292221736849</c:v>
                </c:pt>
                <c:pt idx="5">
                  <c:v>621.38247673824969</c:v>
                </c:pt>
                <c:pt idx="6">
                  <c:v>621.38247673824969</c:v>
                </c:pt>
                <c:pt idx="7">
                  <c:v>621.38247673824969</c:v>
                </c:pt>
                <c:pt idx="8">
                  <c:v>621.38247673824969</c:v>
                </c:pt>
                <c:pt idx="9">
                  <c:v>578.95337311294793</c:v>
                </c:pt>
                <c:pt idx="10">
                  <c:v>578.95337311294793</c:v>
                </c:pt>
                <c:pt idx="11">
                  <c:v>578.95337311294793</c:v>
                </c:pt>
                <c:pt idx="12">
                  <c:v>578.95337311294793</c:v>
                </c:pt>
                <c:pt idx="13">
                  <c:v>592.33348263164464</c:v>
                </c:pt>
                <c:pt idx="14">
                  <c:v>592.33348263164464</c:v>
                </c:pt>
                <c:pt idx="15">
                  <c:v>592.33348263164464</c:v>
                </c:pt>
                <c:pt idx="16">
                  <c:v>592.33348263164464</c:v>
                </c:pt>
                <c:pt idx="17">
                  <c:v>592.33348263164464</c:v>
                </c:pt>
                <c:pt idx="18">
                  <c:v>590.22158959460091</c:v>
                </c:pt>
                <c:pt idx="19">
                  <c:v>590.22158959460091</c:v>
                </c:pt>
                <c:pt idx="20">
                  <c:v>590.22158959460091</c:v>
                </c:pt>
                <c:pt idx="21">
                  <c:v>590.22158959460091</c:v>
                </c:pt>
                <c:pt idx="22">
                  <c:v>580.70606487135785</c:v>
                </c:pt>
                <c:pt idx="23">
                  <c:v>580.70606487135785</c:v>
                </c:pt>
                <c:pt idx="24">
                  <c:v>580.70606487135785</c:v>
                </c:pt>
                <c:pt idx="25">
                  <c:v>580.70606487135785</c:v>
                </c:pt>
                <c:pt idx="26">
                  <c:v>590.83413876263489</c:v>
                </c:pt>
                <c:pt idx="27">
                  <c:v>590.83413876263489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4CCB-4527-97D7-47C7E1671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5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200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639D6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7753969524183795"/>
          <c:y val="0.14160189442153565"/>
          <c:w val="0.10726097886770733"/>
          <c:h val="0.75312978539248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2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2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 THỔI</a:t>
            </a:r>
            <a:r>
              <a:rPr lang="en-US" sz="22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&amp;2026 (USD/tấn)</a:t>
            </a:r>
            <a:endParaRPr lang="en-US" sz="2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6273947803555037"/>
          <c:y val="1.28172112607779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211187348356736E-2"/>
          <c:y val="0.12548660011418883"/>
          <c:w val="0.80562467161494256"/>
          <c:h val="0.77557344530558303"/>
        </c:manualLayout>
      </c:layout>
      <c:areaChart>
        <c:grouping val="stacked"/>
        <c:varyColors val="0"/>
        <c:ser>
          <c:idx val="16"/>
          <c:order val="13"/>
          <c:tx>
            <c:strRef>
              <c:f>'Ma trận HDPE thổi'!$H$25</c:f>
              <c:strCache>
                <c:ptCount val="1"/>
                <c:pt idx="0">
                  <c:v> TTCP 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val>
            <c:numRef>
              <c:f>'Ma trận HDPE thổi'!$U$25:$CB$25</c:f>
              <c:numCache>
                <c:formatCode>"$"#,##0_);\("$"#,##0\)</c:formatCode>
                <c:ptCount val="19"/>
                <c:pt idx="0">
                  <c:v>940</c:v>
                </c:pt>
                <c:pt idx="1">
                  <c:v>918</c:v>
                </c:pt>
                <c:pt idx="2">
                  <c:v>896</c:v>
                </c:pt>
                <c:pt idx="3">
                  <c:v>891.5</c:v>
                </c:pt>
                <c:pt idx="4">
                  <c:v>864</c:v>
                </c:pt>
                <c:pt idx="5">
                  <c:v>833</c:v>
                </c:pt>
                <c:pt idx="6">
                  <c:v>833</c:v>
                </c:pt>
                <c:pt idx="7">
                  <c:v>815</c:v>
                </c:pt>
                <c:pt idx="8">
                  <c:v>812.5</c:v>
                </c:pt>
                <c:pt idx="9">
                  <c:v>805</c:v>
                </c:pt>
                <c:pt idx="10">
                  <c:v>805</c:v>
                </c:pt>
                <c:pt idx="11">
                  <c:v>802.5</c:v>
                </c:pt>
                <c:pt idx="12">
                  <c:v>800</c:v>
                </c:pt>
                <c:pt idx="13">
                  <c:v>800</c:v>
                </c:pt>
                <c:pt idx="14">
                  <c:v>1331.25</c:v>
                </c:pt>
                <c:pt idx="15">
                  <c:v>1590</c:v>
                </c:pt>
                <c:pt idx="16">
                  <c:v>1500</c:v>
                </c:pt>
                <c:pt idx="17">
                  <c:v>1320</c:v>
                </c:pt>
                <c:pt idx="18">
                  <c:v>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C-433E-B398-94E83FF47F3E}"/>
            </c:ext>
          </c:extLst>
        </c:ser>
        <c:ser>
          <c:idx val="17"/>
          <c:order val="18"/>
          <c:tx>
            <c:strRef>
              <c:f>'Ma trận HDPE thổi'!$H$26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'Ma trận HDPE thổi'!$U$26:$CB$26</c:f>
              <c:numCache>
                <c:formatCode>"$"#,##0_);\("$"#,##0\)</c:formatCode>
                <c:ptCount val="19"/>
                <c:pt idx="0">
                  <c:v>460</c:v>
                </c:pt>
                <c:pt idx="1">
                  <c:v>482</c:v>
                </c:pt>
                <c:pt idx="2">
                  <c:v>454</c:v>
                </c:pt>
                <c:pt idx="3">
                  <c:v>458.5</c:v>
                </c:pt>
                <c:pt idx="4">
                  <c:v>486</c:v>
                </c:pt>
                <c:pt idx="5">
                  <c:v>517</c:v>
                </c:pt>
                <c:pt idx="6">
                  <c:v>517</c:v>
                </c:pt>
                <c:pt idx="7">
                  <c:v>515</c:v>
                </c:pt>
                <c:pt idx="8">
                  <c:v>497.5</c:v>
                </c:pt>
                <c:pt idx="9">
                  <c:v>505</c:v>
                </c:pt>
                <c:pt idx="10">
                  <c:v>495</c:v>
                </c:pt>
                <c:pt idx="11">
                  <c:v>497.5</c:v>
                </c:pt>
                <c:pt idx="12">
                  <c:v>500</c:v>
                </c:pt>
                <c:pt idx="13">
                  <c:v>500</c:v>
                </c:pt>
                <c:pt idx="14">
                  <c:v>-31.25</c:v>
                </c:pt>
                <c:pt idx="15">
                  <c:v>-190</c:v>
                </c:pt>
                <c:pt idx="16">
                  <c:v>-30</c:v>
                </c:pt>
                <c:pt idx="17">
                  <c:v>130</c:v>
                </c:pt>
                <c:pt idx="18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9C-433E-B398-94E83FF47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7"/>
          <c:order val="11"/>
          <c:tx>
            <c:strRef>
              <c:f>'Ma trận HDPE thổi'!$H$14</c:f>
              <c:strCache>
                <c:ptCount val="1"/>
                <c:pt idx="0">
                  <c:v>DTR-Giá FOB rHD xuất xưởng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'Ma trận HDPE thổi'!$I$5:$AW$5</c:f>
            </c:multiLvlStrRef>
          </c:cat>
          <c:val>
            <c:numRef>
              <c:f>'Ma trận HDPE thổi'!$I$14:$AM$14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DAC2-4624-A7B2-21F9AB8BB5CB}"/>
            </c:ext>
          </c:extLst>
        </c:ser>
        <c:ser>
          <c:idx val="9"/>
          <c:order val="14"/>
          <c:tx>
            <c:strRef>
              <c:f>'Ma trận HDPE thổi'!$H$15</c:f>
              <c:strCache>
                <c:ptCount val="1"/>
                <c:pt idx="0">
                  <c:v>Giá Dafon CIF_ĐNÁ rHD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'Ma trận HDPE thổi'!$I$5:$AW$5</c:f>
            </c:multiLvlStrRef>
          </c:cat>
          <c:val>
            <c:numRef>
              <c:f>'Ma trận HDPE thổi'!$I$15:$AM$15</c:f>
            </c:numRef>
          </c:val>
          <c:smooth val="0"/>
          <c:extLst>
            <c:ext xmlns:c16="http://schemas.microsoft.com/office/drawing/2014/chart" uri="{C3380CC4-5D6E-409C-BE32-E72D297353CC}">
              <c16:uniqueId val="{00000029-DAC2-4624-A7B2-21F9AB8BB5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0"/>
          <c:tx>
            <c:strRef>
              <c:f>'Ma trận HDPE thổi'!$H$9</c:f>
              <c:strCache>
                <c:ptCount val="1"/>
                <c:pt idx="0">
                  <c:v>DTR (personal care)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741176572925179E-2"/>
                  <c:y val="-2.1362018767963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82-424B-A58D-0C5D6CD0F2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26-4E74-BA7E-A2E754F0EAB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26-4E74-BA7E-A2E754F0EAB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F7-4985-BE94-C688CEE8534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8A-42D7-B4BB-1620A3ABA0B3}"/>
                </c:ext>
              </c:extLst>
            </c:dLbl>
            <c:dLbl>
              <c:idx val="7"/>
              <c:layout>
                <c:manualLayout>
                  <c:x val="-2.3789090619865148E-2"/>
                  <c:y val="-2.11463067050350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0B-4F80-889D-2C5DBB258810}"/>
                </c:ext>
              </c:extLst>
            </c:dLbl>
            <c:dLbl>
              <c:idx val="8"/>
              <c:layout>
                <c:manualLayout>
                  <c:x val="-1.5641050110050587E-2"/>
                  <c:y val="-2.33044486319982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D5-45E2-A197-908ECDF60A25}"/>
                </c:ext>
              </c:extLst>
            </c:dLbl>
            <c:dLbl>
              <c:idx val="9"/>
              <c:layout>
                <c:manualLayout>
                  <c:x val="-4.2645722047241459E-3"/>
                  <c:y val="-2.76638143045124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F7-4985-BE94-C688CEE8534C}"/>
                </c:ext>
              </c:extLst>
            </c:dLbl>
            <c:dLbl>
              <c:idx val="10"/>
              <c:layout>
                <c:manualLayout>
                  <c:x val="-7.5137700749899521E-3"/>
                  <c:y val="-2.98000161813087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8A-42D7-B4BB-1620A3ABA0B3}"/>
                </c:ext>
              </c:extLst>
            </c:dLbl>
            <c:dLbl>
              <c:idx val="11"/>
              <c:layout>
                <c:manualLayout>
                  <c:x val="-1.5433689883763145E-2"/>
                  <c:y val="-2.99068262751484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95-477E-AEE3-5BC118CE4382}"/>
                </c:ext>
              </c:extLst>
            </c:dLbl>
            <c:dLbl>
              <c:idx val="12"/>
              <c:layout>
                <c:manualLayout>
                  <c:x val="-6.7014706074234702E-3"/>
                  <c:y val="-1.69828049205307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98C-4C1A-AA94-70C8DA044A93}"/>
                </c:ext>
              </c:extLst>
            </c:dLbl>
            <c:dLbl>
              <c:idx val="13"/>
              <c:layout>
                <c:manualLayout>
                  <c:x val="-9.138369010122915E-3"/>
                  <c:y val="-1.4846603043734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F1-4AC4-ADD8-249243984DF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9C-4594-990C-C2BBC7C05135}"/>
                </c:ext>
              </c:extLst>
            </c:dLbl>
            <c:dLbl>
              <c:idx val="15"/>
              <c:layout>
                <c:manualLayout>
                  <c:x val="-2.2135160491186613E-2"/>
                  <c:y val="-2.3391410550919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13D-428D-BE19-D13A992BEE54}"/>
                </c:ext>
              </c:extLst>
            </c:dLbl>
            <c:dLbl>
              <c:idx val="16"/>
              <c:layout>
                <c:manualLayout>
                  <c:x val="-2.4572058893886178E-2"/>
                  <c:y val="-2.12552086741234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B9-4871-AA85-A69FBAD23C89}"/>
                </c:ext>
              </c:extLst>
            </c:dLbl>
            <c:dLbl>
              <c:idx val="17"/>
              <c:layout>
                <c:manualLayout>
                  <c:x val="-1.4012165815521921E-2"/>
                  <c:y val="-2.55276124277160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D8-46BC-915F-E1DD48D40CDC}"/>
                </c:ext>
              </c:extLst>
            </c:dLbl>
            <c:dLbl>
              <c:idx val="18"/>
              <c:layout>
                <c:manualLayout>
                  <c:x val="-1.319986634795544E-2"/>
                  <c:y val="-1.69828049205307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9B7-44F2-8819-4447442F25B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thổi'!$I$9:$CB$9</c:f>
              <c:numCache>
                <c:formatCode>"$"#,##0_);\("$"#,##0\)</c:formatCode>
                <c:ptCount val="19"/>
                <c:pt idx="0">
                  <c:v>1400</c:v>
                </c:pt>
                <c:pt idx="1">
                  <c:v>1400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1330</c:v>
                </c:pt>
                <c:pt idx="8">
                  <c:v>1310</c:v>
                </c:pt>
                <c:pt idx="9">
                  <c:v>1310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  <c:pt idx="15">
                  <c:v>1400</c:v>
                </c:pt>
                <c:pt idx="16">
                  <c:v>1470</c:v>
                </c:pt>
                <c:pt idx="17">
                  <c:v>1450</c:v>
                </c:pt>
                <c:pt idx="18">
                  <c:v>1430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DAC2-4624-A7B2-21F9AB8BB5CB}"/>
            </c:ext>
          </c:extLst>
        </c:ser>
        <c:ser>
          <c:idx val="8"/>
          <c:order val="1"/>
          <c:tx>
            <c:strRef>
              <c:f>'Ma trận HDPE thổi'!$F$18</c:f>
              <c:strCache>
                <c:ptCount val="1"/>
                <c:pt idx="0">
                  <c:v>Dafon FOB (personal care)</c:v>
                </c:pt>
              </c:strCache>
            </c:strRef>
          </c:tx>
          <c:spPr>
            <a:ln w="508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2A-4144-9824-175C2E7749E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2A-4144-9824-175C2E7749EE}"/>
                </c:ext>
              </c:extLst>
            </c:dLbl>
            <c:dLbl>
              <c:idx val="2"/>
              <c:layout>
                <c:manualLayout>
                  <c:x val="-1.7398065610446822E-2"/>
                  <c:y val="-2.77346032664028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2A-4144-9824-175C2E7749EE}"/>
                </c:ext>
              </c:extLst>
            </c:dLbl>
            <c:dLbl>
              <c:idx val="6"/>
              <c:layout>
                <c:manualLayout>
                  <c:x val="-1.8909277159379893E-2"/>
                  <c:y val="-2.13588324005631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119-469A-B341-2BB860111904}"/>
                </c:ext>
              </c:extLst>
            </c:dLbl>
            <c:dLbl>
              <c:idx val="7"/>
              <c:layout>
                <c:manualLayout>
                  <c:x val="-9.1496502384097456E-3"/>
                  <c:y val="-2.3484089355842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5A-478A-930D-92C2131C09E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5A-478A-930D-92C2131C09EB}"/>
                </c:ext>
              </c:extLst>
            </c:dLbl>
            <c:dLbl>
              <c:idx val="9"/>
              <c:layout>
                <c:manualLayout>
                  <c:x val="-1.969826208848717E-2"/>
                  <c:y val="-2.14688288618031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9C-4594-990C-C2BBC7C05135}"/>
                </c:ext>
              </c:extLst>
            </c:dLbl>
            <c:dLbl>
              <c:idx val="10"/>
              <c:layout>
                <c:manualLayout>
                  <c:x val="-1.9698262088487292E-2"/>
                  <c:y val="-2.14688288618031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9C-4594-990C-C2BBC7C05135}"/>
                </c:ext>
              </c:extLst>
            </c:dLbl>
            <c:dLbl>
              <c:idx val="11"/>
              <c:layout>
                <c:manualLayout>
                  <c:x val="-1.9698262088487292E-2"/>
                  <c:y val="-1.9332626985006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9C-4594-990C-C2BBC7C05135}"/>
                </c:ext>
              </c:extLst>
            </c:dLbl>
            <c:dLbl>
              <c:idx val="12"/>
              <c:layout>
                <c:manualLayout>
                  <c:x val="-1.969826208848717E-2"/>
                  <c:y val="-2.14688288618030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9C-4594-990C-C2BBC7C05135}"/>
                </c:ext>
              </c:extLst>
            </c:dLbl>
            <c:dLbl>
              <c:idx val="13"/>
              <c:layout>
                <c:manualLayout>
                  <c:x val="-1.9698262088487292E-2"/>
                  <c:y val="-2.78774344921920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69C-4594-990C-C2BBC7C05135}"/>
                </c:ext>
              </c:extLst>
            </c:dLbl>
            <c:dLbl>
              <c:idx val="14"/>
              <c:layout>
                <c:manualLayout>
                  <c:x val="-8.3260695425564323E-3"/>
                  <c:y val="8.437997413345475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3D-428D-BE19-D13A992BEE54}"/>
                </c:ext>
              </c:extLst>
            </c:dLbl>
            <c:dLbl>
              <c:idx val="15"/>
              <c:layout>
                <c:manualLayout>
                  <c:x val="-9.138369010122915E-3"/>
                  <c:y val="-3.85584438761736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92-4264-B855-F28A71B6FA6B}"/>
                </c:ext>
              </c:extLst>
            </c:dLbl>
            <c:dLbl>
              <c:idx val="16"/>
              <c:layout>
                <c:manualLayout>
                  <c:x val="-2.6399732695911835E-3"/>
                  <c:y val="1.4846603043734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B9-4871-AA85-A69FBAD23C8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D8-46BC-915F-E1DD48D40CD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5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thổi'!$U$18:$CB$18</c:f>
              <c:numCache>
                <c:formatCode>"$"#,##0_);\("$"#,##0\)</c:formatCode>
                <c:ptCount val="19"/>
                <c:pt idx="0">
                  <c:v>1424.25</c:v>
                </c:pt>
                <c:pt idx="1">
                  <c:v>1414.5</c:v>
                </c:pt>
                <c:pt idx="2">
                  <c:v>1405.5</c:v>
                </c:pt>
                <c:pt idx="3">
                  <c:v>1398</c:v>
                </c:pt>
                <c:pt idx="4">
                  <c:v>1398</c:v>
                </c:pt>
                <c:pt idx="5">
                  <c:v>1398</c:v>
                </c:pt>
                <c:pt idx="6">
                  <c:v>1398</c:v>
                </c:pt>
                <c:pt idx="7">
                  <c:v>1279</c:v>
                </c:pt>
                <c:pt idx="8">
                  <c:v>1160</c:v>
                </c:pt>
                <c:pt idx="9">
                  <c:v>1160</c:v>
                </c:pt>
                <c:pt idx="10">
                  <c:v>1160</c:v>
                </c:pt>
                <c:pt idx="11">
                  <c:v>1170</c:v>
                </c:pt>
                <c:pt idx="12">
                  <c:v>1158</c:v>
                </c:pt>
                <c:pt idx="13">
                  <c:v>1150</c:v>
                </c:pt>
                <c:pt idx="14">
                  <c:v>1170</c:v>
                </c:pt>
                <c:pt idx="15">
                  <c:v>1314</c:v>
                </c:pt>
                <c:pt idx="16">
                  <c:v>1350</c:v>
                </c:pt>
                <c:pt idx="17">
                  <c:v>1355</c:v>
                </c:pt>
                <c:pt idx="18">
                  <c:v>1350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DAC2-4624-A7B2-21F9AB8BB5CB}"/>
            </c:ext>
          </c:extLst>
        </c:ser>
        <c:ser>
          <c:idx val="2"/>
          <c:order val="2"/>
          <c:tx>
            <c:strRef>
              <c:f>'Ma trận HDPE thổi'!$H$10</c:f>
              <c:strCache>
                <c:ptCount val="1"/>
                <c:pt idx="0">
                  <c:v>DTR (Home care)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381149842516241E-2"/>
                  <c:y val="-8.651617601025146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9C-4594-990C-C2BBC7C05135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B2A-4144-9824-175C2E7749EE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2A-4144-9824-175C2E7749EE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B2A-4144-9824-175C2E7749EE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B2A-4144-9824-175C2E7749EE}"/>
                </c:ext>
              </c:extLst>
            </c:dLbl>
            <c:dLbl>
              <c:idx val="1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F1-4AC4-ADD8-249243984DFF}"/>
                </c:ext>
              </c:extLst>
            </c:dLbl>
            <c:dLbl>
              <c:idx val="14"/>
              <c:layout>
                <c:manualLayout>
                  <c:x val="-1.6449064218221246E-2"/>
                  <c:y val="-3.2149838245784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9C-4594-990C-C2BBC7C05135}"/>
                </c:ext>
              </c:extLst>
            </c:dLbl>
            <c:dLbl>
              <c:idx val="15"/>
              <c:layout>
                <c:manualLayout>
                  <c:x val="-3.1070454634418029E-2"/>
                  <c:y val="-1.9332626985006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3D-428D-BE19-D13A992BEE54}"/>
                </c:ext>
              </c:extLst>
            </c:dLbl>
            <c:dLbl>
              <c:idx val="16"/>
              <c:layout>
                <c:manualLayout>
                  <c:x val="-1.6449064218221364E-2"/>
                  <c:y val="-2.5741232615395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B9-4871-AA85-A69FBAD23C89}"/>
                </c:ext>
              </c:extLst>
            </c:dLbl>
            <c:dLbl>
              <c:idx val="17"/>
              <c:layout>
                <c:manualLayout>
                  <c:x val="-1.4824465283088402E-2"/>
                  <c:y val="0.132337706267532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D8-46BC-915F-E1DD48D40CDC}"/>
                </c:ext>
              </c:extLst>
            </c:dLbl>
            <c:dLbl>
              <c:idx val="18"/>
              <c:layout>
                <c:manualLayout>
                  <c:x val="-1.0762967945255997E-2"/>
                  <c:y val="2.76638143045123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FE-4091-AA93-983C3FF0651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thổi'!$I$10:$CB$10</c:f>
              <c:numCache>
                <c:formatCode>"$"#,##0_);\("$"#,##0\)</c:formatCode>
                <c:ptCount val="19"/>
                <c:pt idx="0">
                  <c:v>1350</c:v>
                </c:pt>
                <c:pt idx="1">
                  <c:v>1300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1250</c:v>
                </c:pt>
                <c:pt idx="7">
                  <c:v>1230</c:v>
                </c:pt>
                <c:pt idx="8">
                  <c:v>1210</c:v>
                </c:pt>
                <c:pt idx="9">
                  <c:v>1210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1300</c:v>
                </c:pt>
                <c:pt idx="16">
                  <c:v>1370</c:v>
                </c:pt>
                <c:pt idx="17">
                  <c:v>1350</c:v>
                </c:pt>
                <c:pt idx="18">
                  <c:v>1330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DAC2-4624-A7B2-21F9AB8BB5CB}"/>
            </c:ext>
          </c:extLst>
        </c:ser>
        <c:ser>
          <c:idx val="13"/>
          <c:order val="3"/>
          <c:tx>
            <c:strRef>
              <c:f>'Ma trận HDPE thổi'!$H$22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2.457205889388606E-2"/>
                  <c:y val="-5.99204626441368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13A-42DB-AC50-8A0A42B8502E}"/>
                </c:ext>
              </c:extLst>
            </c:dLbl>
            <c:dLbl>
              <c:idx val="17"/>
              <c:layout>
                <c:manualLayout>
                  <c:x val="-1.969826208848717E-2"/>
                  <c:y val="-7.2737673904914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1E-4EE0-ABCF-3401A1D9BC89}"/>
                </c:ext>
              </c:extLst>
            </c:dLbl>
            <c:dLbl>
              <c:idx val="18"/>
              <c:layout>
                <c:manualLayout>
                  <c:x val="-2.6399732695911835E-3"/>
                  <c:y val="4.165593659752751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CD-4513-A223-C6C12822BDD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thổi'!$I$22:$CB$22</c:f>
              <c:numCache>
                <c:formatCode>"$"#,##0_);\("$"#,##0\)</c:formatCode>
                <c:ptCount val="19"/>
                <c:pt idx="0">
                  <c:v>940</c:v>
                </c:pt>
                <c:pt idx="1">
                  <c:v>918</c:v>
                </c:pt>
                <c:pt idx="2">
                  <c:v>896</c:v>
                </c:pt>
                <c:pt idx="3">
                  <c:v>891.5</c:v>
                </c:pt>
                <c:pt idx="4">
                  <c:v>864</c:v>
                </c:pt>
                <c:pt idx="5">
                  <c:v>833</c:v>
                </c:pt>
                <c:pt idx="6">
                  <c:v>833</c:v>
                </c:pt>
                <c:pt idx="7">
                  <c:v>815</c:v>
                </c:pt>
                <c:pt idx="8">
                  <c:v>812.5</c:v>
                </c:pt>
                <c:pt idx="9">
                  <c:v>805</c:v>
                </c:pt>
                <c:pt idx="10">
                  <c:v>805</c:v>
                </c:pt>
                <c:pt idx="11">
                  <c:v>802.5</c:v>
                </c:pt>
                <c:pt idx="12">
                  <c:v>800</c:v>
                </c:pt>
                <c:pt idx="13">
                  <c:v>800</c:v>
                </c:pt>
                <c:pt idx="14">
                  <c:v>1331.25</c:v>
                </c:pt>
                <c:pt idx="15">
                  <c:v>1590</c:v>
                </c:pt>
                <c:pt idx="16">
                  <c:v>1500</c:v>
                </c:pt>
                <c:pt idx="17">
                  <c:v>1320</c:v>
                </c:pt>
                <c:pt idx="18">
                  <c:v>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AC2-4624-A7B2-21F9AB8BB5CB}"/>
            </c:ext>
          </c:extLst>
        </c:ser>
        <c:ser>
          <c:idx val="3"/>
          <c:order val="4"/>
          <c:tx>
            <c:strRef>
              <c:f>'Ma trận HDPE thổi'!$H$24</c:f>
              <c:strCache>
                <c:ptCount val="1"/>
                <c:pt idx="0">
                  <c:v> Giá bán Unilever </c:v>
                </c:pt>
              </c:strCache>
            </c:strRef>
          </c:tx>
          <c:spPr>
            <a:ln w="50800" cap="rnd">
              <a:solidFill>
                <a:srgbClr val="2CD8D4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2A-4144-9824-175C2E7749EE}"/>
                </c:ext>
              </c:extLst>
            </c:dLbl>
            <c:dLbl>
              <c:idx val="4"/>
              <c:layout>
                <c:manualLayout>
                  <c:x val="-1.9698262088487201E-2"/>
                  <c:y val="-2.14688288618030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2B-45CC-9BB8-39E43C937ED7}"/>
                </c:ext>
              </c:extLst>
            </c:dLbl>
            <c:dLbl>
              <c:idx val="5"/>
              <c:layout>
                <c:manualLayout>
                  <c:x val="-2.0510561556053651E-2"/>
                  <c:y val="-1.71964251082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32B-45CC-9BB8-39E43C937ED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119-469A-B341-2BB8601119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2A-4144-9824-175C2E7749EE}"/>
                </c:ext>
              </c:extLst>
            </c:dLbl>
            <c:dLbl>
              <c:idx val="14"/>
              <c:layout>
                <c:manualLayout>
                  <c:x val="-2.7821256764151984E-2"/>
                  <c:y val="-3.2149838245784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32B-45CC-9BB8-39E43C937ED7}"/>
                </c:ext>
              </c:extLst>
            </c:dLbl>
            <c:dLbl>
              <c:idx val="15"/>
              <c:layout>
                <c:manualLayout>
                  <c:x val="-9.950668477689396E-3"/>
                  <c:y val="-1.9332626985006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3D-428D-BE19-D13A992BEE54}"/>
                </c:ext>
              </c:extLst>
            </c:dLbl>
            <c:dLbl>
              <c:idx val="16"/>
              <c:layout>
                <c:manualLayout>
                  <c:x val="-1.6449064218221364E-2"/>
                  <c:y val="-1.9332626985006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35-4E87-BB06-82FA3F2A6FE1}"/>
                </c:ext>
              </c:extLst>
            </c:dLbl>
            <c:dLbl>
              <c:idx val="17"/>
              <c:layout>
                <c:manualLayout>
                  <c:x val="-1.4824465283088402E-2"/>
                  <c:y val="0.1302015043907358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1E-4EE0-ABCF-3401A1D9BC89}"/>
                </c:ext>
              </c:extLst>
            </c:dLbl>
            <c:dLbl>
              <c:idx val="18"/>
              <c:layout>
                <c:manualLayout>
                  <c:x val="-3.4522727371576645E-3"/>
                  <c:y val="-6.515415724228941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B7-44F2-8819-4447442F25B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thổi'!$U$24:$CB$24</c:f>
              <c:numCache>
                <c:formatCode>_(* #,##0_);_(* \(#,##0\);_(* "-"??_);_(@_)</c:formatCode>
                <c:ptCount val="19"/>
                <c:pt idx="0">
                  <c:v>1430</c:v>
                </c:pt>
                <c:pt idx="1">
                  <c:v>1430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1380</c:v>
                </c:pt>
                <c:pt idx="7">
                  <c:v>1380</c:v>
                </c:pt>
                <c:pt idx="8">
                  <c:v>1380</c:v>
                </c:pt>
                <c:pt idx="9">
                  <c:v>1380</c:v>
                </c:pt>
                <c:pt idx="10">
                  <c:v>1380</c:v>
                </c:pt>
                <c:pt idx="11">
                  <c:v>1380</c:v>
                </c:pt>
                <c:pt idx="12">
                  <c:v>1330</c:v>
                </c:pt>
                <c:pt idx="13">
                  <c:v>1330</c:v>
                </c:pt>
                <c:pt idx="14">
                  <c:v>1330</c:v>
                </c:pt>
                <c:pt idx="15">
                  <c:v>1265</c:v>
                </c:pt>
                <c:pt idx="16">
                  <c:v>1265</c:v>
                </c:pt>
                <c:pt idx="17">
                  <c:v>1265</c:v>
                </c:pt>
                <c:pt idx="18">
                  <c:v>1506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9-45A6-BB67-BE61B66CA177}"/>
            </c:ext>
          </c:extLst>
        </c:ser>
        <c:ser>
          <c:idx val="18"/>
          <c:order val="5"/>
          <c:tx>
            <c:strRef>
              <c:f>'Ma trận HDPE thổi'!$H$28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39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1170455635393326E-2"/>
                  <c:y val="2.55030834633588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C8-4478-979C-FBF3B01BD2B6}"/>
                </c:ext>
              </c:extLst>
            </c:dLbl>
            <c:dLbl>
              <c:idx val="2"/>
              <c:layout>
                <c:manualLayout>
                  <c:x val="-2.2113315879140699E-2"/>
                  <c:y val="2.9753597373918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B2A-4144-9824-175C2E7749EE}"/>
                </c:ext>
              </c:extLst>
            </c:dLbl>
            <c:dLbl>
              <c:idx val="3"/>
              <c:layout>
                <c:manualLayout>
                  <c:x val="-2.457035097682312E-2"/>
                  <c:y val="2.33778265080789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65A-478A-930D-92C2131C09EB}"/>
                </c:ext>
              </c:extLst>
            </c:dLbl>
            <c:dLbl>
              <c:idx val="4"/>
              <c:layout>
                <c:manualLayout>
                  <c:x val="-1.6266044868283782E-2"/>
                  <c:y val="3.1878854329198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304-4D92-806B-5DCC37E49E16}"/>
                </c:ext>
              </c:extLst>
            </c:dLbl>
            <c:dLbl>
              <c:idx val="5"/>
              <c:layout>
                <c:manualLayout>
                  <c:x val="-1.3826138138041214E-2"/>
                  <c:y val="2.55030834633588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B2A-4144-9824-175C2E7749EE}"/>
                </c:ext>
              </c:extLst>
            </c:dLbl>
            <c:dLbl>
              <c:idx val="7"/>
              <c:layout>
                <c:manualLayout>
                  <c:x val="-4.6358227874608776E-2"/>
                  <c:y val="3.1878854329198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65A-478A-930D-92C2131C09EB}"/>
                </c:ext>
              </c:extLst>
            </c:dLbl>
            <c:dLbl>
              <c:idx val="8"/>
              <c:layout>
                <c:manualLayout>
                  <c:x val="-8.122994675664812E-3"/>
                  <c:y val="2.99068262751485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304-4D92-806B-5DCC37E49E16}"/>
                </c:ext>
              </c:extLst>
            </c:dLbl>
            <c:dLbl>
              <c:idx val="9"/>
              <c:layout>
                <c:manualLayout>
                  <c:x val="-2.0307486689162092E-2"/>
                  <c:y val="-2.77706243983522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B2A-4144-9824-175C2E7749EE}"/>
                </c:ext>
              </c:extLst>
            </c:dLbl>
            <c:dLbl>
              <c:idx val="10"/>
              <c:layout>
                <c:manualLayout>
                  <c:x val="-4.061497337832406E-3"/>
                  <c:y val="-8.54480750718529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65A-478A-930D-92C2131C09EB}"/>
                </c:ext>
              </c:extLst>
            </c:dLbl>
            <c:dLbl>
              <c:idx val="11"/>
              <c:layout>
                <c:manualLayout>
                  <c:x val="-1.2184492013497339E-2"/>
                  <c:y val="-2.5634422521555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65A-478A-930D-92C2131C09EB}"/>
                </c:ext>
              </c:extLst>
            </c:dLbl>
            <c:dLbl>
              <c:idx val="12"/>
              <c:layout>
                <c:manualLayout>
                  <c:x val="-1.2184492013497339E-2"/>
                  <c:y val="-2.1362018767963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45-414F-8656-6DF1B1F5F4C2}"/>
                </c:ext>
              </c:extLst>
            </c:dLbl>
            <c:dLbl>
              <c:idx val="13"/>
              <c:layout>
                <c:manualLayout>
                  <c:x val="-5.6860962729653689E-3"/>
                  <c:y val="-2.7770624398352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F1-4AC4-ADD8-249243984DFF}"/>
                </c:ext>
              </c:extLst>
            </c:dLbl>
            <c:dLbl>
              <c:idx val="14"/>
              <c:layout>
                <c:manualLayout>
                  <c:x val="-1.9495187221595552E-2"/>
                  <c:y val="-2.7770624398352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C4-4175-B25E-320FA80291EB}"/>
                </c:ext>
              </c:extLst>
            </c:dLbl>
            <c:dLbl>
              <c:idx val="15"/>
              <c:layout>
                <c:manualLayout>
                  <c:x val="-1.5433689883763145E-2"/>
                  <c:y val="2.99068262751485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13D-428D-BE19-D13A992BEE54}"/>
                </c:ext>
              </c:extLst>
            </c:dLbl>
            <c:dLbl>
              <c:idx val="16"/>
              <c:layout>
                <c:manualLayout>
                  <c:x val="-1.0559893078364377E-2"/>
                  <c:y val="2.99068262751485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B9-4871-AA85-A69FBAD23C89}"/>
                </c:ext>
              </c:extLst>
            </c:dLbl>
            <c:dLbl>
              <c:idx val="17"/>
              <c:layout>
                <c:manualLayout>
                  <c:x val="-1.4621390416196664E-2"/>
                  <c:y val="0.166623746390113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D8-46BC-915F-E1DD48D40CDC}"/>
                </c:ext>
              </c:extLst>
            </c:dLbl>
            <c:dLbl>
              <c:idx val="18"/>
              <c:layout>
                <c:manualLayout>
                  <c:x val="-5.6860962729653689E-3"/>
                  <c:y val="2.13620187679624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CD-4513-A223-C6C12822BDD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thổi'!$U$28:$CB$28</c:f>
              <c:numCache>
                <c:formatCode>"$"#,##0_);\("$"#,##0\)</c:formatCode>
                <c:ptCount val="19"/>
                <c:pt idx="0">
                  <c:v>1224.4122855454673</c:v>
                </c:pt>
                <c:pt idx="1">
                  <c:v>1224.8943631432089</c:v>
                </c:pt>
                <c:pt idx="2">
                  <c:v>1220.8389764175517</c:v>
                </c:pt>
                <c:pt idx="3">
                  <c:v>1201.5512157788862</c:v>
                </c:pt>
                <c:pt idx="4">
                  <c:v>1215.0616168681211</c:v>
                </c:pt>
                <c:pt idx="5">
                  <c:v>1218.0838169008853</c:v>
                </c:pt>
                <c:pt idx="6">
                  <c:v>1217.9396141401003</c:v>
                </c:pt>
                <c:pt idx="7">
                  <c:v>1221.1766254679269</c:v>
                </c:pt>
                <c:pt idx="8">
                  <c:v>1118.5151926825677</c:v>
                </c:pt>
                <c:pt idx="9">
                  <c:v>1095.5642423065681</c:v>
                </c:pt>
                <c:pt idx="10">
                  <c:v>1120.145512661127</c:v>
                </c:pt>
                <c:pt idx="11">
                  <c:v>1076.7141229774484</c:v>
                </c:pt>
                <c:pt idx="12">
                  <c:v>1111.3107354114027</c:v>
                </c:pt>
                <c:pt idx="13">
                  <c:v>1083.9521515147321</c:v>
                </c:pt>
                <c:pt idx="14">
                  <c:v>1076.0361329975726</c:v>
                </c:pt>
                <c:pt idx="15">
                  <c:v>1112.8727537918917</c:v>
                </c:pt>
                <c:pt idx="16">
                  <c:v>1201.4147371660317</c:v>
                </c:pt>
                <c:pt idx="17">
                  <c:v>1249.0497498836351</c:v>
                </c:pt>
                <c:pt idx="18">
                  <c:v>1251.622546187341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A-4E96-AAC7-DDD734B894C1}"/>
            </c:ext>
          </c:extLst>
        </c:ser>
        <c:ser>
          <c:idx val="12"/>
          <c:order val="6"/>
          <c:tx>
            <c:strRef>
              <c:f>'Ma trận HDPE thổi'!$F$19</c:f>
              <c:strCache>
                <c:ptCount val="1"/>
                <c:pt idx="0">
                  <c:v>Dafon FOB (Home care)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6488527946796633E-2"/>
                  <c:y val="2.53968206155949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04-4D92-806B-5DCC37E49E16}"/>
                </c:ext>
              </c:extLst>
            </c:dLbl>
            <c:dLbl>
              <c:idx val="1"/>
              <c:layout>
                <c:manualLayout>
                  <c:x val="-1.9745521121472511E-2"/>
                  <c:y val="2.7522077570874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26-4E74-BA7E-A2E754F0EABD}"/>
                </c:ext>
              </c:extLst>
            </c:dLbl>
            <c:dLbl>
              <c:idx val="2"/>
              <c:layout>
                <c:manualLayout>
                  <c:x val="-1.8117024534134572E-2"/>
                  <c:y val="2.96473345261546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2A-4144-9824-175C2E7749EE}"/>
                </c:ext>
              </c:extLst>
            </c:dLbl>
            <c:dLbl>
              <c:idx val="3"/>
              <c:layout>
                <c:manualLayout>
                  <c:x val="-2.1499057104720245E-2"/>
                  <c:y val="3.38978484367145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DAC2-4624-A7B2-21F9AB8BB5CB}"/>
                </c:ext>
              </c:extLst>
            </c:dLbl>
            <c:dLbl>
              <c:idx val="4"/>
              <c:layout>
                <c:manualLayout>
                  <c:x val="-1.9722579402794083E-2"/>
                  <c:y val="2.7522077570874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F7-4985-BE94-C688CEE8534C}"/>
                </c:ext>
              </c:extLst>
            </c:dLbl>
            <c:dLbl>
              <c:idx val="5"/>
              <c:layout>
                <c:manualLayout>
                  <c:x val="-2.1349183889622463E-2"/>
                  <c:y val="2.53968206155949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04-4EAA-B467-28F0DAB2E755}"/>
                </c:ext>
              </c:extLst>
            </c:dLbl>
            <c:dLbl>
              <c:idx val="6"/>
              <c:layout>
                <c:manualLayout>
                  <c:x val="-2.7042299593521786E-2"/>
                  <c:y val="3.17725914814346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F7-4985-BE94-C688CEE8534C}"/>
                </c:ext>
              </c:extLst>
            </c:dLbl>
            <c:dLbl>
              <c:idx val="7"/>
              <c:layout>
                <c:manualLayout>
                  <c:x val="-2.5414675680163288E-2"/>
                  <c:y val="2.7970788196256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304-4D92-806B-5DCC37E49E16}"/>
                </c:ext>
              </c:extLst>
            </c:dLbl>
            <c:dLbl>
              <c:idx val="8"/>
              <c:layout>
                <c:manualLayout>
                  <c:x val="-1.8909277159379893E-2"/>
                  <c:y val="2.53968206155948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304-4D92-806B-5DCC37E49E16}"/>
                </c:ext>
              </c:extLst>
            </c:dLbl>
            <c:dLbl>
              <c:idx val="9"/>
              <c:layout>
                <c:manualLayout>
                  <c:x val="-1.5636764750654765E-2"/>
                  <c:y val="2.98000161813086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64F-49CC-9BAB-6C937F0E08BB}"/>
                </c:ext>
              </c:extLst>
            </c:dLbl>
            <c:dLbl>
              <c:idx val="10"/>
              <c:layout>
                <c:manualLayout>
                  <c:x val="-1.4824465283088402E-2"/>
                  <c:y val="2.33914105509196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04-4EAA-B467-28F0DAB2E755}"/>
                </c:ext>
              </c:extLst>
            </c:dLbl>
            <c:dLbl>
              <c:idx val="11"/>
              <c:layout>
                <c:manualLayout>
                  <c:x val="-1.1575267412822478E-2"/>
                  <c:y val="2.98000161813086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F7-4985-BE94-C688CEE8534C}"/>
                </c:ext>
              </c:extLst>
            </c:dLbl>
            <c:dLbl>
              <c:idx val="12"/>
              <c:layout>
                <c:manualLayout>
                  <c:x val="-1.6449064218221246E-2"/>
                  <c:y val="2.3391410550919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81-4FA0-A1EC-DFB76975C11B}"/>
                </c:ext>
              </c:extLst>
            </c:dLbl>
            <c:dLbl>
              <c:idx val="13"/>
              <c:layout>
                <c:manualLayout>
                  <c:x val="-1.969826208848717E-2"/>
                  <c:y val="2.76638143045123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F1-4AC4-ADD8-249243984DFF}"/>
                </c:ext>
              </c:extLst>
            </c:dLbl>
            <c:dLbl>
              <c:idx val="14"/>
              <c:layout>
                <c:manualLayout>
                  <c:x val="-1.969826208848717E-2"/>
                  <c:y val="3.40724199349012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C4-4175-B25E-320FA80291EB}"/>
                </c:ext>
              </c:extLst>
            </c:dLbl>
            <c:dLbl>
              <c:idx val="15"/>
              <c:layout>
                <c:manualLayout>
                  <c:x val="-9.950668477689396E-3"/>
                  <c:y val="2.232339371495767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2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0461230033743052E-2"/>
                      <c:h val="3.012044646282813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13D-428D-BE19-D13A992BEE5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29-43AA-AE60-2B4DE5CB1C6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D8-46BC-915F-E1DD48D40CDC}"/>
                </c:ext>
              </c:extLst>
            </c:dLbl>
            <c:dLbl>
              <c:idx val="18"/>
              <c:layout>
                <c:manualLayout>
                  <c:x val="-9.950668477689514E-3"/>
                  <c:y val="7.25240537172350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B7-44F2-8819-4447442F25B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thổi'!$I$19:$CB$19</c:f>
              <c:numCache>
                <c:formatCode>"$"#,##0_);\("$"#,##0\)</c:formatCode>
                <c:ptCount val="19"/>
                <c:pt idx="0">
                  <c:v>1324.25</c:v>
                </c:pt>
                <c:pt idx="1">
                  <c:v>1314.5</c:v>
                </c:pt>
                <c:pt idx="2">
                  <c:v>1305.5</c:v>
                </c:pt>
                <c:pt idx="3">
                  <c:v>1298</c:v>
                </c:pt>
                <c:pt idx="4">
                  <c:v>1298</c:v>
                </c:pt>
                <c:pt idx="5">
                  <c:v>1298</c:v>
                </c:pt>
                <c:pt idx="6">
                  <c:v>1298</c:v>
                </c:pt>
                <c:pt idx="7">
                  <c:v>1179</c:v>
                </c:pt>
                <c:pt idx="8">
                  <c:v>1060</c:v>
                </c:pt>
                <c:pt idx="9">
                  <c:v>1060</c:v>
                </c:pt>
                <c:pt idx="10">
                  <c:v>1060</c:v>
                </c:pt>
                <c:pt idx="11">
                  <c:v>1070</c:v>
                </c:pt>
                <c:pt idx="12">
                  <c:v>1058</c:v>
                </c:pt>
                <c:pt idx="13">
                  <c:v>1050</c:v>
                </c:pt>
                <c:pt idx="14">
                  <c:v>1070</c:v>
                </c:pt>
                <c:pt idx="15">
                  <c:v>1214</c:v>
                </c:pt>
                <c:pt idx="16">
                  <c:v>1250</c:v>
                </c:pt>
                <c:pt idx="17">
                  <c:v>1255</c:v>
                </c:pt>
                <c:pt idx="18">
                  <c:v>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AC2-4624-A7B2-21F9AB8BB5CB}"/>
            </c:ext>
          </c:extLst>
        </c:ser>
        <c:ser>
          <c:idx val="6"/>
          <c:order val="7"/>
          <c:tx>
            <c:strRef>
              <c:f>'Ma trận HDPE thổi'!$H$31</c:f>
              <c:strCache>
                <c:ptCount val="1"/>
                <c:pt idx="0">
                  <c:v>Giá bán Dafong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thổi'!$I$31:$BB$31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DAC2-4624-A7B2-21F9AB8BB5CB}"/>
            </c:ext>
          </c:extLst>
        </c:ser>
        <c:ser>
          <c:idx val="4"/>
          <c:order val="8"/>
          <c:tx>
            <c:strRef>
              <c:f>'Ma trận HDPE thổi'!$H$8</c:f>
              <c:strCache>
                <c:ptCount val="1"/>
                <c:pt idx="0">
                  <c:v>ICIS - Giá vảy HDPE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rgbClr val="60943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thổi'!$I$8:$AM$8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DAC2-4624-A7B2-21F9AB8BB5CB}"/>
            </c:ext>
          </c:extLst>
        </c:ser>
        <c:ser>
          <c:idx val="0"/>
          <c:order val="9"/>
          <c:tx>
            <c:strRef>
              <c:f>'Ma trận HDPE thổi'!$H$11</c:f>
              <c:strCache>
                <c:ptCount val="1"/>
                <c:pt idx="0">
                  <c:v>DTR-Giá EXW rHD xuất xưởng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thổi'!$I$11:$AM$11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DAC2-4624-A7B2-21F9AB8BB5CB}"/>
            </c:ext>
          </c:extLst>
        </c:ser>
        <c:ser>
          <c:idx val="1"/>
          <c:order val="10"/>
          <c:tx>
            <c:strRef>
              <c:f>'Ma trận HDPE thổi'!$H$12</c:f>
              <c:strCache>
                <c:ptCount val="1"/>
                <c:pt idx="0">
                  <c:v>Tỷ lệ % lãi gộp Vảy /Giá EXW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thổi'!$I$12:$AM$12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DAC2-4624-A7B2-21F9AB8BB5CB}"/>
            </c:ext>
          </c:extLst>
        </c:ser>
        <c:ser>
          <c:idx val="10"/>
          <c:order val="12"/>
          <c:tx>
            <c:strRef>
              <c:f>'Ma trận HDPE thổi'!$H$16</c:f>
              <c:strCache>
                <c:ptCount val="1"/>
                <c:pt idx="0">
                  <c:v>ICIS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thổi'!$I$16:$BD$16</c:f>
            </c:numRef>
          </c:val>
          <c:smooth val="0"/>
          <c:extLst>
            <c:ext xmlns:c16="http://schemas.microsoft.com/office/drawing/2014/chart" uri="{C3380CC4-5D6E-409C-BE32-E72D297353CC}">
              <c16:uniqueId val="{0000002A-DAC2-4624-A7B2-21F9AB8BB5CB}"/>
            </c:ext>
          </c:extLst>
        </c:ser>
        <c:ser>
          <c:idx val="11"/>
          <c:order val="15"/>
          <c:tx>
            <c:strRef>
              <c:f>'Ma trận HDPE thổi'!$H$17</c:f>
              <c:strCache>
                <c:ptCount val="1"/>
                <c:pt idx="0">
                  <c:v>ICIS FOB ĐNA - Giá Cao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thổi'!$I$17:$AM$17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B-DAC2-4624-A7B2-21F9AB8BB5CB}"/>
            </c:ext>
          </c:extLst>
        </c:ser>
        <c:ser>
          <c:idx val="14"/>
          <c:order val="16"/>
          <c:tx>
            <c:strRef>
              <c:f>'Ma trận HDPE thổi'!$H$23</c:f>
              <c:strCache>
                <c:ptCount val="1"/>
                <c:pt idx="0">
                  <c:v>Giá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thổi'!$U$23:$AU$23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499-4F46-9185-4209C8324EC3}"/>
            </c:ext>
          </c:extLst>
        </c:ser>
        <c:ser>
          <c:idx val="15"/>
          <c:order val="17"/>
          <c:tx>
            <c:strRef>
              <c:f>'Ma trận HDPE thổi'!$H$18</c:f>
              <c:strCache>
                <c:ptCount val="1"/>
                <c:pt idx="0">
                  <c:v>Dafon FOB (personal care)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thổi'!$I$5:$CB$5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thổi'!$U$18:$AQ$18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7826-4E74-BA7E-A2E754F0E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7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639D6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70C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2CD8D4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5840929505965868"/>
          <c:y val="0.23842418274719263"/>
          <c:w val="0.12290781718631233"/>
          <c:h val="0.492216740051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 THỔI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2026 (USD/tấn)</a:t>
            </a:r>
          </a:p>
        </c:rich>
      </c:tx>
      <c:layout>
        <c:manualLayout>
          <c:xMode val="edge"/>
          <c:yMode val="edge"/>
          <c:x val="0.21527326307595129"/>
          <c:y val="1.623327415827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34112755186524E-2"/>
          <c:y val="9.5490114728666337E-2"/>
          <c:w val="0.7834136320987064"/>
          <c:h val="0.84440050527253308"/>
        </c:manualLayout>
      </c:layout>
      <c:areaChart>
        <c:grouping val="stacked"/>
        <c:varyColors val="0"/>
        <c:ser>
          <c:idx val="16"/>
          <c:order val="10"/>
          <c:tx>
            <c:strRef>
              <c:f>'Ma trận HDPE thổi'!$CF$24</c:f>
              <c:strCache>
                <c:ptCount val="1"/>
                <c:pt idx="0">
                  <c:v> TTCP 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HDPE thổi'!$CG$24:$KG$24</c:f>
              <c:numCache>
                <c:formatCode>"$"#,##0_);\("$"#,##0\)</c:formatCode>
                <c:ptCount val="28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975</c:v>
                </c:pt>
                <c:pt idx="10">
                  <c:v>1350</c:v>
                </c:pt>
                <c:pt idx="11">
                  <c:v>1450</c:v>
                </c:pt>
                <c:pt idx="12">
                  <c:v>1550</c:v>
                </c:pt>
                <c:pt idx="13">
                  <c:v>1550</c:v>
                </c:pt>
                <c:pt idx="14">
                  <c:v>1600</c:v>
                </c:pt>
                <c:pt idx="15">
                  <c:v>1600</c:v>
                </c:pt>
                <c:pt idx="16">
                  <c:v>1600</c:v>
                </c:pt>
                <c:pt idx="17">
                  <c:v>1600</c:v>
                </c:pt>
                <c:pt idx="18">
                  <c:v>1600</c:v>
                </c:pt>
                <c:pt idx="19">
                  <c:v>1500</c:v>
                </c:pt>
                <c:pt idx="20">
                  <c:v>1470</c:v>
                </c:pt>
                <c:pt idx="21">
                  <c:v>1430</c:v>
                </c:pt>
                <c:pt idx="22">
                  <c:v>1400</c:v>
                </c:pt>
                <c:pt idx="23">
                  <c:v>1320</c:v>
                </c:pt>
                <c:pt idx="24">
                  <c:v>1280</c:v>
                </c:pt>
                <c:pt idx="25">
                  <c:v>1280</c:v>
                </c:pt>
                <c:pt idx="26">
                  <c:v>1213</c:v>
                </c:pt>
                <c:pt idx="27">
                  <c:v>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AAF-44C9-843C-6D3132449A8D}"/>
            </c:ext>
          </c:extLst>
        </c:ser>
        <c:ser>
          <c:idx val="17"/>
          <c:order val="14"/>
          <c:tx>
            <c:strRef>
              <c:f>'Ma trận HDPE thổi'!$CF$25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'Ma trận HDPE thổi'!$CG$25:$KG$25</c:f>
              <c:numCache>
                <c:formatCode>"$"#.##0_);\("$"#.##0\)</c:formatCode>
                <c:ptCount val="28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325</c:v>
                </c:pt>
                <c:pt idx="10">
                  <c:v>-50</c:v>
                </c:pt>
                <c:pt idx="11">
                  <c:v>-100</c:v>
                </c:pt>
                <c:pt idx="12">
                  <c:v>-200</c:v>
                </c:pt>
                <c:pt idx="13">
                  <c:v>-150</c:v>
                </c:pt>
                <c:pt idx="14">
                  <c:v>-200</c:v>
                </c:pt>
                <c:pt idx="15">
                  <c:v>-200</c:v>
                </c:pt>
                <c:pt idx="16">
                  <c:v>-130</c:v>
                </c:pt>
                <c:pt idx="17">
                  <c:v>-130</c:v>
                </c:pt>
                <c:pt idx="18">
                  <c:v>-130</c:v>
                </c:pt>
                <c:pt idx="19">
                  <c:v>-30</c:v>
                </c:pt>
                <c:pt idx="20">
                  <c:v>0</c:v>
                </c:pt>
                <c:pt idx="21">
                  <c:v>40</c:v>
                </c:pt>
                <c:pt idx="22">
                  <c:v>50</c:v>
                </c:pt>
                <c:pt idx="23">
                  <c:v>130</c:v>
                </c:pt>
                <c:pt idx="24">
                  <c:v>170</c:v>
                </c:pt>
                <c:pt idx="25">
                  <c:v>170</c:v>
                </c:pt>
                <c:pt idx="26">
                  <c:v>217</c:v>
                </c:pt>
                <c:pt idx="27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AAF-44C9-843C-6D3132449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818818447"/>
        <c:axId val="818831887"/>
      </c:areaChart>
      <c:lineChart>
        <c:grouping val="standard"/>
        <c:varyColors val="0"/>
        <c:ser>
          <c:idx val="4"/>
          <c:order val="0"/>
          <c:tx>
            <c:strRef>
              <c:f>'Ma trận HDPE thổi'!$CF$9</c:f>
              <c:strCache>
                <c:ptCount val="1"/>
                <c:pt idx="0">
                  <c:v>DTR (personal care)</c:v>
                </c:pt>
              </c:strCache>
            </c:strRef>
          </c:tx>
          <c:spPr>
            <a:ln w="444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6C-4689-A8B7-8AC2E38E243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CF-4FF8-922E-DD9F0FFEEC4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CF-4FF8-922E-DD9F0FFEEC4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CF-4FF8-922E-DD9F0FFEEC4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thổi'!$DJ$5:$KG$5</c:f>
              <c:strCache>
                <c:ptCount val="2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'Ma trận HDPE thổi'!$CG$9:$KG$9</c:f>
              <c:numCache>
                <c:formatCode>_(* #,##0_);_(* \(#,##0\);_(* "-"??_);_(@_)</c:formatCode>
                <c:ptCount val="28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1350</c:v>
                </c:pt>
                <c:pt idx="12">
                  <c:v>1350</c:v>
                </c:pt>
                <c:pt idx="13">
                  <c:v>1400</c:v>
                </c:pt>
                <c:pt idx="14">
                  <c:v>1400</c:v>
                </c:pt>
                <c:pt idx="15">
                  <c:v>1400</c:v>
                </c:pt>
                <c:pt idx="16">
                  <c:v>1470</c:v>
                </c:pt>
                <c:pt idx="17">
                  <c:v>1470</c:v>
                </c:pt>
                <c:pt idx="18">
                  <c:v>1470</c:v>
                </c:pt>
                <c:pt idx="19">
                  <c:v>1470</c:v>
                </c:pt>
                <c:pt idx="20">
                  <c:v>1470</c:v>
                </c:pt>
                <c:pt idx="21">
                  <c:v>1470</c:v>
                </c:pt>
                <c:pt idx="22">
                  <c:v>1450</c:v>
                </c:pt>
                <c:pt idx="23">
                  <c:v>1450</c:v>
                </c:pt>
                <c:pt idx="24">
                  <c:v>1450</c:v>
                </c:pt>
                <c:pt idx="25">
                  <c:v>1450</c:v>
                </c:pt>
                <c:pt idx="26">
                  <c:v>1430</c:v>
                </c:pt>
                <c:pt idx="27">
                  <c:v>1430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AAF-44C9-843C-6D3132449A8D}"/>
            </c:ext>
          </c:extLst>
        </c:ser>
        <c:ser>
          <c:idx val="12"/>
          <c:order val="1"/>
          <c:tx>
            <c:strRef>
              <c:f>'Ma trận HDPE thổi'!$CF$18</c:f>
              <c:strCache>
                <c:ptCount val="1"/>
                <c:pt idx="0">
                  <c:v>Dafon FOB (personal care)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8346501948194273E-2"/>
                  <c:y val="-2.54430496399909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6C-4A01-B0ED-890317417153}"/>
                </c:ext>
              </c:extLst>
            </c:dLbl>
            <c:dLbl>
              <c:idx val="1"/>
              <c:layout>
                <c:manualLayout>
                  <c:x val="-2.1702790554086228E-2"/>
                  <c:y val="-3.8164483396816502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0070C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419354271707639E-2"/>
                      <c:h val="4.64913907058014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8324-446E-8F6F-46D90E6F141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BAE-4E35-AD10-A8AC3DFD7B0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BAE-4E35-AD10-A8AC3DFD7B0C}"/>
                </c:ext>
              </c:extLst>
            </c:dLbl>
            <c:dLbl>
              <c:idx val="13"/>
              <c:layout>
                <c:manualLayout>
                  <c:x val="-3.2997099924069878E-2"/>
                  <c:y val="-3.48107179165330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7E-4C28-900C-92D0C6F1E25F}"/>
                </c:ext>
              </c:extLst>
            </c:dLbl>
            <c:dLbl>
              <c:idx val="14"/>
              <c:layout>
                <c:manualLayout>
                  <c:x val="-1.8823848949972747E-2"/>
                  <c:y val="-2.5558699865627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7E-4C28-900C-92D0C6F1E25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AE-4E35-AD10-A8AC3DFD7B0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AE-4E35-AD10-A8AC3DFD7B0C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BAE-4E35-AD10-A8AC3DFD7B0C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F7-442A-8B63-498F35341A5C}"/>
                </c:ext>
              </c:extLst>
            </c:dLbl>
            <c:dLbl>
              <c:idx val="23"/>
              <c:layout>
                <c:manualLayout>
                  <c:x val="-1.9709677135853948E-2"/>
                  <c:y val="-2.09326908401743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AE-4E35-AD10-A8AC3DFD7B0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70C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thổi'!$DJ$5:$KG$5</c:f>
              <c:strCache>
                <c:ptCount val="2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'Ma trận HDPE thổi'!$CG$18:$KG$18</c:f>
              <c:numCache>
                <c:formatCode>"$"#,##0_);\("$"#,##0\)</c:formatCode>
                <c:ptCount val="28"/>
                <c:pt idx="0">
                  <c:v>1170</c:v>
                </c:pt>
                <c:pt idx="1">
                  <c:v>1170</c:v>
                </c:pt>
                <c:pt idx="2">
                  <c:v>1150</c:v>
                </c:pt>
                <c:pt idx="3">
                  <c:v>1150</c:v>
                </c:pt>
                <c:pt idx="4">
                  <c:v>1150</c:v>
                </c:pt>
                <c:pt idx="5">
                  <c:v>1150</c:v>
                </c:pt>
                <c:pt idx="6">
                  <c:v>1150</c:v>
                </c:pt>
                <c:pt idx="7">
                  <c:v>1150</c:v>
                </c:pt>
                <c:pt idx="8">
                  <c:v>1150</c:v>
                </c:pt>
                <c:pt idx="9">
                  <c:v>1170</c:v>
                </c:pt>
                <c:pt idx="10">
                  <c:v>1170</c:v>
                </c:pt>
                <c:pt idx="11">
                  <c:v>1170</c:v>
                </c:pt>
                <c:pt idx="12">
                  <c:v>1170</c:v>
                </c:pt>
                <c:pt idx="13">
                  <c:v>1170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1350</c:v>
                </c:pt>
                <c:pt idx="20">
                  <c:v>1350</c:v>
                </c:pt>
                <c:pt idx="21">
                  <c:v>1350</c:v>
                </c:pt>
                <c:pt idx="22">
                  <c:v>1360</c:v>
                </c:pt>
                <c:pt idx="23">
                  <c:v>1360</c:v>
                </c:pt>
                <c:pt idx="24">
                  <c:v>1350</c:v>
                </c:pt>
                <c:pt idx="25">
                  <c:v>1350</c:v>
                </c:pt>
                <c:pt idx="26">
                  <c:v>1350</c:v>
                </c:pt>
                <c:pt idx="27">
                  <c:v>1350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AAF-44C9-843C-6D3132449A8D}"/>
            </c:ext>
          </c:extLst>
        </c:ser>
        <c:ser>
          <c:idx val="14"/>
          <c:order val="2"/>
          <c:tx>
            <c:strRef>
              <c:f>'Ma trận HDPE thổi'!$CF$22</c:f>
              <c:strCache>
                <c:ptCount val="1"/>
                <c:pt idx="0">
                  <c:v>RESIN</c:v>
                </c:pt>
              </c:strCache>
            </c:strRef>
          </c:tx>
          <c:spPr>
            <a:ln w="444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8602391903502487E-2"/>
                  <c:y val="-2.77560541527173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6C-4A01-B0ED-89031741715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0D-4BB2-AD94-51B5389F607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BAE-4E35-AD10-A8AC3DFD7B0C}"/>
                </c:ext>
              </c:extLst>
            </c:dLbl>
            <c:dLbl>
              <c:idx val="9"/>
              <c:layout>
                <c:manualLayout>
                  <c:x val="-7.0866254870485638E-3"/>
                  <c:y val="2.99534084398074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3E-4564-9731-3960233D3234}"/>
                </c:ext>
              </c:extLst>
            </c:dLbl>
            <c:dLbl>
              <c:idx val="19"/>
              <c:layout>
                <c:manualLayout>
                  <c:x val="-1.3508879834686325E-2"/>
                  <c:y val="-3.0184708891080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9A-4A87-A79B-3F80C27A1897}"/>
                </c:ext>
              </c:extLst>
            </c:dLbl>
            <c:dLbl>
              <c:idx val="21"/>
              <c:layout>
                <c:manualLayout>
                  <c:x val="-4.0083725411118439E-2"/>
                  <c:y val="2.197354287090120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4C-4FD5-906F-530EBFABFD98}"/>
                </c:ext>
              </c:extLst>
            </c:dLbl>
            <c:dLbl>
              <c:idx val="22"/>
              <c:layout>
                <c:manualLayout>
                  <c:x val="-4.6505979758756201E-3"/>
                  <c:y val="-1.6306681814721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F7-442A-8B63-498F35341A5C}"/>
                </c:ext>
              </c:extLst>
            </c:dLbl>
            <c:dLbl>
              <c:idx val="23"/>
              <c:layout>
                <c:manualLayout>
                  <c:x val="-2.8789416041136093E-3"/>
                  <c:y val="-1.39936773019949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AE-4E35-AD10-A8AC3DFD7B0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B8-4ADD-BD10-36CDE00D14B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D9-4F51-A853-1C2C2107627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D9-4F51-A853-1C2C2107627F}"/>
                </c:ext>
              </c:extLst>
            </c:dLbl>
            <c:dLbl>
              <c:idx val="27"/>
              <c:layout>
                <c:manualLayout>
                  <c:x val="-3.7286027593940066E-3"/>
                  <c:y val="6.823363312542920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AA-4EC5-A992-AB5136C917C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thổi'!$DJ$5:$KG$5</c:f>
              <c:strCache>
                <c:ptCount val="2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'Ma trận HDPE thổi'!$CG$22:$KG$22</c:f>
              <c:numCache>
                <c:formatCode>"$"#,##0_);\("$"#,##0\)</c:formatCode>
                <c:ptCount val="28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975</c:v>
                </c:pt>
                <c:pt idx="10">
                  <c:v>1350</c:v>
                </c:pt>
                <c:pt idx="11">
                  <c:v>1450</c:v>
                </c:pt>
                <c:pt idx="12">
                  <c:v>1550</c:v>
                </c:pt>
                <c:pt idx="13">
                  <c:v>1550</c:v>
                </c:pt>
                <c:pt idx="14">
                  <c:v>1600</c:v>
                </c:pt>
                <c:pt idx="15">
                  <c:v>1600</c:v>
                </c:pt>
                <c:pt idx="16">
                  <c:v>1600</c:v>
                </c:pt>
                <c:pt idx="17">
                  <c:v>1600</c:v>
                </c:pt>
                <c:pt idx="18">
                  <c:v>1600</c:v>
                </c:pt>
                <c:pt idx="19">
                  <c:v>1500</c:v>
                </c:pt>
                <c:pt idx="20">
                  <c:v>1470</c:v>
                </c:pt>
                <c:pt idx="21">
                  <c:v>1430</c:v>
                </c:pt>
                <c:pt idx="22">
                  <c:v>1400</c:v>
                </c:pt>
                <c:pt idx="23">
                  <c:v>1320</c:v>
                </c:pt>
                <c:pt idx="24">
                  <c:v>1280</c:v>
                </c:pt>
                <c:pt idx="25">
                  <c:v>1280</c:v>
                </c:pt>
                <c:pt idx="26">
                  <c:v>1213</c:v>
                </c:pt>
                <c:pt idx="27">
                  <c:v>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AAF-44C9-843C-6D3132449A8D}"/>
            </c:ext>
          </c:extLst>
        </c:ser>
        <c:ser>
          <c:idx val="21"/>
          <c:order val="3"/>
          <c:tx>
            <c:strRef>
              <c:f>'Ma trận HDPE thổi'!$CF$29</c:f>
              <c:strCache>
                <c:ptCount val="1"/>
                <c:pt idx="0">
                  <c:v>Giá bán Unilever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thổi'!$DJ$5:$KG$5</c:f>
              <c:strCache>
                <c:ptCount val="2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'Ma trận HDPE thổi'!$CG$29:$FZ$29</c:f>
            </c:numRef>
          </c:val>
          <c:smooth val="0"/>
          <c:extLst>
            <c:ext xmlns:c16="http://schemas.microsoft.com/office/drawing/2014/chart" uri="{C3380CC4-5D6E-409C-BE32-E72D297353CC}">
              <c16:uniqueId val="{0000002C-CAAF-44C9-843C-6D3132449A8D}"/>
            </c:ext>
          </c:extLst>
        </c:ser>
        <c:ser>
          <c:idx val="1"/>
          <c:order val="4"/>
          <c:tx>
            <c:strRef>
              <c:f>'Ma trận HDPE thổi'!$CF$20</c:f>
              <c:strCache>
                <c:ptCount val="1"/>
                <c:pt idx="0">
                  <c:v>Kingfa (không màu)</c:v>
                </c:pt>
              </c:strCache>
            </c:strRef>
          </c:tx>
          <c:spPr>
            <a:ln w="444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23"/>
              <c:layout>
                <c:manualLayout>
                  <c:x val="-2.4118521442468562E-2"/>
                  <c:y val="-2.3245695352900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C1-4330-B4EE-0249397090B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C1-4330-B4EE-0249397090BD}"/>
                </c:ext>
              </c:extLst>
            </c:dLbl>
            <c:dLbl>
              <c:idx val="25"/>
              <c:layout>
                <c:manualLayout>
                  <c:x val="-2.5661560167594175E-2"/>
                  <c:y val="-2.3245695352900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6D-422D-85BD-3FBF2915F411}"/>
                </c:ext>
              </c:extLst>
            </c:dLbl>
            <c:dLbl>
              <c:idx val="26"/>
              <c:layout>
                <c:manualLayout>
                  <c:x val="-2.1274968685954167E-2"/>
                  <c:y val="-2.55586998656272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D9-4F51-A853-1C2C2107627F}"/>
                </c:ext>
              </c:extLst>
            </c:dLbl>
            <c:dLbl>
              <c:idx val="27"/>
              <c:layout>
                <c:manualLayout>
                  <c:x val="-8.1151942410340148E-3"/>
                  <c:y val="-2.32456953529007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AA-4EC5-A992-AB5136C917C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thổi'!$DJ$5:$KG$5</c:f>
              <c:strCache>
                <c:ptCount val="2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'Ma trận HDPE thổi'!$JF$20:$KG$20</c:f>
              <c:numCache>
                <c:formatCode>"$"#,##0_);\("$"#,##0\)</c:formatCode>
                <c:ptCount val="28"/>
                <c:pt idx="23">
                  <c:v>1285</c:v>
                </c:pt>
                <c:pt idx="24">
                  <c:v>1285</c:v>
                </c:pt>
                <c:pt idx="25">
                  <c:v>1285</c:v>
                </c:pt>
                <c:pt idx="26">
                  <c:v>1285</c:v>
                </c:pt>
                <c:pt idx="27">
                  <c:v>1310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1-4330-B4EE-0249397090BD}"/>
            </c:ext>
          </c:extLst>
        </c:ser>
        <c:ser>
          <c:idx val="13"/>
          <c:order val="5"/>
          <c:tx>
            <c:strRef>
              <c:f>'Ma trận HDPE thổi'!$CF$19</c:f>
              <c:strCache>
                <c:ptCount val="1"/>
                <c:pt idx="0">
                  <c:v>Dafon FOB (Home care)</c:v>
                </c:pt>
              </c:strCache>
            </c:strRef>
          </c:tx>
          <c:spPr>
            <a:ln w="444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633924736410324E-2"/>
                  <c:y val="-8.480918574368545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6C-4A01-B0ED-890317417153}"/>
                </c:ext>
              </c:extLst>
            </c:dLbl>
            <c:dLbl>
              <c:idx val="1"/>
              <c:layout>
                <c:manualLayout>
                  <c:x val="-2.7460673762313204E-2"/>
                  <c:y val="4.16340812290759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320-49F8-A41B-2AC3FD59A7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3E-4564-9731-3960233D3234}"/>
                </c:ext>
              </c:extLst>
            </c:dLbl>
            <c:dLbl>
              <c:idx val="10"/>
              <c:layout>
                <c:manualLayout>
                  <c:x val="-2.2367161693497031E-2"/>
                  <c:y val="3.0184708891080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3E-4564-9731-3960233D3234}"/>
                </c:ext>
              </c:extLst>
            </c:dLbl>
            <c:dLbl>
              <c:idx val="11"/>
              <c:layout>
                <c:manualLayout>
                  <c:x val="-1.7052192578210609E-2"/>
                  <c:y val="3.24977134038065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6C-4689-A8B7-8AC2E38E243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BAE-4E35-AD10-A8AC3DFD7B0C}"/>
                </c:ext>
              </c:extLst>
            </c:dLbl>
            <c:dLbl>
              <c:idx val="14"/>
              <c:layout>
                <c:manualLayout>
                  <c:x val="-7.3080825335189621E-3"/>
                  <c:y val="-2.76404039270809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7E-4C28-900C-92D0C6F1E25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3D-44F4-BBB8-3266A4B36DDE}"/>
                </c:ext>
              </c:extLst>
            </c:dLbl>
            <c:dLbl>
              <c:idx val="16"/>
              <c:layout>
                <c:manualLayout>
                  <c:x val="-2.0595505321735021E-2"/>
                  <c:y val="-3.4579417465260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3D-44F4-BBB8-3266A4B36DD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81-4D6E-957C-F479868AFF09}"/>
                </c:ext>
              </c:extLst>
            </c:dLbl>
            <c:dLbl>
              <c:idx val="18"/>
              <c:layout>
                <c:manualLayout>
                  <c:x val="-1.7052192578210609E-2"/>
                  <c:y val="-2.99534084398074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B3-4949-8E9B-E8DB867120C3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9A-4A87-A79B-3F80C27A1897}"/>
                </c:ext>
              </c:extLst>
            </c:dLbl>
            <c:dLbl>
              <c:idx val="20"/>
              <c:layout>
                <c:manualLayout>
                  <c:x val="-1.970967713585382E-2"/>
                  <c:y val="-3.4579417465260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CF-4FF8-922E-DD9F0FFEEC4D}"/>
                </c:ext>
              </c:extLst>
            </c:dLbl>
            <c:dLbl>
              <c:idx val="21"/>
              <c:layout>
                <c:manualLayout>
                  <c:x val="-1.7052192578210609E-2"/>
                  <c:y val="-2.99534084398074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4C-4FD5-906F-530EBFABFD98}"/>
                </c:ext>
              </c:extLst>
            </c:dLbl>
            <c:dLbl>
              <c:idx val="22"/>
              <c:layout>
                <c:manualLayout>
                  <c:x val="-1.7052192578210609E-2"/>
                  <c:y val="-3.22664129525339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F7-442A-8B63-498F35341A5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AE-4E35-AD10-A8AC3DFD7B0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B8-4ADD-BD10-36CDE00D14B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C1-4330-B4EE-0249397090B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0D9-4F51-A853-1C2C2107627F}"/>
                </c:ext>
              </c:extLst>
            </c:dLbl>
            <c:dLbl>
              <c:idx val="27"/>
              <c:layout>
                <c:manualLayout>
                  <c:x val="-6.3605576483780112E-3"/>
                  <c:y val="-4.510358799816562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AA-4EC5-A992-AB5136C917C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thổi'!$DJ$5:$KG$5</c:f>
              <c:strCache>
                <c:ptCount val="2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'Ma trận HDPE thổi'!$CG$19:$KG$19</c:f>
              <c:numCache>
                <c:formatCode>"$"#,##0_);\("$"#,##0\)</c:formatCode>
                <c:ptCount val="28"/>
                <c:pt idx="0">
                  <c:v>1070</c:v>
                </c:pt>
                <c:pt idx="1">
                  <c:v>1070</c:v>
                </c:pt>
                <c:pt idx="2">
                  <c:v>1050</c:v>
                </c:pt>
                <c:pt idx="3">
                  <c:v>1050</c:v>
                </c:pt>
                <c:pt idx="4">
                  <c:v>1050</c:v>
                </c:pt>
                <c:pt idx="5">
                  <c:v>1050</c:v>
                </c:pt>
                <c:pt idx="6">
                  <c:v>1050</c:v>
                </c:pt>
                <c:pt idx="7">
                  <c:v>1050</c:v>
                </c:pt>
                <c:pt idx="8">
                  <c:v>1050</c:v>
                </c:pt>
                <c:pt idx="9">
                  <c:v>1070</c:v>
                </c:pt>
                <c:pt idx="10">
                  <c:v>1070</c:v>
                </c:pt>
                <c:pt idx="11">
                  <c:v>1070</c:v>
                </c:pt>
                <c:pt idx="12">
                  <c:v>1070</c:v>
                </c:pt>
                <c:pt idx="13">
                  <c:v>1070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1250</c:v>
                </c:pt>
                <c:pt idx="20">
                  <c:v>1250</c:v>
                </c:pt>
                <c:pt idx="21">
                  <c:v>1250</c:v>
                </c:pt>
                <c:pt idx="22">
                  <c:v>1260</c:v>
                </c:pt>
                <c:pt idx="23">
                  <c:v>1260</c:v>
                </c:pt>
                <c:pt idx="24">
                  <c:v>1250</c:v>
                </c:pt>
                <c:pt idx="25">
                  <c:v>1250</c:v>
                </c:pt>
                <c:pt idx="26">
                  <c:v>1250</c:v>
                </c:pt>
                <c:pt idx="27">
                  <c:v>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AAF-44C9-843C-6D3132449A8D}"/>
            </c:ext>
          </c:extLst>
        </c:ser>
        <c:ser>
          <c:idx val="0"/>
          <c:order val="6"/>
          <c:tx>
            <c:strRef>
              <c:f>'Ma trận HDPE thổi'!$CF$27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3661471063480691E-2"/>
                  <c:y val="-3.00690586654438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A76-4132-85E7-E802007F083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A76-4132-85E7-E802007F083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3E-4564-9731-3960233D3234}"/>
                </c:ext>
              </c:extLst>
            </c:dLbl>
            <c:dLbl>
              <c:idx val="10"/>
              <c:layout>
                <c:manualLayout>
                  <c:x val="-2.1481333507615961E-2"/>
                  <c:y val="-2.99534084398074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3E-4564-9731-3960233D323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6C-4689-A8B7-8AC2E38E2434}"/>
                </c:ext>
              </c:extLst>
            </c:dLbl>
            <c:dLbl>
              <c:idx val="12"/>
              <c:layout>
                <c:manualLayout>
                  <c:x val="-2.1481333507615961E-2"/>
                  <c:y val="-2.99534084398075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82-4F46-8F72-E040F527CEF9}"/>
                </c:ext>
              </c:extLst>
            </c:dLbl>
            <c:dLbl>
              <c:idx val="13"/>
              <c:layout>
                <c:manualLayout>
                  <c:x val="-2.1140324531177177E-2"/>
                  <c:y val="-2.30143949016280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103-4F6D-B50D-3FC416F8DA9D}"/>
                </c:ext>
              </c:extLst>
            </c:dLbl>
            <c:dLbl>
              <c:idx val="22"/>
              <c:layout>
                <c:manualLayout>
                  <c:x val="-2.0595505321734889E-2"/>
                  <c:y val="3.48107179165329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F7-442A-8B63-498F35341A5C}"/>
                </c:ext>
              </c:extLst>
            </c:dLbl>
            <c:dLbl>
              <c:idx val="24"/>
              <c:layout>
                <c:manualLayout>
                  <c:x val="-2.1481333507615961E-2"/>
                  <c:y val="3.71237224292593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B8-4ADD-BD10-36CDE00D14BE}"/>
                </c:ext>
              </c:extLst>
            </c:dLbl>
            <c:dLbl>
              <c:idx val="26"/>
              <c:layout>
                <c:manualLayout>
                  <c:x val="2.259094613044604E-2"/>
                  <c:y val="-3.4579417465260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D9-4F51-A853-1C2C2107627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AA-4EC5-A992-AB5136C917C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thổi'!$DJ$5:$KG$5</c:f>
              <c:strCache>
                <c:ptCount val="2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'Ma trận HDPE thổi'!$DJ$27:$KG$27</c:f>
              <c:numCache>
                <c:formatCode>"$"#,##0_);\("$"#,##0\)</c:formatCode>
                <c:ptCount val="28"/>
                <c:pt idx="0">
                  <c:v>1111.3107354114027</c:v>
                </c:pt>
                <c:pt idx="1">
                  <c:v>1111.3107354114027</c:v>
                </c:pt>
                <c:pt idx="2">
                  <c:v>1111.3107354114027</c:v>
                </c:pt>
                <c:pt idx="3">
                  <c:v>1111.3107354114027</c:v>
                </c:pt>
                <c:pt idx="4">
                  <c:v>1111.3107354114027</c:v>
                </c:pt>
                <c:pt idx="5">
                  <c:v>1111.3107354114027</c:v>
                </c:pt>
                <c:pt idx="6">
                  <c:v>1111.3107354114027</c:v>
                </c:pt>
                <c:pt idx="7">
                  <c:v>1111.3107354114027</c:v>
                </c:pt>
                <c:pt idx="8">
                  <c:v>1111.3107354114027</c:v>
                </c:pt>
                <c:pt idx="9">
                  <c:v>1076.0361329975726</c:v>
                </c:pt>
                <c:pt idx="10">
                  <c:v>1076.0361329975726</c:v>
                </c:pt>
                <c:pt idx="11">
                  <c:v>1076.0361329975726</c:v>
                </c:pt>
                <c:pt idx="12">
                  <c:v>1076.0361329975726</c:v>
                </c:pt>
                <c:pt idx="13">
                  <c:v>1112.8727537918917</c:v>
                </c:pt>
                <c:pt idx="14">
                  <c:v>1112.8727537918917</c:v>
                </c:pt>
                <c:pt idx="15">
                  <c:v>1112.8727537918917</c:v>
                </c:pt>
                <c:pt idx="16">
                  <c:v>1112.8727537918917</c:v>
                </c:pt>
                <c:pt idx="17">
                  <c:v>1112.8727537918917</c:v>
                </c:pt>
                <c:pt idx="18">
                  <c:v>1201.4147371660317</c:v>
                </c:pt>
                <c:pt idx="19">
                  <c:v>1201.4147371660317</c:v>
                </c:pt>
                <c:pt idx="20">
                  <c:v>1201.4147371660317</c:v>
                </c:pt>
                <c:pt idx="21">
                  <c:v>1201.4147371660317</c:v>
                </c:pt>
                <c:pt idx="22">
                  <c:v>1249.0497498836351</c:v>
                </c:pt>
                <c:pt idx="23">
                  <c:v>1249.0497498836351</c:v>
                </c:pt>
                <c:pt idx="24">
                  <c:v>1249.0497498836351</c:v>
                </c:pt>
                <c:pt idx="25">
                  <c:v>1249.0497498836351</c:v>
                </c:pt>
                <c:pt idx="26">
                  <c:v>1251.622546187341</c:v>
                </c:pt>
                <c:pt idx="27">
                  <c:v>1251.622546187341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E8-4022-994D-42D4D19DB7C2}"/>
            </c:ext>
          </c:extLst>
        </c:ser>
        <c:ser>
          <c:idx val="20"/>
          <c:order val="7"/>
          <c:tx>
            <c:strRef>
              <c:f>'Ma trận HDPE thổi'!$CF$10</c:f>
              <c:strCache>
                <c:ptCount val="1"/>
                <c:pt idx="0">
                  <c:v>DTR (Home care)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thổi'!$DJ$5:$KG$5</c:f>
              <c:strCache>
                <c:ptCount val="2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'Ma trận HDPE thổi'!$CG$10:$HZ$10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B-CAAF-44C9-843C-6D3132449A8D}"/>
            </c:ext>
          </c:extLst>
        </c:ser>
        <c:ser>
          <c:idx val="8"/>
          <c:order val="8"/>
          <c:tx>
            <c:strRef>
              <c:f>'Ma trận HDPE thổi'!$CF$14</c:f>
              <c:strCache>
                <c:ptCount val="1"/>
                <c:pt idx="0">
                  <c:v>DTR-Giá FOB rHD xuất xưởng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thổi'!$DJ$5:$KG$5</c:f>
              <c:strCache>
                <c:ptCount val="2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'Ma trận HDPE thổi'!$CG$14:$EJ$14</c:f>
            </c:numRef>
          </c:val>
          <c:smooth val="0"/>
          <c:extLst>
            <c:ext xmlns:c16="http://schemas.microsoft.com/office/drawing/2014/chart" uri="{C3380CC4-5D6E-409C-BE32-E72D297353CC}">
              <c16:uniqueId val="{0000001F-CAAF-44C9-843C-6D3132449A8D}"/>
            </c:ext>
          </c:extLst>
        </c:ser>
        <c:ser>
          <c:idx val="19"/>
          <c:order val="9"/>
          <c:tx>
            <c:strRef>
              <c:f>'Ma trận HDPE thổi'!$CF$27</c:f>
              <c:strCache>
                <c:ptCount val="1"/>
                <c:pt idx="0">
                  <c:v>Điểm hòa vốn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thổi'!$DJ$5:$KG$5</c:f>
              <c:strCache>
                <c:ptCount val="2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'Ma trận HDPE thổi'!$CG$27:$EJ$27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A-CAAF-44C9-843C-6D3132449A8D}"/>
            </c:ext>
          </c:extLst>
        </c:ser>
        <c:ser>
          <c:idx val="9"/>
          <c:order val="11"/>
          <c:tx>
            <c:strRef>
              <c:f>'Ma trận HDPE thổi'!$CF$15</c:f>
              <c:strCache>
                <c:ptCount val="1"/>
                <c:pt idx="0">
                  <c:v>Giá Dafon CIF_ĐNÁ rHD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thổi'!$DJ$5:$KG$5</c:f>
              <c:strCache>
                <c:ptCount val="2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'Ma trận HDPE thổi'!$CG$15:$EJ$15</c:f>
            </c:numRef>
          </c:val>
          <c:smooth val="0"/>
          <c:extLst>
            <c:ext xmlns:c16="http://schemas.microsoft.com/office/drawing/2014/chart" uri="{C3380CC4-5D6E-409C-BE32-E72D297353CC}">
              <c16:uniqueId val="{00000020-CAAF-44C9-843C-6D3132449A8D}"/>
            </c:ext>
          </c:extLst>
        </c:ser>
        <c:ser>
          <c:idx val="10"/>
          <c:order val="12"/>
          <c:tx>
            <c:strRef>
              <c:f>'Ma trận HDPE thổi'!$CF$16</c:f>
              <c:strCache>
                <c:ptCount val="1"/>
                <c:pt idx="0">
                  <c:v>ICIS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thổi'!$DJ$5:$KG$5</c:f>
              <c:strCache>
                <c:ptCount val="2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'Ma trận HDPE thổi'!$CG$16:$GB$16</c:f>
            </c:numRef>
          </c:val>
          <c:smooth val="0"/>
          <c:extLst>
            <c:ext xmlns:c16="http://schemas.microsoft.com/office/drawing/2014/chart" uri="{C3380CC4-5D6E-409C-BE32-E72D297353CC}">
              <c16:uniqueId val="{00000021-CAAF-44C9-843C-6D3132449A8D}"/>
            </c:ext>
          </c:extLst>
        </c:ser>
        <c:ser>
          <c:idx val="15"/>
          <c:order val="13"/>
          <c:tx>
            <c:strRef>
              <c:f>'Ma trận HDPE thổi'!$CF$23</c:f>
              <c:strCache>
                <c:ptCount val="1"/>
                <c:pt idx="0">
                  <c:v>Giá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thổi'!$DJ$5:$KG$5</c:f>
              <c:strCache>
                <c:ptCount val="2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'Ma trận HDPE thổi'!$CG$23:$EJ$23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CAAF-44C9-843C-6D3132449A8D}"/>
            </c:ext>
          </c:extLst>
        </c:ser>
        <c:ser>
          <c:idx val="2"/>
          <c:order val="15"/>
          <c:tx>
            <c:strRef>
              <c:f>'Ma trận HDPE thổi'!$CF$21</c:f>
              <c:strCache>
                <c:ptCount val="1"/>
                <c:pt idx="0">
                  <c:v>Kingfa ( màu trắng)</c:v>
                </c:pt>
              </c:strCache>
            </c:strRef>
          </c:tx>
          <c:spPr>
            <a:ln w="444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thổi'!$DJ$5:$KG$5</c:f>
              <c:strCache>
                <c:ptCount val="2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'Ma trận HDPE thổi'!$JF$21:$KG$21</c:f>
              <c:numCache>
                <c:formatCode>"$"#,##0_);\("$"#,##0\)</c:formatCode>
                <c:ptCount val="28"/>
                <c:pt idx="23">
                  <c:v>1179</c:v>
                </c:pt>
                <c:pt idx="24">
                  <c:v>1179</c:v>
                </c:pt>
                <c:pt idx="25">
                  <c:v>1179</c:v>
                </c:pt>
                <c:pt idx="26">
                  <c:v>1179</c:v>
                </c:pt>
                <c:pt idx="27">
                  <c:v>1202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6D-422D-85BD-3FBF2915F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818818447"/>
        <c:axId val="818831887"/>
        <c:extLst/>
      </c:lineChart>
      <c:catAx>
        <c:axId val="81881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8831887"/>
        <c:crosses val="autoZero"/>
        <c:auto val="1"/>
        <c:lblAlgn val="ctr"/>
        <c:lblOffset val="100"/>
        <c:noMultiLvlLbl val="0"/>
      </c:catAx>
      <c:valAx>
        <c:axId val="818831887"/>
        <c:scaling>
          <c:orientation val="minMax"/>
          <c:min val="750"/>
        </c:scaling>
        <c:delete val="0"/>
        <c:axPos val="l"/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881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7030A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6607016229989542"/>
          <c:y val="0.2389253526056998"/>
          <c:w val="0.12857191273309421"/>
          <c:h val="0.662662133420656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ÉP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&amp;2026 (USD/tấn)</a:t>
            </a:r>
          </a:p>
        </c:rich>
      </c:tx>
      <c:layout>
        <c:manualLayout>
          <c:xMode val="edge"/>
          <c:yMode val="edge"/>
          <c:x val="0.24099578504810243"/>
          <c:y val="2.94767559130521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555784504827435E-2"/>
          <c:y val="0.19886197355152449"/>
          <c:w val="0.80266374357885328"/>
          <c:h val="0.71109256865279902"/>
        </c:manualLayout>
      </c:layout>
      <c:lineChart>
        <c:grouping val="standard"/>
        <c:varyColors val="0"/>
        <c:ser>
          <c:idx val="5"/>
          <c:order val="0"/>
          <c:tx>
            <c:strRef>
              <c:f>'Ma trận HDPE Ép'!$H$13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6265223032068104E-2"/>
                  <c:y val="-3.12433234191133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943-40C3-8D82-85D3512F2C8E}"/>
                </c:ext>
              </c:extLst>
            </c:dLbl>
            <c:dLbl>
              <c:idx val="1"/>
              <c:layout>
                <c:manualLayout>
                  <c:x val="-2.2590587544539166E-2"/>
                  <c:y val="-2.6436658277711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943-40C3-8D82-85D3512F2C8E}"/>
                </c:ext>
              </c:extLst>
            </c:dLbl>
            <c:dLbl>
              <c:idx val="2"/>
              <c:layout>
                <c:manualLayout>
                  <c:x val="-1.2792008347468934E-2"/>
                  <c:y val="-1.68233279949072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943-40C3-8D82-85D3512F2C8E}"/>
                </c:ext>
              </c:extLst>
            </c:dLbl>
            <c:dLbl>
              <c:idx val="3"/>
              <c:layout>
                <c:manualLayout>
                  <c:x val="-1.4498006524102935E-2"/>
                  <c:y val="2.656523324065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943-40C3-8D82-85D3512F2C8E}"/>
                </c:ext>
              </c:extLst>
            </c:dLbl>
            <c:dLbl>
              <c:idx val="4"/>
              <c:layout>
                <c:manualLayout>
                  <c:x val="-1.6310257339615802E-2"/>
                  <c:y val="-3.13952756480481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F5-43F3-91B3-296FB01F26CF}"/>
                </c:ext>
              </c:extLst>
            </c:dLbl>
            <c:dLbl>
              <c:idx val="5"/>
              <c:layout>
                <c:manualLayout>
                  <c:x val="-1.2685755708590069E-2"/>
                  <c:y val="-3.62253180554401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FF-4BC7-8AC1-3279FB99CFF0}"/>
                </c:ext>
              </c:extLst>
            </c:dLbl>
            <c:dLbl>
              <c:idx val="6"/>
              <c:layout>
                <c:manualLayout>
                  <c:x val="-1.6310257339615934E-2"/>
                  <c:y val="-2.8980254444352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A1-4846-8D32-BB6A06519F78}"/>
                </c:ext>
              </c:extLst>
            </c:dLbl>
            <c:dLbl>
              <c:idx val="7"/>
              <c:layout>
                <c:manualLayout>
                  <c:x val="-1.6310257339615802E-2"/>
                  <c:y val="-3.13952756480481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C6-4DBD-B930-70DAE795F2C6}"/>
                </c:ext>
              </c:extLst>
            </c:dLbl>
            <c:dLbl>
              <c:idx val="8"/>
              <c:layout>
                <c:manualLayout>
                  <c:x val="-1.5404131931859502E-2"/>
                  <c:y val="-2.6565233240656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6E-4F5C-A990-F312101906AC}"/>
                </c:ext>
              </c:extLst>
            </c:dLbl>
            <c:dLbl>
              <c:idx val="9"/>
              <c:layout>
                <c:manualLayout>
                  <c:x val="-1.0873504893077202E-2"/>
                  <c:y val="-2.64444821804713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6B-4F2A-86DD-CB03AD9C5562}"/>
                </c:ext>
              </c:extLst>
            </c:dLbl>
            <c:dLbl>
              <c:idx val="10"/>
              <c:layout>
                <c:manualLayout>
                  <c:x val="-7.2490032620514677E-3"/>
                  <c:y val="-1.91994185693832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6B-4F2A-86DD-CB03AD9C5562}"/>
                </c:ext>
              </c:extLst>
            </c:dLbl>
            <c:dLbl>
              <c:idx val="11"/>
              <c:layout>
                <c:manualLayout>
                  <c:x val="-6.3428778542950343E-3"/>
                  <c:y val="-2.6444482180471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6B-4F2A-86DD-CB03AD9C5562}"/>
                </c:ext>
              </c:extLst>
            </c:dLbl>
            <c:dLbl>
              <c:idx val="12"/>
              <c:layout>
                <c:manualLayout>
                  <c:x val="-9.9673794853209017E-3"/>
                  <c:y val="-2.6444482180471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A3-4FB9-BA3B-F05329FF2457}"/>
                </c:ext>
              </c:extLst>
            </c:dLbl>
            <c:dLbl>
              <c:idx val="13"/>
              <c:layout>
                <c:manualLayout>
                  <c:x val="-2.8996013048206006E-2"/>
                  <c:y val="-4.09346094026473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28-4BD9-91C5-C232ECD962D2}"/>
                </c:ext>
              </c:extLst>
            </c:dLbl>
            <c:dLbl>
              <c:idx val="14"/>
              <c:layout>
                <c:manualLayout>
                  <c:x val="-3.8963392533526639E-2"/>
                  <c:y val="-2.64444821804713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EE-4D03-9C69-C226DE61183F}"/>
                </c:ext>
              </c:extLst>
            </c:dLbl>
            <c:dLbl>
              <c:idx val="15"/>
              <c:layout>
                <c:manualLayout>
                  <c:x val="-2.3785791953606378E-2"/>
                  <c:y val="-3.6104566995255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93-46B9-9378-B680073D67D9}"/>
                </c:ext>
              </c:extLst>
            </c:dLbl>
            <c:dLbl>
              <c:idx val="16"/>
              <c:layout>
                <c:manualLayout>
                  <c:x val="-2.2879666545849945E-2"/>
                  <c:y val="-3.1274524587863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F96-402C-B1F3-3C3B03173C53}"/>
                </c:ext>
              </c:extLst>
            </c:dLbl>
            <c:dLbl>
              <c:idx val="17"/>
              <c:layout>
                <c:manualLayout>
                  <c:x val="-1.6536788691555043E-2"/>
                  <c:y val="-3.85195881989513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B8-4356-9FBF-0541D5199F70}"/>
                </c:ext>
              </c:extLst>
            </c:dLbl>
            <c:dLbl>
              <c:idx val="18"/>
              <c:layout>
                <c:manualLayout>
                  <c:x val="-1.6536788691554911E-2"/>
                  <c:y val="-3.1274524587863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1A-462A-ACA0-735E9195C9A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Ép'!$I$5:$AY$5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Ép'!$I$13:$AY$13</c:f>
              <c:numCache>
                <c:formatCode>_(* #,##0_);_(* \(#,##0\);_(* "-"??_);_(@_)</c:formatCode>
                <c:ptCount val="19"/>
                <c:pt idx="0">
                  <c:v>940</c:v>
                </c:pt>
                <c:pt idx="1">
                  <c:v>946</c:v>
                </c:pt>
                <c:pt idx="2">
                  <c:v>940</c:v>
                </c:pt>
                <c:pt idx="3" formatCode="General">
                  <c:v>905</c:v>
                </c:pt>
                <c:pt idx="4" formatCode="General">
                  <c:v>908</c:v>
                </c:pt>
                <c:pt idx="5" formatCode="General">
                  <c:v>915</c:v>
                </c:pt>
                <c:pt idx="6" formatCode="General">
                  <c:v>930</c:v>
                </c:pt>
                <c:pt idx="7" formatCode="General">
                  <c:v>930</c:v>
                </c:pt>
                <c:pt idx="8">
                  <c:v>915</c:v>
                </c:pt>
                <c:pt idx="9" formatCode="General">
                  <c:v>870</c:v>
                </c:pt>
                <c:pt idx="10">
                  <c:v>840</c:v>
                </c:pt>
                <c:pt idx="11">
                  <c:v>830</c:v>
                </c:pt>
                <c:pt idx="12">
                  <c:v>830</c:v>
                </c:pt>
                <c:pt idx="13">
                  <c:v>830</c:v>
                </c:pt>
                <c:pt idx="14">
                  <c:v>1268.75</c:v>
                </c:pt>
                <c:pt idx="15">
                  <c:v>1450</c:v>
                </c:pt>
                <c:pt idx="16">
                  <c:v>1390</c:v>
                </c:pt>
                <c:pt idx="17">
                  <c:v>1247.5</c:v>
                </c:pt>
                <c:pt idx="18">
                  <c:v>1055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943-40C3-8D82-85D3512F2C8E}"/>
            </c:ext>
          </c:extLst>
        </c:ser>
        <c:ser>
          <c:idx val="2"/>
          <c:order val="1"/>
          <c:tx>
            <c:strRef>
              <c:f>'Ma trận HDPE Ép'!$H$8</c:f>
              <c:strCache>
                <c:ptCount val="1"/>
                <c:pt idx="0">
                  <c:v>DTR-nội địa</c:v>
                </c:pt>
              </c:strCache>
            </c:strRef>
          </c:tx>
          <c:spPr>
            <a:ln w="444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DF-440E-B03E-972D077B22B4}"/>
                </c:ext>
              </c:extLst>
            </c:dLbl>
            <c:dLbl>
              <c:idx val="9"/>
              <c:layout>
                <c:manualLayout>
                  <c:x val="-1.4498006524102935E-2"/>
                  <c:y val="-2.8859503384167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DF-440E-B03E-972D077B22B4}"/>
                </c:ext>
              </c:extLst>
            </c:dLbl>
            <c:dLbl>
              <c:idx val="10"/>
              <c:layout>
                <c:manualLayout>
                  <c:x val="-1.0873504893077202E-2"/>
                  <c:y val="-3.1274524587863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05-4899-9B80-217E9A5E700A}"/>
                </c:ext>
              </c:extLst>
            </c:dLbl>
            <c:dLbl>
              <c:idx val="11"/>
              <c:layout>
                <c:manualLayout>
                  <c:x val="-1.4498006524102935E-2"/>
                  <c:y val="-3.1274524587863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DF-440E-B03E-972D077B22B4}"/>
                </c:ext>
              </c:extLst>
            </c:dLbl>
            <c:dLbl>
              <c:idx val="12"/>
              <c:layout>
                <c:manualLayout>
                  <c:x val="-1.1779630300833769E-2"/>
                  <c:y val="-3.36895457915593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40E-4BD2-8BA5-D46A534EBAE3}"/>
                </c:ext>
              </c:extLst>
            </c:dLbl>
            <c:dLbl>
              <c:idx val="13"/>
              <c:layout>
                <c:manualLayout>
                  <c:x val="-1.5404131931859369E-2"/>
                  <c:y val="-3.1274524587863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28-4BD9-91C5-C232ECD962D2}"/>
                </c:ext>
              </c:extLst>
            </c:dLbl>
            <c:dLbl>
              <c:idx val="14"/>
              <c:layout>
                <c:manualLayout>
                  <c:x val="-1.9028633562885103E-2"/>
                  <c:y val="3.15160267082328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EE-4D03-9C69-C226DE61183F}"/>
                </c:ext>
              </c:extLst>
            </c:dLbl>
            <c:dLbl>
              <c:idx val="15"/>
              <c:layout>
                <c:manualLayout>
                  <c:x val="-2.2879666545849945E-2"/>
                  <c:y val="-3.61045669952553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93-46B9-9378-B680073D67D9}"/>
                </c:ext>
              </c:extLst>
            </c:dLbl>
            <c:dLbl>
              <c:idx val="16"/>
              <c:layout>
                <c:manualLayout>
                  <c:x val="-2.1973541138093512E-2"/>
                  <c:y val="-3.12745245878632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96-402C-B1F3-3C3B03173C53}"/>
                </c:ext>
              </c:extLst>
            </c:dLbl>
            <c:dLbl>
              <c:idx val="17"/>
              <c:layout>
                <c:manualLayout>
                  <c:x val="-1.4724537876042044E-2"/>
                  <c:y val="-3.12745245878634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B8-4356-9FBF-0541D5199F7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Ép'!$I$5:$AY$5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Ép'!$I$8:$AY$8</c:f>
              <c:numCache>
                <c:formatCode>"$"#,##0_);\("$"#,##0\)</c:formatCode>
                <c:ptCount val="19"/>
                <c:pt idx="0">
                  <c:v>870</c:v>
                </c:pt>
                <c:pt idx="1">
                  <c:v>800</c:v>
                </c:pt>
                <c:pt idx="2">
                  <c:v>805</c:v>
                </c:pt>
                <c:pt idx="3">
                  <c:v>805</c:v>
                </c:pt>
                <c:pt idx="4">
                  <c:v>765</c:v>
                </c:pt>
                <c:pt idx="5">
                  <c:v>765</c:v>
                </c:pt>
                <c:pt idx="6">
                  <c:v>780</c:v>
                </c:pt>
                <c:pt idx="7">
                  <c:v>760</c:v>
                </c:pt>
                <c:pt idx="8">
                  <c:v>760</c:v>
                </c:pt>
                <c:pt idx="9">
                  <c:v>760</c:v>
                </c:pt>
                <c:pt idx="10">
                  <c:v>740</c:v>
                </c:pt>
                <c:pt idx="11">
                  <c:v>740</c:v>
                </c:pt>
                <c:pt idx="12">
                  <c:v>740</c:v>
                </c:pt>
                <c:pt idx="13">
                  <c:v>740</c:v>
                </c:pt>
                <c:pt idx="14">
                  <c:v>740</c:v>
                </c:pt>
                <c:pt idx="15">
                  <c:v>1230</c:v>
                </c:pt>
                <c:pt idx="16">
                  <c:v>1230</c:v>
                </c:pt>
                <c:pt idx="17">
                  <c:v>1130</c:v>
                </c:pt>
                <c:pt idx="18">
                  <c:v>1040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43-40C3-8D82-85D3512F2C8E}"/>
            </c:ext>
          </c:extLst>
        </c:ser>
        <c:ser>
          <c:idx val="9"/>
          <c:order val="2"/>
          <c:tx>
            <c:strRef>
              <c:f>'Ma trận HDPE Ép'!$H$17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1261326567596948E-2"/>
                  <c:y val="-4.709291347207217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E8-4BAB-A9E2-CDE57A43CC25}"/>
                </c:ext>
              </c:extLst>
            </c:dLbl>
            <c:dLbl>
              <c:idx val="3"/>
              <c:layout>
                <c:manualLayout>
                  <c:x val="-1.7817440198260301E-2"/>
                  <c:y val="-2.8719824219877302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943-40C3-8D82-85D3512F2C8E}"/>
                </c:ext>
              </c:extLst>
            </c:dLbl>
            <c:dLbl>
              <c:idx val="8"/>
              <c:layout>
                <c:manualLayout>
                  <c:x val="-2.4465386009423704E-2"/>
                  <c:y val="3.634606911562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0E-4BD2-8BA5-D46A534EBAE3}"/>
                </c:ext>
              </c:extLst>
            </c:dLbl>
            <c:dLbl>
              <c:idx val="14"/>
              <c:layout>
                <c:manualLayout>
                  <c:x val="-2.355926060166727E-2"/>
                  <c:y val="-3.12745245878634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EE-4D03-9C69-C226DE61183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Ép'!$I$5:$AY$5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Ép'!$I$17:$AY$17</c:f>
              <c:numCache>
                <c:formatCode>_(* #,##0_);_(* \(#,##0\);_(* "-"??_);_(@_)</c:formatCode>
                <c:ptCount val="19"/>
                <c:pt idx="0">
                  <c:v>892.9656675146</c:v>
                </c:pt>
                <c:pt idx="1">
                  <c:v>888.18378633668294</c:v>
                </c:pt>
                <c:pt idx="2">
                  <c:v>888.72553118965845</c:v>
                </c:pt>
                <c:pt idx="3">
                  <c:v>907.07292397839512</c:v>
                </c:pt>
                <c:pt idx="4">
                  <c:v>882.40131799312564</c:v>
                </c:pt>
                <c:pt idx="5">
                  <c:v>879.34169259731004</c:v>
                </c:pt>
                <c:pt idx="6">
                  <c:v>869.51494640636486</c:v>
                </c:pt>
                <c:pt idx="7">
                  <c:v>858.88795414284152</c:v>
                </c:pt>
                <c:pt idx="8">
                  <c:v>871.88030785226169</c:v>
                </c:pt>
                <c:pt idx="9">
                  <c:v>720.35177011385679</c:v>
                </c:pt>
                <c:pt idx="10">
                  <c:v>720.52419756540337</c:v>
                </c:pt>
                <c:pt idx="11">
                  <c:v>733.774414718137</c:v>
                </c:pt>
                <c:pt idx="12">
                  <c:v>747.86078922841239</c:v>
                </c:pt>
                <c:pt idx="13">
                  <c:v>740.87159509676439</c:v>
                </c:pt>
                <c:pt idx="14">
                  <c:v>746.42906346587836</c:v>
                </c:pt>
                <c:pt idx="15">
                  <c:v>774.16653942368782</c:v>
                </c:pt>
                <c:pt idx="16">
                  <c:v>732.9716038235124</c:v>
                </c:pt>
                <c:pt idx="17">
                  <c:v>750.60092810344258</c:v>
                </c:pt>
                <c:pt idx="18">
                  <c:v>753.75296484707974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943-40C3-8D82-85D3512F2C8E}"/>
            </c:ext>
          </c:extLst>
        </c:ser>
        <c:ser>
          <c:idx val="4"/>
          <c:order val="3"/>
          <c:tx>
            <c:strRef>
              <c:f>'Ma trận HDPE Ép'!$H$12</c:f>
              <c:strCache>
                <c:ptCount val="1"/>
                <c:pt idx="0">
                  <c:v>Hạt rHD ép (Châu Âu)-ICIS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Ép'!$I$5:$AY$5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Ép'!$I$12:$T$12</c:f>
            </c:numRef>
          </c:val>
          <c:smooth val="0"/>
          <c:extLst>
            <c:ext xmlns:c16="http://schemas.microsoft.com/office/drawing/2014/chart" uri="{C3380CC4-5D6E-409C-BE32-E72D297353CC}">
              <c16:uniqueId val="{0000000E-C943-40C3-8D82-85D3512F2C8E}"/>
            </c:ext>
          </c:extLst>
        </c:ser>
        <c:ser>
          <c:idx val="0"/>
          <c:order val="4"/>
          <c:tx>
            <c:strRef>
              <c:f>'Ma trận HDPE Ép'!$H$18</c:f>
              <c:strCache>
                <c:ptCount val="1"/>
                <c:pt idx="0">
                  <c:v>Điểm hòa vốn sử dụng 100% Olefin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 trận HDPE Ép'!$I$5:$AY$5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HDPE Ép'!$K$18:$P$18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FAD-4FB3-81DD-A3FC90516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smooth val="0"/>
        <c:axId val="172625807"/>
        <c:axId val="172626767"/>
        <c:extLst/>
      </c:lineChart>
      <c:catAx>
        <c:axId val="17262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626767"/>
        <c:crosses val="autoZero"/>
        <c:auto val="1"/>
        <c:lblAlgn val="ctr"/>
        <c:lblOffset val="100"/>
        <c:noMultiLvlLbl val="0"/>
      </c:catAx>
      <c:valAx>
        <c:axId val="172626767"/>
        <c:scaling>
          <c:orientation val="minMax"/>
          <c:min val="6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62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6481058411555023"/>
          <c:y val="0.20011398139444844"/>
          <c:w val="0.12524449419354305"/>
          <c:h val="0.643403414649778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ÉP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2026 (USD/tấn)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815244935559048E-2"/>
          <c:y val="0.10133436622795731"/>
          <c:w val="0.77860380722819766"/>
          <c:h val="0.83640054024363997"/>
        </c:manualLayout>
      </c:layout>
      <c:areaChart>
        <c:grouping val="stacked"/>
        <c:varyColors val="0"/>
        <c:ser>
          <c:idx val="0"/>
          <c:order val="5"/>
          <c:tx>
            <c:strRef>
              <c:f>'Ma trận HDPE Ép'!$BC$14</c:f>
              <c:strCache>
                <c:ptCount val="1"/>
                <c:pt idx="0">
                  <c:v>TTCP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'Ma trận HDPE Ép'!$BE$14:$CB$14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AEA-4748-859E-68298C155B0A}"/>
            </c:ext>
          </c:extLst>
        </c:ser>
        <c:ser>
          <c:idx val="1"/>
          <c:order val="6"/>
          <c:tx>
            <c:strRef>
              <c:f>'Ma trận HDPE Ép'!$BC$15</c:f>
              <c:strCache>
                <c:ptCount val="1"/>
                <c:pt idx="0">
                  <c:v>CL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'Ma trận HDPE Ép'!$BE$15:$CB$15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CAEA-4748-859E-68298C155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741855"/>
        <c:axId val="964739455"/>
        <c:extLst/>
      </c:areaChart>
      <c:lineChart>
        <c:grouping val="standard"/>
        <c:varyColors val="0"/>
        <c:ser>
          <c:idx val="4"/>
          <c:order val="0"/>
          <c:tx>
            <c:strRef>
              <c:f>'Ma trận HDPE Ép'!$BC$12</c:f>
              <c:strCache>
                <c:ptCount val="1"/>
                <c:pt idx="0">
                  <c:v>Hạt rHD ép (Châu Âu)-ICIS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5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Ép'!$BE$5:$IB$5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HDPE Ép'!$BD$12:$DM$12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D5-4F5D-973E-FA172BDB65A9}"/>
            </c:ext>
          </c:extLst>
        </c:ser>
        <c:ser>
          <c:idx val="7"/>
          <c:order val="1"/>
          <c:tx>
            <c:strRef>
              <c:f>'Ma trận HDPE Ép'!$F$11</c:f>
              <c:strCache>
                <c:ptCount val="1"/>
                <c:pt idx="0">
                  <c:v>DTR FOB rHD Ép- màu trắng&amp; đỏ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\ &quot;₫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Ép'!$BE$5:$IB$5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HDPE Ép'!$BE$11:$CC$11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227-4979-A557-0079A41E20E9}"/>
            </c:ext>
          </c:extLst>
        </c:ser>
        <c:ser>
          <c:idx val="6"/>
          <c:order val="2"/>
          <c:tx>
            <c:strRef>
              <c:f>'Ma trận HDPE Ép'!$BC$10</c:f>
              <c:strCache>
                <c:ptCount val="1"/>
                <c:pt idx="0">
                  <c:v>DTR-xuất hóa đơn (màu trắng&amp; đỏ)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Ép'!$BE$5:$IB$5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HDPE Ép'!$BE$10:$CJ$10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227-4979-A557-0079A41E20E9}"/>
            </c:ext>
          </c:extLst>
        </c:ser>
        <c:ser>
          <c:idx val="2"/>
          <c:order val="3"/>
          <c:tx>
            <c:strRef>
              <c:f>'Ma trận HDPE Ép'!$BC$7</c:f>
              <c:strCache>
                <c:ptCount val="1"/>
                <c:pt idx="0">
                  <c:v>DTR (PTBV)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Ép'!$BE$5:$IB$5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HDPE Ép'!$BD$7:$GD$7</c:f>
            </c:numRef>
          </c:val>
          <c:smooth val="0"/>
          <c:extLst>
            <c:ext xmlns:c16="http://schemas.microsoft.com/office/drawing/2014/chart" uri="{C3380CC4-5D6E-409C-BE32-E72D297353CC}">
              <c16:uniqueId val="{00000002-39D5-4F5D-973E-FA172BDB65A9}"/>
            </c:ext>
          </c:extLst>
        </c:ser>
        <c:ser>
          <c:idx val="5"/>
          <c:order val="4"/>
          <c:tx>
            <c:strRef>
              <c:f>'Ma trận HDPE Ép'!$BC$13</c:f>
              <c:strCache>
                <c:ptCount val="1"/>
                <c:pt idx="0">
                  <c:v>RESIN</c:v>
                </c:pt>
              </c:strCache>
            </c:strRef>
          </c:tx>
          <c:spPr>
            <a:ln w="444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607841761208066E-2"/>
                  <c:y val="-2.2933149868134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4B3-4C70-839F-5BBD2566A7B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C9-45C4-A6B4-3BE57A7D512A}"/>
                </c:ext>
              </c:extLst>
            </c:dLbl>
            <c:dLbl>
              <c:idx val="8"/>
              <c:layout>
                <c:manualLayout>
                  <c:x val="-2.7183598805311186E-2"/>
                  <c:y val="-3.45143905515422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6D-44D2-B413-FCDB4A87496D}"/>
                </c:ext>
              </c:extLst>
            </c:dLbl>
            <c:dLbl>
              <c:idx val="9"/>
              <c:layout>
                <c:manualLayout>
                  <c:x val="-3.4313723082114181E-2"/>
                  <c:y val="-1.15812406834078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6D-44D2-B413-FCDB4A87496D}"/>
                </c:ext>
              </c:extLst>
            </c:dLbl>
            <c:dLbl>
              <c:idx val="10"/>
              <c:layout>
                <c:manualLayout>
                  <c:x val="-4.1666663742567209E-2"/>
                  <c:y val="-2.3047815617475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59-4D9D-8CF5-734CD3848C05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EC-40FC-8E6B-097D29FB28C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EC-40FC-8E6B-097D29FB28C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EC-40FC-8E6B-097D29FB28C5}"/>
                </c:ext>
              </c:extLst>
            </c:dLbl>
            <c:dLbl>
              <c:idx val="26"/>
              <c:layout>
                <c:manualLayout>
                  <c:x val="-1.0026737264254125E-2"/>
                  <c:y val="-2.7634445591101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EF-4BFB-9721-FEA34F977E83}"/>
                </c:ext>
              </c:extLst>
            </c:dLbl>
            <c:dLbl>
              <c:idx val="27"/>
              <c:layout>
                <c:manualLayout>
                  <c:x val="-1.1140819182504584E-3"/>
                  <c:y val="-1.61678706570347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BB-434E-8721-2A7C6A89AF0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Ép'!$BE$5:$IB$5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HDPE Ép'!$BD$13:$IB$13</c:f>
              <c:numCache>
                <c:formatCode>_(* #.##0_);_(* \(#.##0\);_(* "-"??_);_(@_)</c:formatCode>
                <c:ptCount val="28"/>
                <c:pt idx="0">
                  <c:v>830</c:v>
                </c:pt>
                <c:pt idx="1">
                  <c:v>830</c:v>
                </c:pt>
                <c:pt idx="2">
                  <c:v>830</c:v>
                </c:pt>
                <c:pt idx="3">
                  <c:v>830</c:v>
                </c:pt>
                <c:pt idx="4">
                  <c:v>830</c:v>
                </c:pt>
                <c:pt idx="5">
                  <c:v>830</c:v>
                </c:pt>
                <c:pt idx="6">
                  <c:v>830</c:v>
                </c:pt>
                <c:pt idx="7">
                  <c:v>830</c:v>
                </c:pt>
                <c:pt idx="8">
                  <c:v>830</c:v>
                </c:pt>
                <c:pt idx="9">
                  <c:v>975</c:v>
                </c:pt>
                <c:pt idx="10">
                  <c:v>1250</c:v>
                </c:pt>
                <c:pt idx="11">
                  <c:v>1400</c:v>
                </c:pt>
                <c:pt idx="12">
                  <c:v>1450</c:v>
                </c:pt>
                <c:pt idx="13" formatCode="_(* #,##0_);_(* \(#,##0\);_(* &quot;-&quot;_);_(@_)">
                  <c:v>1450</c:v>
                </c:pt>
                <c:pt idx="14" formatCode="_(* #,##0_);_(* \(#,##0\);_(* &quot;-&quot;_);_(@_)">
                  <c:v>1450</c:v>
                </c:pt>
                <c:pt idx="15" formatCode="_(* #,##0_);_(* \(#,##0\);_(* &quot;-&quot;_);_(@_)">
                  <c:v>1450</c:v>
                </c:pt>
                <c:pt idx="16" formatCode="_(* #,##0_);_(* \(#,##0\);_(* &quot;-&quot;_);_(@_)">
                  <c:v>1450</c:v>
                </c:pt>
                <c:pt idx="17" formatCode="_(* #,##0_);_(* \(#,##0\);_(* &quot;-&quot;_);_(@_)">
                  <c:v>1450</c:v>
                </c:pt>
                <c:pt idx="18" formatCode="_(* #,##0_);_(* \(#,##0\);_(* &quot;-&quot;_);_(@_)">
                  <c:v>1450</c:v>
                </c:pt>
                <c:pt idx="19" formatCode="_(* #,##0_);_(* \(#,##0\);_(* &quot;-&quot;_);_(@_)">
                  <c:v>1400</c:v>
                </c:pt>
                <c:pt idx="20" formatCode="_(* #,##0_);_(* \(#,##0\);_(* &quot;-&quot;_);_(@_)">
                  <c:v>1380</c:v>
                </c:pt>
                <c:pt idx="21" formatCode="_(* #,##0_);_(* \(#,##0\);_(* &quot;-&quot;_);_(@_)">
                  <c:v>1330</c:v>
                </c:pt>
                <c:pt idx="22" formatCode="_(* #,##0_);_(* \(#,##0\);_(* &quot;-&quot;_);_(@_)">
                  <c:v>1300</c:v>
                </c:pt>
                <c:pt idx="23" formatCode="_(* #,##0_);_(* \(#,##0\);_(* &quot;-&quot;_);_(@_)">
                  <c:v>1250</c:v>
                </c:pt>
                <c:pt idx="24" formatCode="_(* #,##0_);_(* \(#,##0\);_(* &quot;-&quot;_);_(@_)">
                  <c:v>1220</c:v>
                </c:pt>
                <c:pt idx="25" formatCode="_(* #,##0_);_(* \(#,##0\);_(* &quot;-&quot;_);_(@_)">
                  <c:v>1220</c:v>
                </c:pt>
                <c:pt idx="26" formatCode="_(* #,##0_);_(* \(#,##0\);_(* &quot;-&quot;_);_(@_)">
                  <c:v>1100</c:v>
                </c:pt>
                <c:pt idx="27" formatCode="_(* #,##0_);_(* \(#,##0\);_(* &quot;-&quot;_);_(@_)">
                  <c:v>1010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D5-4F5D-973E-FA172BDB65A9}"/>
            </c:ext>
          </c:extLst>
        </c:ser>
        <c:ser>
          <c:idx val="3"/>
          <c:order val="7"/>
          <c:tx>
            <c:strRef>
              <c:f>'Ma trận HDPE Ép'!$BC$16</c:f>
              <c:strCache>
                <c:ptCount val="1"/>
                <c:pt idx="0">
                  <c:v>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'Ma trận HDPE Ép'!$BE$5:$IB$5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HDPE Ép'!$BE$16:$CB$16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AEA-4748-859E-68298C155B0A}"/>
            </c:ext>
          </c:extLst>
        </c:ser>
        <c:ser>
          <c:idx val="8"/>
          <c:order val="8"/>
          <c:tx>
            <c:strRef>
              <c:f>'Ma trận HDPE Ép'!$BC$8</c:f>
              <c:strCache>
                <c:ptCount val="1"/>
                <c:pt idx="0">
                  <c:v>DTR-nội địa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0944740063108619E-2"/>
                  <c:y val="-3.4285059052860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87-411E-B2D3-E07EDA9C604A}"/>
                </c:ext>
              </c:extLst>
            </c:dLbl>
            <c:dLbl>
              <c:idx val="12"/>
              <c:layout>
                <c:manualLayout>
                  <c:x val="-2.9857395409112284E-2"/>
                  <c:y val="-4.3458319000114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55-4B5E-AFF1-6A988B10ACFD}"/>
                </c:ext>
              </c:extLst>
            </c:dLbl>
            <c:dLbl>
              <c:idx val="13"/>
              <c:layout>
                <c:manualLayout>
                  <c:x val="-8.6898389623537055E-3"/>
                  <c:y val="-2.2818484118793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AF-48BE-8A4D-51FD5000CA6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0D-456D-A6EE-5F980E6718D4}"/>
                </c:ext>
              </c:extLst>
            </c:dLbl>
            <c:dLbl>
              <c:idx val="15"/>
              <c:layout>
                <c:manualLayout>
                  <c:x val="-1.4037432169955776E-2"/>
                  <c:y val="-2.9698429079234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25-4B06-8D52-7990A30D0D5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72-4CD7-9DFE-F884AFEB1864}"/>
                </c:ext>
              </c:extLst>
            </c:dLbl>
            <c:dLbl>
              <c:idx val="17"/>
              <c:layout>
                <c:manualLayout>
                  <c:x val="-1.4037432169955776E-2"/>
                  <c:y val="-2.9698429079234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1F-4881-9DFD-CB760EA1AC67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4EC-40FC-8E6B-097D29FB28C5}"/>
                </c:ext>
              </c:extLst>
            </c:dLbl>
            <c:dLbl>
              <c:idx val="19"/>
              <c:layout>
                <c:manualLayout>
                  <c:x val="-8.6898389623537055E-3"/>
                  <c:y val="-2.5111799105607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01-400E-A737-B7539E980683}"/>
                </c:ext>
              </c:extLst>
            </c:dLbl>
            <c:dLbl>
              <c:idx val="20"/>
              <c:layout>
                <c:manualLayout>
                  <c:x val="-7.1301242768030647E-3"/>
                  <c:y val="-2.75197798417612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8F-4B1A-97EF-C57FBC12427C}"/>
                </c:ext>
              </c:extLst>
            </c:dLbl>
            <c:dLbl>
              <c:idx val="21"/>
              <c:layout>
                <c:manualLayout>
                  <c:x val="-2.0721923679458656E-2"/>
                  <c:y val="-2.5111799105607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CB-4489-9DFD-660F8F5E9E1C}"/>
                </c:ext>
              </c:extLst>
            </c:dLbl>
            <c:dLbl>
              <c:idx val="22"/>
              <c:layout>
                <c:manualLayout>
                  <c:x val="-1.8048127075657425E-2"/>
                  <c:y val="-2.7405114092420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15-473F-AE66-E6EAD61B5913}"/>
                </c:ext>
              </c:extLst>
            </c:dLbl>
            <c:dLbl>
              <c:idx val="23"/>
              <c:layout>
                <c:manualLayout>
                  <c:x val="-1.3248697261028727E-2"/>
                  <c:y val="-3.1991744066047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15-473F-AE66-E6EAD61B5913}"/>
                </c:ext>
              </c:extLst>
            </c:dLbl>
            <c:dLbl>
              <c:idx val="24"/>
              <c:layout>
                <c:manualLayout>
                  <c:x val="-6.4616751258526591E-3"/>
                  <c:y val="-2.7405114092420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A4-4783-B861-9B220C480D05}"/>
                </c:ext>
              </c:extLst>
            </c:dLbl>
            <c:dLbl>
              <c:idx val="25"/>
              <c:layout>
                <c:manualLayout>
                  <c:x val="-3.2308375629263295E-2"/>
                  <c:y val="3.45143905515422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EF-4BFB-9721-FEA34F977E83}"/>
                </c:ext>
              </c:extLst>
            </c:dLbl>
            <c:dLbl>
              <c:idx val="26"/>
              <c:layout>
                <c:manualLayout>
                  <c:x val="-2.6737966038011002E-3"/>
                  <c:y val="-1.59385391583534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EF-4BFB-9721-FEA34F977E83}"/>
                </c:ext>
              </c:extLst>
            </c:dLbl>
            <c:dLbl>
              <c:idx val="27"/>
              <c:layout>
                <c:manualLayout>
                  <c:x val="-2.6737966038011002E-3"/>
                  <c:y val="-9.058594197913083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BB-434E-8721-2A7C6A89AF0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Ép'!$BE$5:$IB$5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HDPE Ép'!$BE$8:$IB$8</c:f>
              <c:numCache>
                <c:formatCode>"$"#,##0_);\("$"#,##0\)</c:formatCode>
                <c:ptCount val="28"/>
                <c:pt idx="0">
                  <c:v>740</c:v>
                </c:pt>
                <c:pt idx="1">
                  <c:v>740</c:v>
                </c:pt>
                <c:pt idx="2">
                  <c:v>740</c:v>
                </c:pt>
                <c:pt idx="3">
                  <c:v>740</c:v>
                </c:pt>
                <c:pt idx="4">
                  <c:v>740</c:v>
                </c:pt>
                <c:pt idx="5">
                  <c:v>740</c:v>
                </c:pt>
                <c:pt idx="6">
                  <c:v>740</c:v>
                </c:pt>
                <c:pt idx="7">
                  <c:v>740</c:v>
                </c:pt>
                <c:pt idx="8">
                  <c:v>740</c:v>
                </c:pt>
                <c:pt idx="9">
                  <c:v>740</c:v>
                </c:pt>
                <c:pt idx="10">
                  <c:v>740</c:v>
                </c:pt>
                <c:pt idx="11">
                  <c:v>790</c:v>
                </c:pt>
                <c:pt idx="12">
                  <c:v>790</c:v>
                </c:pt>
                <c:pt idx="13" formatCode="_(* #,##0_);_(* \(#,##0\);_(* &quot;-&quot;_);_(@_)">
                  <c:v>1229.5</c:v>
                </c:pt>
                <c:pt idx="14" formatCode="_(* #,##0_);_(* \(#,##0\);_(* &quot;-&quot;_);_(@_)">
                  <c:v>1229.5</c:v>
                </c:pt>
                <c:pt idx="15" formatCode="_(* #,##0_);_(* \(#,##0\);_(* &quot;-&quot;_);_(@_)">
                  <c:v>1229.5</c:v>
                </c:pt>
                <c:pt idx="16" formatCode="_(* #,##0_);_(* \(#,##0\);_(* &quot;-&quot;_);_(@_)">
                  <c:v>1229.5</c:v>
                </c:pt>
                <c:pt idx="17" formatCode="_(* #,##0_);_(* \(#,##0\);_(* &quot;-&quot;_);_(@_)">
                  <c:v>1229.5</c:v>
                </c:pt>
                <c:pt idx="18" formatCode="_(* #,##0_);_(* \(#,##0\);_(* &quot;-&quot;_);_(@_)">
                  <c:v>1229.5</c:v>
                </c:pt>
                <c:pt idx="19" formatCode="_(* #,##0_);_(* \(#,##0\);_(* &quot;-&quot;_);_(@_)">
                  <c:v>1229.5</c:v>
                </c:pt>
                <c:pt idx="20" formatCode="_(* #,##0_);_(* \(#,##0\);_(* &quot;-&quot;_);_(@_)">
                  <c:v>1190</c:v>
                </c:pt>
                <c:pt idx="21" formatCode="_(* #,##0_);_(* \(#,##0\);_(* &quot;-&quot;_);_(@_)">
                  <c:v>1150</c:v>
                </c:pt>
                <c:pt idx="22" formatCode="_(* #,##0_);_(* \(#,##0\);_(* &quot;-&quot;_);_(@_)">
                  <c:v>1130</c:v>
                </c:pt>
                <c:pt idx="23" formatCode="_(* #,##0_);_(* \(#,##0\);_(* &quot;-&quot;_);_(@_)">
                  <c:v>1110</c:v>
                </c:pt>
                <c:pt idx="24" formatCode="_(* #,##0_);_(* \(#,##0\);_(* &quot;-&quot;_);_(@_)">
                  <c:v>1060</c:v>
                </c:pt>
                <c:pt idx="25" formatCode="_(* #,##0_);_(* \(#,##0\);_(* &quot;-&quot;_);_(@_)">
                  <c:v>1040</c:v>
                </c:pt>
                <c:pt idx="26" formatCode="_(* #,##0_);_(* \(#,##0\);_(* &quot;-&quot;_);_(@_)">
                  <c:v>1040</c:v>
                </c:pt>
                <c:pt idx="27" formatCode="_(* #,##0_);_(* \(#,##0\);_(* &quot;-&quot;_);_(@_)">
                  <c:v>940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837-412E-A8F2-59B2742DF986}"/>
            </c:ext>
          </c:extLst>
        </c:ser>
        <c:ser>
          <c:idx val="9"/>
          <c:order val="9"/>
          <c:tx>
            <c:strRef>
              <c:f>'Ma trận HDPE Ép'!$BC$17</c:f>
              <c:strCache>
                <c:ptCount val="1"/>
                <c:pt idx="0">
                  <c:v>Điểm hòa vốn</c:v>
                </c:pt>
              </c:strCache>
              <c:extLst xmlns:c15="http://schemas.microsoft.com/office/drawing/2012/chart"/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4B3-4C70-839F-5BBD2566A7B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55-4B5E-AFF1-6A988B10ACFD}"/>
                </c:ext>
              </c:extLst>
            </c:dLbl>
            <c:dLbl>
              <c:idx val="12"/>
              <c:layout>
                <c:manualLayout>
                  <c:x val="-2.7183598805311186E-2"/>
                  <c:y val="-1.61678706570347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55-4B5E-AFF1-6A988B10ACF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Ép'!$BE$5:$IB$5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HDPE Ép'!$BD$17:$IB$17</c:f>
              <c:numCache>
                <c:formatCode>_(* #,##0_);_(* \(#,##0\);_(* "-"??_);_(@_)</c:formatCode>
                <c:ptCount val="28"/>
                <c:pt idx="0">
                  <c:v>747.86078922841239</c:v>
                </c:pt>
                <c:pt idx="1">
                  <c:v>747.86078922841239</c:v>
                </c:pt>
                <c:pt idx="2">
                  <c:v>747.86078922841239</c:v>
                </c:pt>
                <c:pt idx="3">
                  <c:v>747.86078922841239</c:v>
                </c:pt>
                <c:pt idx="4">
                  <c:v>747.86078922841239</c:v>
                </c:pt>
                <c:pt idx="5">
                  <c:v>747.86078922841239</c:v>
                </c:pt>
                <c:pt idx="6">
                  <c:v>747.86078922841239</c:v>
                </c:pt>
                <c:pt idx="7">
                  <c:v>747.86078922841239</c:v>
                </c:pt>
                <c:pt idx="8">
                  <c:v>747.86078922841239</c:v>
                </c:pt>
                <c:pt idx="9">
                  <c:v>746.42906346587836</c:v>
                </c:pt>
                <c:pt idx="10">
                  <c:v>746.42906346587836</c:v>
                </c:pt>
                <c:pt idx="11">
                  <c:v>746.42906346587836</c:v>
                </c:pt>
                <c:pt idx="12">
                  <c:v>746.42906346587836</c:v>
                </c:pt>
                <c:pt idx="13" formatCode="_(* #,##0_);_(* \(#,##0\);_(* &quot;-&quot;_);_(@_)">
                  <c:v>774.16653942368782</c:v>
                </c:pt>
                <c:pt idx="14" formatCode="_(* #,##0_);_(* \(#,##0\);_(* &quot;-&quot;_);_(@_)">
                  <c:v>774.16653942368782</c:v>
                </c:pt>
                <c:pt idx="15" formatCode="_(* #,##0_);_(* \(#,##0\);_(* &quot;-&quot;_);_(@_)">
                  <c:v>774.16653942368782</c:v>
                </c:pt>
                <c:pt idx="16" formatCode="_(* #,##0_);_(* \(#,##0\);_(* &quot;-&quot;_);_(@_)">
                  <c:v>774.16653942368782</c:v>
                </c:pt>
                <c:pt idx="17" formatCode="_(* #,##0_);_(* \(#,##0\);_(* &quot;-&quot;_);_(@_)">
                  <c:v>774.16653942368782</c:v>
                </c:pt>
                <c:pt idx="18" formatCode="_(* #,##0_);_(* \(#,##0\);_(* &quot;-&quot;_);_(@_)">
                  <c:v>732.9716038235124</c:v>
                </c:pt>
                <c:pt idx="19" formatCode="_(* #,##0_);_(* \(#,##0\);_(* &quot;-&quot;_);_(@_)">
                  <c:v>732.9716038235124</c:v>
                </c:pt>
                <c:pt idx="20" formatCode="_(* #,##0_);_(* \(#,##0\);_(* &quot;-&quot;_);_(@_)">
                  <c:v>732.9716038235124</c:v>
                </c:pt>
                <c:pt idx="21" formatCode="_(* #,##0_);_(* \(#,##0\);_(* &quot;-&quot;_);_(@_)">
                  <c:v>732.9716038235124</c:v>
                </c:pt>
                <c:pt idx="22" formatCode="_(* #,##0_);_(* \(#,##0\);_(* &quot;-&quot;_);_(@_)">
                  <c:v>750.60092810344258</c:v>
                </c:pt>
                <c:pt idx="23" formatCode="_(* #,##0_);_(* \(#,##0\);_(* &quot;-&quot;_);_(@_)">
                  <c:v>750.60092810344258</c:v>
                </c:pt>
                <c:pt idx="24" formatCode="_(* #,##0_);_(* \(#,##0\);_(* &quot;-&quot;_);_(@_)">
                  <c:v>750.60092810344258</c:v>
                </c:pt>
                <c:pt idx="25" formatCode="_(* #,##0_);_(* \(#,##0\);_(* &quot;-&quot;_);_(@_)">
                  <c:v>750.60092810344258</c:v>
                </c:pt>
                <c:pt idx="26" formatCode="_(* #,##0_);_(* \(#,##0\);_(* &quot;-&quot;_);_(@_)">
                  <c:v>753.75296484707974</c:v>
                </c:pt>
                <c:pt idx="27" formatCode="_(* #,##0_);_(* \(#,##0\);_(* &quot;-&quot;_);_(@_)">
                  <c:v>753.75296484707974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39D5-4F5D-973E-FA172BDB65A9}"/>
            </c:ext>
          </c:extLst>
        </c:ser>
        <c:ser>
          <c:idx val="10"/>
          <c:order val="10"/>
          <c:tx>
            <c:strRef>
              <c:f>'Ma trận HDPE Ép'!$BC$18</c:f>
              <c:strCache>
                <c:ptCount val="1"/>
                <c:pt idx="0">
                  <c:v>Điểm hòa vốn sử dụng 100% Olefin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Ép'!$BE$5:$IB$5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HDPE Ép'!$BE$18:$CI$18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2271-4692-B834-071E13C2BBC1}"/>
            </c:ext>
          </c:extLst>
        </c:ser>
        <c:ser>
          <c:idx val="11"/>
          <c:order val="11"/>
          <c:tx>
            <c:strRef>
              <c:f>'Ma trận HDPE Ép'!$BC$19</c:f>
              <c:strCache>
                <c:ptCount val="1"/>
                <c:pt idx="0">
                  <c:v>Giá bán vảy</c:v>
                </c:pt>
              </c:strCache>
            </c:strRef>
          </c:tx>
          <c:spPr>
            <a:ln w="508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C0-403E-9B1A-2015055EE0B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8F-4B1A-97EF-C57FBC12427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0D-456D-A6EE-5F980E6718D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72-4CD7-9DFE-F884AFEB186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01-400E-A737-B7539E980683}"/>
                </c:ext>
              </c:extLst>
            </c:dLbl>
            <c:dLbl>
              <c:idx val="20"/>
              <c:layout>
                <c:manualLayout>
                  <c:x val="-1.1809268333454859E-2"/>
                  <c:y val="2.76344455911018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36-42B6-84C2-810AD1A5208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36-42B6-84C2-810AD1A52088}"/>
                </c:ext>
              </c:extLst>
            </c:dLbl>
            <c:dLbl>
              <c:idx val="22"/>
              <c:layout>
                <c:manualLayout>
                  <c:x val="-2.4286985817859992E-2"/>
                  <c:y val="2.53411306042884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36-42B6-84C2-810AD1A5208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A4-4783-B861-9B220C480D05}"/>
                </c:ext>
              </c:extLst>
            </c:dLbl>
            <c:dLbl>
              <c:idx val="25"/>
              <c:layout>
                <c:manualLayout>
                  <c:x val="-2.8966129874511918E-3"/>
                  <c:y val="1.1466574934067194E-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3-4FE8-B489-A81C05EE7F67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Ép'!$BE$5:$IB$5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HDPE Ép'!$BE$19:$IB$19</c:f>
              <c:numCache>
                <c:formatCode>General</c:formatCode>
                <c:ptCount val="28"/>
                <c:pt idx="0">
                  <c:v>665</c:v>
                </c:pt>
                <c:pt idx="1">
                  <c:v>665</c:v>
                </c:pt>
                <c:pt idx="2">
                  <c:v>665</c:v>
                </c:pt>
                <c:pt idx="3">
                  <c:v>665</c:v>
                </c:pt>
                <c:pt idx="4">
                  <c:v>665</c:v>
                </c:pt>
                <c:pt idx="5">
                  <c:v>665</c:v>
                </c:pt>
                <c:pt idx="6">
                  <c:v>665</c:v>
                </c:pt>
                <c:pt idx="7">
                  <c:v>665</c:v>
                </c:pt>
                <c:pt idx="8">
                  <c:v>665</c:v>
                </c:pt>
                <c:pt idx="9">
                  <c:v>665</c:v>
                </c:pt>
                <c:pt idx="10">
                  <c:v>665</c:v>
                </c:pt>
                <c:pt idx="11">
                  <c:v>715</c:v>
                </c:pt>
                <c:pt idx="12">
                  <c:v>715</c:v>
                </c:pt>
                <c:pt idx="13" formatCode="_(* #,##0_);_(* \(#,##0\);_(* &quot;-&quot;_);_(@_)">
                  <c:v>1160</c:v>
                </c:pt>
                <c:pt idx="14" formatCode="_(* #,##0_);_(* \(#,##0\);_(* &quot;-&quot;_);_(@_)">
                  <c:v>1160</c:v>
                </c:pt>
                <c:pt idx="15" formatCode="_(* #,##0_);_(* \(#,##0\);_(* &quot;-&quot;_);_(@_)">
                  <c:v>1160</c:v>
                </c:pt>
                <c:pt idx="16" formatCode="_(* #,##0_);_(* \(#,##0\);_(* &quot;-&quot;_);_(@_)">
                  <c:v>1160</c:v>
                </c:pt>
                <c:pt idx="17" formatCode="_(* #,##0_);_(* \(#,##0\);_(* &quot;-&quot;_);_(@_)">
                  <c:v>1160</c:v>
                </c:pt>
                <c:pt idx="18" formatCode="_(* #,##0_);_(* \(#,##0\);_(* &quot;-&quot;_);_(@_)">
                  <c:v>1160</c:v>
                </c:pt>
                <c:pt idx="19" formatCode="_(* #,##0_);_(* \(#,##0\);_(* &quot;-&quot;_);_(@_)">
                  <c:v>1160</c:v>
                </c:pt>
                <c:pt idx="20" formatCode="_(* #,##0_);_(* \(#,##0\);_(* &quot;-&quot;_);_(@_)">
                  <c:v>1160</c:v>
                </c:pt>
                <c:pt idx="21" formatCode="_(* #,##0_);_(* \(#,##0\);_(* &quot;-&quot;_);_(@_)">
                  <c:v>1160</c:v>
                </c:pt>
                <c:pt idx="22" formatCode="_(* #,##0_);_(* \(#,##0\);_(* &quot;-&quot;_);_(@_)">
                  <c:v>1065</c:v>
                </c:pt>
                <c:pt idx="23" formatCode="_(* #,##0_);_(* \(#,##0\);_(* &quot;-&quot;_);_(@_)">
                  <c:v>1065</c:v>
                </c:pt>
                <c:pt idx="24" formatCode="_(* #,##0_);_(* \(#,##0\);_(* &quot;-&quot;_);_(@_)">
                  <c:v>1065</c:v>
                </c:pt>
                <c:pt idx="25" formatCode="_(* #,##0_);_(* \(#,##0\);_(* &quot;-&quot;_);_(@_)">
                  <c:v>1065</c:v>
                </c:pt>
                <c:pt idx="26" formatCode="_(* #,##0_);_(* \(#,##0\);_(* &quot;-&quot;_);_(@_)">
                  <c:v>900</c:v>
                </c:pt>
                <c:pt idx="27" formatCode="_(* #,##0_);_(* \(#,##0\);_(* &quot;-&quot;_);_(@_)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9-4310-850D-373DF4358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964741855"/>
        <c:axId val="964739455"/>
        <c:extLst/>
      </c:lineChart>
      <c:catAx>
        <c:axId val="9647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4739455"/>
        <c:crosses val="autoZero"/>
        <c:auto val="1"/>
        <c:lblAlgn val="ctr"/>
        <c:lblOffset val="100"/>
        <c:noMultiLvlLbl val="0"/>
      </c:catAx>
      <c:valAx>
        <c:axId val="964739455"/>
        <c:scaling>
          <c:orientation val="minMax"/>
          <c:max val="1500"/>
          <c:min val="6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47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6877903079755026"/>
          <c:y val="0.19904013457906933"/>
          <c:w val="0.1312209692024498"/>
          <c:h val="0.686902063572203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&amp;2026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6436956978705933"/>
          <c:y val="9.25382139104609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105390282987E-2"/>
          <c:y val="0.12379200207629547"/>
          <c:w val="0.82500047697884893"/>
          <c:h val="0.73413685175126897"/>
        </c:manualLayout>
      </c:layout>
      <c:areaChart>
        <c:grouping val="stacked"/>
        <c:varyColors val="0"/>
        <c:ser>
          <c:idx val="0"/>
          <c:order val="7"/>
          <c:tx>
            <c:strRef>
              <c:f>'Ma trận giá bán rPP'!$H$14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giá bán rPP'!$I$14:$AY$14</c:f>
              <c:numCache>
                <c:formatCode>_(* #,##0_);_(* \(#,##0\);_(* "-"??_);_(@_)</c:formatCode>
                <c:ptCount val="19"/>
                <c:pt idx="0">
                  <c:v>970</c:v>
                </c:pt>
                <c:pt idx="1">
                  <c:v>985</c:v>
                </c:pt>
                <c:pt idx="2">
                  <c:v>980</c:v>
                </c:pt>
                <c:pt idx="3">
                  <c:v>965</c:v>
                </c:pt>
                <c:pt idx="4">
                  <c:v>932</c:v>
                </c:pt>
                <c:pt idx="5">
                  <c:v>922.5</c:v>
                </c:pt>
                <c:pt idx="6">
                  <c:v>918</c:v>
                </c:pt>
                <c:pt idx="7">
                  <c:v>895</c:v>
                </c:pt>
                <c:pt idx="8">
                  <c:v>870</c:v>
                </c:pt>
                <c:pt idx="9">
                  <c:v>842</c:v>
                </c:pt>
                <c:pt idx="10">
                  <c:v>827.5</c:v>
                </c:pt>
                <c:pt idx="11">
                  <c:v>820</c:v>
                </c:pt>
                <c:pt idx="12">
                  <c:v>816</c:v>
                </c:pt>
                <c:pt idx="13">
                  <c:v>847.5</c:v>
                </c:pt>
                <c:pt idx="14">
                  <c:v>1250</c:v>
                </c:pt>
                <c:pt idx="15">
                  <c:v>1437</c:v>
                </c:pt>
                <c:pt idx="16">
                  <c:v>1356.25</c:v>
                </c:pt>
                <c:pt idx="17">
                  <c:v>1175</c:v>
                </c:pt>
                <c:pt idx="18">
                  <c:v>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2-444D-A603-3134BB4F080D}"/>
            </c:ext>
          </c:extLst>
        </c:ser>
        <c:ser>
          <c:idx val="3"/>
          <c:order val="8"/>
          <c:tx>
            <c:strRef>
              <c:f>'Ma trận giá bán rPP'!$H$15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rPP'!$I$15:$AY$15</c:f>
              <c:numCache>
                <c:formatCode>"$"#,##0_);\("$"#,##0\)</c:formatCode>
                <c:ptCount val="19"/>
                <c:pt idx="0">
                  <c:v>-70</c:v>
                </c:pt>
                <c:pt idx="1">
                  <c:v>-165</c:v>
                </c:pt>
                <c:pt idx="2">
                  <c:v>-140</c:v>
                </c:pt>
                <c:pt idx="3">
                  <c:v>-130</c:v>
                </c:pt>
                <c:pt idx="4">
                  <c:v>-117</c:v>
                </c:pt>
                <c:pt idx="5">
                  <c:v>-107.5</c:v>
                </c:pt>
                <c:pt idx="6">
                  <c:v>-128.5</c:v>
                </c:pt>
                <c:pt idx="7">
                  <c:v>-125.5</c:v>
                </c:pt>
                <c:pt idx="8">
                  <c:v>-115.5</c:v>
                </c:pt>
                <c:pt idx="9">
                  <c:v>-102</c:v>
                </c:pt>
                <c:pt idx="10">
                  <c:v>-112.5</c:v>
                </c:pt>
                <c:pt idx="11">
                  <c:v>-115</c:v>
                </c:pt>
                <c:pt idx="12">
                  <c:v>-121</c:v>
                </c:pt>
                <c:pt idx="13">
                  <c:v>-152.5</c:v>
                </c:pt>
                <c:pt idx="14">
                  <c:v>-530</c:v>
                </c:pt>
                <c:pt idx="15">
                  <c:v>-247</c:v>
                </c:pt>
                <c:pt idx="16">
                  <c:v>-126.25</c:v>
                </c:pt>
                <c:pt idx="17">
                  <c:v>-95</c:v>
                </c:pt>
                <c:pt idx="18">
                  <c:v>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E2-444D-A603-3134BB4F0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3"/>
          <c:order val="0"/>
          <c:tx>
            <c:strRef>
              <c:f>'Ma trận giá bán rPP'!$BC$5</c:f>
              <c:strCache>
                <c:ptCount val="1"/>
                <c:pt idx="0">
                  <c:v>Diễn giải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rPP'!$I$5:$AY$5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giá bán rPP'!$BD$5:$BP$5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2-D8E2-444D-A603-3134BB4F080D}"/>
            </c:ext>
          </c:extLst>
        </c:ser>
        <c:ser>
          <c:idx val="9"/>
          <c:order val="1"/>
          <c:tx>
            <c:strRef>
              <c:f>'Ma trận giá bán rPP'!$BC$6</c:f>
              <c:strCache>
                <c:ptCount val="1"/>
                <c:pt idx="0">
                  <c:v>Vảy PP tuyển </c:v>
                </c:pt>
              </c:strCache>
              <c:extLst xmlns:c15="http://schemas.microsoft.com/office/drawing/2012/chart"/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rPP'!$I$5:$AY$5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giá bán rPP'!$BD$6:$BP$6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3-D8E2-444D-A603-3134BB4F080D}"/>
            </c:ext>
          </c:extLst>
        </c:ser>
        <c:ser>
          <c:idx val="2"/>
          <c:order val="2"/>
          <c:tx>
            <c:strRef>
              <c:f>'Ma trận giá bán rPP'!$H$13</c:f>
              <c:strCache>
                <c:ptCount val="1"/>
                <c:pt idx="0">
                  <c:v>RESIN</c:v>
                </c:pt>
              </c:strCache>
            </c:strRef>
          </c:tx>
          <c:spPr>
            <a:ln w="444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894766485132841E-2"/>
                  <c:y val="-2.5332336057988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D8E2-444D-A603-3134BB4F080D}"/>
                </c:ext>
              </c:extLst>
            </c:dLbl>
            <c:dLbl>
              <c:idx val="1"/>
              <c:layout>
                <c:manualLayout>
                  <c:x val="-2.0820104461185533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8E2-444D-A603-3134BB4F080D}"/>
                </c:ext>
              </c:extLst>
            </c:dLbl>
            <c:dLbl>
              <c:idx val="2"/>
              <c:layout>
                <c:manualLayout>
                  <c:x val="-2.107244629605021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308-44FA-BB27-DD14398C1576}"/>
                </c:ext>
              </c:extLst>
            </c:dLbl>
            <c:dLbl>
              <c:idx val="3"/>
              <c:layout>
                <c:manualLayout>
                  <c:x val="-2.107244629605021E-2"/>
                  <c:y val="-3.458615744903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308-44FA-BB27-DD14398C1576}"/>
                </c:ext>
              </c:extLst>
            </c:dLbl>
            <c:dLbl>
              <c:idx val="4"/>
              <c:layout>
                <c:manualLayout>
                  <c:x val="-1.9199339958623524E-2"/>
                  <c:y val="-3.68996127967962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2B-40FE-8DEB-7B668A1DA024}"/>
                </c:ext>
              </c:extLst>
            </c:dLbl>
            <c:dLbl>
              <c:idx val="5"/>
              <c:layout>
                <c:manualLayout>
                  <c:x val="-1.7326233621196976E-2"/>
                  <c:y val="-2.30188807102272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308-44FA-BB27-DD14398C1576}"/>
                </c:ext>
              </c:extLst>
            </c:dLbl>
            <c:dLbl>
              <c:idx val="6"/>
              <c:layout>
                <c:manualLayout>
                  <c:x val="-2.0135893127336865E-2"/>
                  <c:y val="-2.5332336057988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308-44FA-BB27-DD14398C1576}"/>
                </c:ext>
              </c:extLst>
            </c:dLbl>
            <c:dLbl>
              <c:idx val="7"/>
              <c:layout>
                <c:manualLayout>
                  <c:x val="-1.6389680452483495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F5-4BD1-AF08-F827147DB70B}"/>
                </c:ext>
              </c:extLst>
            </c:dLbl>
            <c:dLbl>
              <c:idx val="8"/>
              <c:layout>
                <c:manualLayout>
                  <c:x val="-1.451657411505681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B-4ED0-81D5-64487ACD5A9C}"/>
                </c:ext>
              </c:extLst>
            </c:dLbl>
            <c:dLbl>
              <c:idx val="14"/>
              <c:layout>
                <c:manualLayout>
                  <c:x val="-4.7530073312202138E-2"/>
                  <c:y val="-2.07054253624656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B6-4C83-84A0-4309960E604C}"/>
                </c:ext>
              </c:extLst>
            </c:dLbl>
            <c:dLbl>
              <c:idx val="15"/>
              <c:layout>
                <c:manualLayout>
                  <c:x val="-2.4984516724134143E-2"/>
                  <c:y val="-3.22854247484392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D7-45AD-93F4-D36536F3E86C}"/>
                </c:ext>
              </c:extLst>
            </c:dLbl>
            <c:dLbl>
              <c:idx val="16"/>
              <c:layout>
                <c:manualLayout>
                  <c:x val="-1.1854039927085849E-2"/>
                  <c:y val="-2.97936392169905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7B-4C81-9896-7DB91AC4D409}"/>
                </c:ext>
              </c:extLst>
            </c:dLbl>
            <c:dLbl>
              <c:idx val="17"/>
              <c:layout>
                <c:manualLayout>
                  <c:x val="-1.464322579228252E-2"/>
                  <c:y val="-2.97936392169906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AF-48F9-94E0-BAA0AC65C5F3}"/>
                </c:ext>
              </c:extLst>
            </c:dLbl>
            <c:dLbl>
              <c:idx val="18"/>
              <c:layout>
                <c:manualLayout>
                  <c:x val="-1.4178361481416409E-2"/>
                  <c:y val="-2.51923049749843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40-4445-A1B0-7F26B47D70D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rPP'!$I$5:$AY$5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giá bán rPP'!$I$13:$AY$13</c:f>
              <c:numCache>
                <c:formatCode>_(* #,##0_);_(* \(#,##0\);_(* "-"??_);_(@_)</c:formatCode>
                <c:ptCount val="19"/>
                <c:pt idx="0">
                  <c:v>970</c:v>
                </c:pt>
                <c:pt idx="1">
                  <c:v>985</c:v>
                </c:pt>
                <c:pt idx="2">
                  <c:v>980</c:v>
                </c:pt>
                <c:pt idx="3">
                  <c:v>965</c:v>
                </c:pt>
                <c:pt idx="4">
                  <c:v>932</c:v>
                </c:pt>
                <c:pt idx="5">
                  <c:v>922.5</c:v>
                </c:pt>
                <c:pt idx="6">
                  <c:v>918</c:v>
                </c:pt>
                <c:pt idx="7">
                  <c:v>895</c:v>
                </c:pt>
                <c:pt idx="8">
                  <c:v>870</c:v>
                </c:pt>
                <c:pt idx="9">
                  <c:v>842</c:v>
                </c:pt>
                <c:pt idx="10">
                  <c:v>827.5</c:v>
                </c:pt>
                <c:pt idx="11">
                  <c:v>820</c:v>
                </c:pt>
                <c:pt idx="12">
                  <c:v>816</c:v>
                </c:pt>
                <c:pt idx="13">
                  <c:v>847.5</c:v>
                </c:pt>
                <c:pt idx="14">
                  <c:v>1250</c:v>
                </c:pt>
                <c:pt idx="15">
                  <c:v>1437</c:v>
                </c:pt>
                <c:pt idx="16">
                  <c:v>1356.25</c:v>
                </c:pt>
                <c:pt idx="17">
                  <c:v>1175</c:v>
                </c:pt>
                <c:pt idx="18">
                  <c:v>1025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D-D8E2-444D-A603-3134BB4F080D}"/>
            </c:ext>
          </c:extLst>
        </c:ser>
        <c:ser>
          <c:idx val="7"/>
          <c:order val="3"/>
          <c:tx>
            <c:strRef>
              <c:f>'Ma trận giá bán rPP'!$BC$7</c:f>
              <c:strCache>
                <c:ptCount val="1"/>
                <c:pt idx="0">
                  <c:v>Vảy PP tuyển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rPP'!$I$5:$AY$5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giá bán rPP'!$BD$7:$BP$7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4-D8E2-444D-A603-3134BB4F080D}"/>
            </c:ext>
          </c:extLst>
        </c:ser>
        <c:ser>
          <c:idx val="4"/>
          <c:order val="4"/>
          <c:tx>
            <c:strRef>
              <c:f>'Ma trận giá bán rPP'!$BC$8</c:f>
              <c:strCache>
                <c:ptCount val="1"/>
                <c:pt idx="0">
                  <c:v>Vảy PP tuyển mua ngoài - ICIS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rPP'!$I$5:$AY$5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giá bán rPP'!$BD$8:$BP$8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5-D8E2-444D-A603-3134BB4F080D}"/>
            </c:ext>
          </c:extLst>
        </c:ser>
        <c:ser>
          <c:idx val="1"/>
          <c:order val="5"/>
          <c:tx>
            <c:strRef>
              <c:f>'Ma trận giá bán rPP'!$H$12</c:f>
              <c:strCache>
                <c:ptCount val="1"/>
                <c:pt idx="0">
                  <c:v>Hạt màu (Châu Âu) - ICIS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rPP'!$I$5:$AY$5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giá bán rPP'!$I$12:$AB$12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8E2-444D-A603-3134BB4F080D}"/>
            </c:ext>
          </c:extLst>
        </c:ser>
        <c:ser>
          <c:idx val="11"/>
          <c:order val="6"/>
          <c:tx>
            <c:strRef>
              <c:f>'Ma trận giá bán rPP'!$H$9</c:f>
              <c:strCache>
                <c:ptCount val="1"/>
                <c:pt idx="0">
                  <c:v>DTR 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6691765308330263E-2"/>
                  <c:y val="-2.30188807102272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D7-45AD-93F4-D36536F3E86C}"/>
                </c:ext>
              </c:extLst>
            </c:dLbl>
            <c:dLbl>
              <c:idx val="15"/>
              <c:layout>
                <c:manualLayout>
                  <c:x val="-1.8496925082088517E-2"/>
                  <c:y val="-2.99592467535117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D7-45AD-93F4-D36536F3E86C}"/>
                </c:ext>
              </c:extLst>
            </c:dLbl>
            <c:dLbl>
              <c:idx val="16"/>
              <c:layout>
                <c:manualLayout>
                  <c:x val="-1.8362140279211413E-2"/>
                  <c:y val="-2.51923049749843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7A-436D-B6CF-A84411A863C0}"/>
                </c:ext>
              </c:extLst>
            </c:dLbl>
            <c:dLbl>
              <c:idx val="17"/>
              <c:layout>
                <c:manualLayout>
                  <c:x val="-1.2783768548818073E-2"/>
                  <c:y val="-2.97936392169906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AF-48F9-94E0-BAA0AC65C5F3}"/>
                </c:ext>
              </c:extLst>
            </c:dLbl>
            <c:dLbl>
              <c:idx val="18"/>
              <c:layout>
                <c:manualLayout>
                  <c:x val="-4.8810752640941731E-3"/>
                  <c:y val="-2.51923049749843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40-4445-A1B0-7F26B47D70D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rPP'!$I$5:$AY$5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giá bán rPP'!$I$9:$AY$9</c:f>
              <c:numCache>
                <c:formatCode>"$"#,##0_);\("$"#,##0\)</c:formatCode>
                <c:ptCount val="19"/>
                <c:pt idx="0">
                  <c:v>900</c:v>
                </c:pt>
                <c:pt idx="1">
                  <c:v>820</c:v>
                </c:pt>
                <c:pt idx="2">
                  <c:v>840</c:v>
                </c:pt>
                <c:pt idx="3">
                  <c:v>835</c:v>
                </c:pt>
                <c:pt idx="4">
                  <c:v>815</c:v>
                </c:pt>
                <c:pt idx="5">
                  <c:v>815</c:v>
                </c:pt>
                <c:pt idx="6">
                  <c:v>789.5</c:v>
                </c:pt>
                <c:pt idx="7">
                  <c:v>769.5</c:v>
                </c:pt>
                <c:pt idx="8">
                  <c:v>754.5</c:v>
                </c:pt>
                <c:pt idx="9">
                  <c:v>740</c:v>
                </c:pt>
                <c:pt idx="10">
                  <c:v>715</c:v>
                </c:pt>
                <c:pt idx="11">
                  <c:v>705</c:v>
                </c:pt>
                <c:pt idx="12">
                  <c:v>695</c:v>
                </c:pt>
                <c:pt idx="13">
                  <c:v>695</c:v>
                </c:pt>
                <c:pt idx="14">
                  <c:v>720</c:v>
                </c:pt>
                <c:pt idx="15">
                  <c:v>1190</c:v>
                </c:pt>
                <c:pt idx="16">
                  <c:v>1230</c:v>
                </c:pt>
                <c:pt idx="17">
                  <c:v>1080</c:v>
                </c:pt>
                <c:pt idx="18">
                  <c:v>1010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8E2-444D-A603-3134BB4F080D}"/>
            </c:ext>
          </c:extLst>
        </c:ser>
        <c:ser>
          <c:idx val="6"/>
          <c:order val="9"/>
          <c:tx>
            <c:strRef>
              <c:f>'Ma trận giá bán rPP'!$H$17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628318477043615E-2"/>
                  <c:y val="2.9959246753511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D7-45AD-93F4-D36536F3E86C}"/>
                </c:ext>
              </c:extLst>
            </c:dLbl>
            <c:dLbl>
              <c:idx val="1"/>
              <c:layout>
                <c:manualLayout>
                  <c:x val="-2.1779064600192966E-2"/>
                  <c:y val="-3.2272702101273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55-48C5-B372-420532D8BE71}"/>
                </c:ext>
              </c:extLst>
            </c:dLbl>
            <c:dLbl>
              <c:idx val="4"/>
              <c:layout>
                <c:manualLayout>
                  <c:x val="-1.8262786789910182E-2"/>
                  <c:y val="-2.3018880710227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A8-401C-8C51-E862626FE024}"/>
                </c:ext>
              </c:extLst>
            </c:dLbl>
            <c:dLbl>
              <c:idx val="5"/>
              <c:layout>
                <c:manualLayout>
                  <c:x val="-2.0135893127337004E-2"/>
                  <c:y val="-2.99592467535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A8-401C-8C51-E862626FE024}"/>
                </c:ext>
              </c:extLst>
            </c:dLbl>
            <c:dLbl>
              <c:idx val="6"/>
              <c:layout>
                <c:manualLayout>
                  <c:x val="-2.2008999464763552E-2"/>
                  <c:y val="2.55636815927647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A8-401C-8C51-E862626FE024}"/>
                </c:ext>
              </c:extLst>
            </c:dLbl>
            <c:dLbl>
              <c:idx val="7"/>
              <c:layout>
                <c:manualLayout>
                  <c:x val="-2.0135893127336865E-2"/>
                  <c:y val="3.25040476360493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A8-401C-8C51-E862626FE024}"/>
                </c:ext>
              </c:extLst>
            </c:dLbl>
            <c:dLbl>
              <c:idx val="8"/>
              <c:layout>
                <c:manualLayout>
                  <c:x val="-1.1706914608916919E-2"/>
                  <c:y val="2.3250226245003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A8-401C-8C51-E862626FE024}"/>
                </c:ext>
              </c:extLst>
            </c:dLbl>
            <c:dLbl>
              <c:idx val="9"/>
              <c:layout>
                <c:manualLayout>
                  <c:x val="-2.0135893127336865E-2"/>
                  <c:y val="-3.9213068144557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A8-401C-8C51-E862626FE024}"/>
                </c:ext>
              </c:extLst>
            </c:dLbl>
            <c:dLbl>
              <c:idx val="10"/>
              <c:layout>
                <c:manualLayout>
                  <c:x val="-2.107244629605021E-2"/>
                  <c:y val="-3.22727021012733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DA8-401C-8C51-E862626FE024}"/>
                </c:ext>
              </c:extLst>
            </c:dLbl>
            <c:dLbl>
              <c:idx val="11"/>
              <c:layout>
                <c:manualLayout>
                  <c:x val="-2.0135893127336865E-2"/>
                  <c:y val="-3.458615744903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DA8-401C-8C51-E862626FE024}"/>
                </c:ext>
              </c:extLst>
            </c:dLbl>
            <c:dLbl>
              <c:idx val="12"/>
              <c:layout>
                <c:manualLayout>
                  <c:x val="-9.8338082714902342E-3"/>
                  <c:y val="-2.76457914057502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DA8-401C-8C51-E862626FE024}"/>
                </c:ext>
              </c:extLst>
            </c:dLbl>
            <c:dLbl>
              <c:idx val="13"/>
              <c:layout>
                <c:manualLayout>
                  <c:x val="-2.7628318477043608E-2"/>
                  <c:y val="-3.921306814455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F8-4F1D-A2A5-2C56E992E51F}"/>
                </c:ext>
              </c:extLst>
            </c:dLbl>
            <c:dLbl>
              <c:idx val="14"/>
              <c:layout>
                <c:manualLayout>
                  <c:x val="-1.8262786789910182E-2"/>
                  <c:y val="-3.2272702101273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97-4EBC-8F4D-1F91BDA53E3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rPP'!$I$5:$AY$5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giá bán rPP'!$I$17:$AY$17</c:f>
              <c:numCache>
                <c:formatCode>"$"#,##0_);\("$"#,##0\)</c:formatCode>
                <c:ptCount val="19"/>
                <c:pt idx="0">
                  <c:v>842.58758463763786</c:v>
                </c:pt>
                <c:pt idx="1">
                  <c:v>835.02956014903214</c:v>
                </c:pt>
                <c:pt idx="2">
                  <c:v>835.02956014903214</c:v>
                </c:pt>
                <c:pt idx="3">
                  <c:v>821.92388317274299</c:v>
                </c:pt>
                <c:pt idx="4">
                  <c:v>838</c:v>
                </c:pt>
                <c:pt idx="5">
                  <c:v>863.68590309795047</c:v>
                </c:pt>
                <c:pt idx="6">
                  <c:v>864.84654926023097</c:v>
                </c:pt>
                <c:pt idx="7">
                  <c:v>864.84654926023097</c:v>
                </c:pt>
                <c:pt idx="8">
                  <c:v>864.84654926023097</c:v>
                </c:pt>
                <c:pt idx="9">
                  <c:v>877</c:v>
                </c:pt>
                <c:pt idx="10">
                  <c:v>899.20414893105215</c:v>
                </c:pt>
                <c:pt idx="11">
                  <c:v>896.54965726587238</c:v>
                </c:pt>
                <c:pt idx="12">
                  <c:v>896.54965726587238</c:v>
                </c:pt>
                <c:pt idx="13">
                  <c:v>872.02588664698362</c:v>
                </c:pt>
                <c:pt idx="14">
                  <c:v>886.41271510495631</c:v>
                </c:pt>
                <c:pt idx="15">
                  <c:v>955.23708175223555</c:v>
                </c:pt>
                <c:pt idx="16">
                  <c:v>915.30164067795647</c:v>
                </c:pt>
                <c:pt idx="17">
                  <c:v>915.30164067795647</c:v>
                </c:pt>
                <c:pt idx="18">
                  <c:v>915.30164067795647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8E2-444D-A603-3134BB4F080D}"/>
            </c:ext>
          </c:extLst>
        </c:ser>
        <c:ser>
          <c:idx val="14"/>
          <c:order val="10"/>
          <c:tx>
            <c:strRef>
              <c:f>'Ma trận giá bán rPP'!$H$11</c:f>
              <c:strCache>
                <c:ptCount val="1"/>
                <c:pt idx="0">
                  <c:v>Hạt đen (Châu Âu) - ICIS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5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giá bán rPP'!$I$5:$AY$5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giá bán rPP'!$I$11:$Y$11</c:f>
            </c:numRef>
          </c:val>
          <c:smooth val="0"/>
          <c:extLst>
            <c:ext xmlns:c16="http://schemas.microsoft.com/office/drawing/2014/chart" uri="{C3380CC4-5D6E-409C-BE32-E72D297353CC}">
              <c16:uniqueId val="{0000002A-D8E2-444D-A603-3134BB4F0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11"/>
          <c:tx>
            <c:strRef>
              <c:f>'Ma trận giá bán rPP'!$H$16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'Ma trận giá bán rPP'!$I$16:$S$16</c:f>
            </c:numRef>
          </c:val>
          <c:smooth val="0"/>
          <c:extLst>
            <c:ext xmlns:c16="http://schemas.microsoft.com/office/drawing/2014/chart" uri="{C3380CC4-5D6E-409C-BE32-E72D297353CC}">
              <c16:uniqueId val="{00000041-D8E2-444D-A603-3134BB4F0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5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solidFill>
            <a:schemeClr val="bg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01327974582539"/>
          <c:y val="0.16223851650085558"/>
          <c:w val="0.10882333406350547"/>
          <c:h val="0.500997438832145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3697591595079928"/>
          <c:y val="1.6160020481824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40506562347419E-2"/>
          <c:y val="0.1283871973212469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9"/>
          <c:tx>
            <c:strRef>
              <c:f>'Ma trận giá bán rPP'!$BC$14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solidFill>
                <a:schemeClr val="bg1"/>
              </a:solidFill>
            </a:ln>
            <a:effectLst/>
          </c:spPr>
          <c:val>
            <c:numRef>
              <c:f>'Ma trận giá bán rPP'!$BD$14:$IB$14</c:f>
              <c:numCache>
                <c:formatCode>"$"#.##0_);\("$"#.##0\)</c:formatCode>
                <c:ptCount val="28"/>
                <c:pt idx="0">
                  <c:v>810</c:v>
                </c:pt>
                <c:pt idx="1">
                  <c:v>810</c:v>
                </c:pt>
                <c:pt idx="2">
                  <c:v>820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1000</c:v>
                </c:pt>
                <c:pt idx="10">
                  <c:v>1200</c:v>
                </c:pt>
                <c:pt idx="11">
                  <c:v>1400</c:v>
                </c:pt>
                <c:pt idx="12">
                  <c:v>1400</c:v>
                </c:pt>
                <c:pt idx="13">
                  <c:v>1400</c:v>
                </c:pt>
                <c:pt idx="14">
                  <c:v>1450</c:v>
                </c:pt>
                <c:pt idx="15">
                  <c:v>1445</c:v>
                </c:pt>
                <c:pt idx="16">
                  <c:v>1445</c:v>
                </c:pt>
                <c:pt idx="17">
                  <c:v>1445</c:v>
                </c:pt>
                <c:pt idx="18">
                  <c:v>1445</c:v>
                </c:pt>
                <c:pt idx="19">
                  <c:v>1400</c:v>
                </c:pt>
                <c:pt idx="20">
                  <c:v>1310</c:v>
                </c:pt>
                <c:pt idx="21">
                  <c:v>1270</c:v>
                </c:pt>
                <c:pt idx="22">
                  <c:v>1240</c:v>
                </c:pt>
                <c:pt idx="23">
                  <c:v>1220</c:v>
                </c:pt>
                <c:pt idx="24">
                  <c:v>1190</c:v>
                </c:pt>
                <c:pt idx="25">
                  <c:v>1050</c:v>
                </c:pt>
                <c:pt idx="26">
                  <c:v>1030</c:v>
                </c:pt>
                <c:pt idx="27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B92D-4F4B-99DE-3C531E2FE68B}"/>
            </c:ext>
          </c:extLst>
        </c:ser>
        <c:ser>
          <c:idx val="3"/>
          <c:order val="10"/>
          <c:tx>
            <c:strRef>
              <c:f>'Ma trận giá bán rPP'!$BC$15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val>
            <c:numRef>
              <c:f>'Ma trận giá bán rPP'!$BD$15:$IB$15</c:f>
              <c:numCache>
                <c:formatCode>"$"#,##0_);\("$"#,##0\)</c:formatCode>
                <c:ptCount val="28"/>
                <c:pt idx="0">
                  <c:v>-115</c:v>
                </c:pt>
                <c:pt idx="1">
                  <c:v>-115</c:v>
                </c:pt>
                <c:pt idx="2">
                  <c:v>-125</c:v>
                </c:pt>
                <c:pt idx="3">
                  <c:v>-125</c:v>
                </c:pt>
                <c:pt idx="4">
                  <c:v>-125</c:v>
                </c:pt>
                <c:pt idx="5">
                  <c:v>-145</c:v>
                </c:pt>
                <c:pt idx="6">
                  <c:v>-155</c:v>
                </c:pt>
                <c:pt idx="7">
                  <c:v>-155</c:v>
                </c:pt>
                <c:pt idx="8">
                  <c:v>-155</c:v>
                </c:pt>
                <c:pt idx="9">
                  <c:v>-280</c:v>
                </c:pt>
                <c:pt idx="10">
                  <c:v>-480</c:v>
                </c:pt>
                <c:pt idx="11">
                  <c:v>-630</c:v>
                </c:pt>
                <c:pt idx="12">
                  <c:v>-630</c:v>
                </c:pt>
                <c:pt idx="13">
                  <c:v>-210</c:v>
                </c:pt>
                <c:pt idx="14">
                  <c:v>-260</c:v>
                </c:pt>
                <c:pt idx="15">
                  <c:v>-255</c:v>
                </c:pt>
                <c:pt idx="16">
                  <c:v>-255</c:v>
                </c:pt>
                <c:pt idx="17">
                  <c:v>-255</c:v>
                </c:pt>
                <c:pt idx="18">
                  <c:v>-215</c:v>
                </c:pt>
                <c:pt idx="19">
                  <c:v>-170</c:v>
                </c:pt>
                <c:pt idx="20">
                  <c:v>-80</c:v>
                </c:pt>
                <c:pt idx="21">
                  <c:v>-40</c:v>
                </c:pt>
                <c:pt idx="22">
                  <c:v>-160</c:v>
                </c:pt>
                <c:pt idx="23">
                  <c:v>-140</c:v>
                </c:pt>
                <c:pt idx="24">
                  <c:v>-110</c:v>
                </c:pt>
                <c:pt idx="25">
                  <c:v>30</c:v>
                </c:pt>
                <c:pt idx="26">
                  <c:v>-20</c:v>
                </c:pt>
                <c:pt idx="27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B92D-4F4B-99DE-3C531E2F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3"/>
          <c:order val="0"/>
          <c:tx>
            <c:strRef>
              <c:f>'Ma trận giá bán rPP'!$BC$5</c:f>
              <c:strCache>
                <c:ptCount val="1"/>
                <c:pt idx="0">
                  <c:v>Diễn giải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rPP'!$BD$5:$IB$5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giá bán rPP'!$BD$5:$BP$5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B92D-4F4B-99DE-3C531E2FE68B}"/>
            </c:ext>
          </c:extLst>
        </c:ser>
        <c:ser>
          <c:idx val="9"/>
          <c:order val="1"/>
          <c:tx>
            <c:strRef>
              <c:f>'Ma trận giá bán rPP'!$BC$18</c:f>
              <c:strCache>
                <c:ptCount val="1"/>
                <c:pt idx="0">
                  <c:v>Giá bán vảy PP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rPP'!$BD$5:$IB$5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giá bán rPP'!$BE$18:$CX$18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5-B92D-4F4B-99DE-3C531E2FE68B}"/>
            </c:ext>
          </c:extLst>
        </c:ser>
        <c:ser>
          <c:idx val="7"/>
          <c:order val="2"/>
          <c:tx>
            <c:strRef>
              <c:f>'Ma trận giá bán rPP'!$BC$7</c:f>
              <c:strCache>
                <c:ptCount val="1"/>
                <c:pt idx="0">
                  <c:v>Vảy PP tuyển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rPP'!$BD$5:$IB$5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giá bán rPP'!$BD$7:$BP$7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A-B92D-4F4B-99DE-3C531E2FE68B}"/>
            </c:ext>
          </c:extLst>
        </c:ser>
        <c:ser>
          <c:idx val="2"/>
          <c:order val="3"/>
          <c:tx>
            <c:strRef>
              <c:f>'Ma trận giá bán rPP'!$BC$13</c:f>
              <c:strCache>
                <c:ptCount val="1"/>
                <c:pt idx="0">
                  <c:v>RESIN</c:v>
                </c:pt>
              </c:strCache>
            </c:strRef>
          </c:tx>
          <c:spPr>
            <a:ln w="444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Pt>
            <c:idx val="11"/>
            <c:marker>
              <c:symbol val="none"/>
            </c:marker>
            <c:bubble3D val="0"/>
            <c:spPr>
              <a:ln w="50800" cap="rnd">
                <a:solidFill>
                  <a:srgbClr val="FF3399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AF5-4A20-9E3D-9E48A3BB03DF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50800" cap="rnd">
                <a:solidFill>
                  <a:srgbClr val="FF3399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F5-4A20-9E3D-9E48A3BB03DF}"/>
              </c:ext>
            </c:extLst>
          </c:dPt>
          <c:dLbls>
            <c:dLbl>
              <c:idx val="0"/>
              <c:layout>
                <c:manualLayout>
                  <c:x val="-2.0479729064612755E-2"/>
                  <c:y val="-2.3258152119669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17-4F86-8F48-38106ADFA263}"/>
                </c:ext>
              </c:extLst>
            </c:dLbl>
            <c:dLbl>
              <c:idx val="2"/>
              <c:layout>
                <c:manualLayout>
                  <c:x val="-1.7808460056185024E-2"/>
                  <c:y val="-2.5583967331636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C8-48B3-9817-F252ACE18A17}"/>
                </c:ext>
              </c:extLst>
            </c:dLbl>
            <c:dLbl>
              <c:idx val="5"/>
              <c:layout>
                <c:manualLayout>
                  <c:x val="-2.1815363568826612E-2"/>
                  <c:y val="3.2445122206938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8C-4A2A-8332-7FA0B3A0C25C}"/>
                </c:ext>
              </c:extLst>
            </c:dLbl>
            <c:dLbl>
              <c:idx val="6"/>
              <c:layout>
                <c:manualLayout>
                  <c:x val="-1.9144094560398995E-2"/>
                  <c:y val="2.54676765710378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51-4361-84E5-6C2C5FD7ECD4}"/>
                </c:ext>
              </c:extLst>
            </c:dLbl>
            <c:dLbl>
              <c:idx val="7"/>
              <c:layout>
                <c:manualLayout>
                  <c:x val="-2.0034517563208114E-2"/>
                  <c:y val="3.2445122206938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C8-48B3-9817-F252ACE18A17}"/>
                </c:ext>
              </c:extLst>
            </c:dLbl>
            <c:dLbl>
              <c:idx val="8"/>
              <c:layout>
                <c:manualLayout>
                  <c:x val="-2.8048324588491359E-2"/>
                  <c:y val="2.77934917830047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51-4361-84E5-6C2C5FD7ECD4}"/>
                </c:ext>
              </c:extLst>
            </c:dLbl>
            <c:dLbl>
              <c:idx val="9"/>
              <c:layout>
                <c:manualLayout>
                  <c:x val="-4.1627275381332478E-2"/>
                  <c:y val="-2.10486276683006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8C-4A2A-8332-7FA0B3A0C25C}"/>
                </c:ext>
              </c:extLst>
            </c:dLbl>
            <c:dLbl>
              <c:idx val="10"/>
              <c:layout>
                <c:manualLayout>
                  <c:x val="-4.0736852378523168E-2"/>
                  <c:y val="-1.17453668204330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D9-494D-B214-358C8ADFF380}"/>
                </c:ext>
              </c:extLst>
            </c:dLbl>
            <c:dLbl>
              <c:idx val="20"/>
              <c:layout>
                <c:manualLayout>
                  <c:x val="-1.9366700311101177E-2"/>
                  <c:y val="-3.5003518940102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5F-499D-AF80-386D4C2E0162}"/>
                </c:ext>
              </c:extLst>
            </c:dLbl>
            <c:dLbl>
              <c:idx val="25"/>
              <c:layout>
                <c:manualLayout>
                  <c:x val="-4.0291640877118541E-2"/>
                  <c:y val="2.209524451368577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8C-434E-88A6-F47F7061CBB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rPP'!$BD$5:$IB$5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giá bán rPP'!$BD$13:$IB$13</c:f>
              <c:numCache>
                <c:formatCode>"$"#,##0_);\("$"#,##0\)</c:formatCode>
                <c:ptCount val="28"/>
                <c:pt idx="0">
                  <c:v>810</c:v>
                </c:pt>
                <c:pt idx="1">
                  <c:v>810</c:v>
                </c:pt>
                <c:pt idx="2">
                  <c:v>820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1000</c:v>
                </c:pt>
                <c:pt idx="10">
                  <c:v>1200</c:v>
                </c:pt>
                <c:pt idx="11">
                  <c:v>1400</c:v>
                </c:pt>
                <c:pt idx="12">
                  <c:v>1400</c:v>
                </c:pt>
                <c:pt idx="13">
                  <c:v>1400</c:v>
                </c:pt>
                <c:pt idx="14">
                  <c:v>1450</c:v>
                </c:pt>
                <c:pt idx="15">
                  <c:v>1445</c:v>
                </c:pt>
                <c:pt idx="16">
                  <c:v>1445</c:v>
                </c:pt>
                <c:pt idx="17">
                  <c:v>1445</c:v>
                </c:pt>
                <c:pt idx="18">
                  <c:v>1445</c:v>
                </c:pt>
                <c:pt idx="19">
                  <c:v>1400</c:v>
                </c:pt>
                <c:pt idx="20">
                  <c:v>1310</c:v>
                </c:pt>
                <c:pt idx="21">
                  <c:v>1270</c:v>
                </c:pt>
                <c:pt idx="22">
                  <c:v>1240</c:v>
                </c:pt>
                <c:pt idx="23">
                  <c:v>1220</c:v>
                </c:pt>
                <c:pt idx="24">
                  <c:v>1190</c:v>
                </c:pt>
                <c:pt idx="25">
                  <c:v>1050</c:v>
                </c:pt>
                <c:pt idx="26">
                  <c:v>1030</c:v>
                </c:pt>
                <c:pt idx="27">
                  <c:v>1020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D-B92D-4F4B-99DE-3C531E2FE68B}"/>
            </c:ext>
          </c:extLst>
        </c:ser>
        <c:ser>
          <c:idx val="4"/>
          <c:order val="4"/>
          <c:tx>
            <c:strRef>
              <c:f>'Ma trận giá bán rPP'!$BC$8</c:f>
              <c:strCache>
                <c:ptCount val="1"/>
                <c:pt idx="0">
                  <c:v>Vảy PP tuyển mua ngoài - ICIS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rPP'!$BD$5:$IB$5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giá bán rPP'!$BD$8:$BP$8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B92D-4F4B-99DE-3C531E2FE68B}"/>
            </c:ext>
          </c:extLst>
        </c:ser>
        <c:ser>
          <c:idx val="1"/>
          <c:order val="5"/>
          <c:tx>
            <c:strRef>
              <c:f>'Ma trận giá bán rPP'!$BC$12</c:f>
              <c:strCache>
                <c:ptCount val="1"/>
                <c:pt idx="0">
                  <c:v>Hạt màu (Châu Âu) - ICIS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rPP'!$BD$5:$IB$5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giá bán rPP'!$BD$12:$DX$12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C-B92D-4F4B-99DE-3C531E2FE68B}"/>
            </c:ext>
          </c:extLst>
        </c:ser>
        <c:ser>
          <c:idx val="11"/>
          <c:order val="6"/>
          <c:tx>
            <c:strRef>
              <c:f>'Ma trận giá bán rPP'!$BC$9</c:f>
              <c:strCache>
                <c:ptCount val="1"/>
                <c:pt idx="0">
                  <c:v>DTR </c:v>
                </c:pt>
              </c:strCache>
            </c:strRef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1164805098323742E-2"/>
                  <c:y val="-3.02355977555700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17-4F86-8F48-38106ADFA26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B2D-422A-BCBF-914858BE8505}"/>
                </c:ext>
              </c:extLst>
            </c:dLbl>
            <c:dLbl>
              <c:idx val="12"/>
              <c:layout>
                <c:manualLayout>
                  <c:x val="-3.3390862605346856E-2"/>
                  <c:y val="-3.5003518940102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AF5-4A20-9E3D-9E48A3BB03DF}"/>
                </c:ext>
              </c:extLst>
            </c:dLbl>
            <c:dLbl>
              <c:idx val="21"/>
              <c:layout>
                <c:manualLayout>
                  <c:x val="-3.4058679857453797E-2"/>
                  <c:y val="2.77934917830046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7B0-4FF6-A8A0-D9940DE486A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73-40F7-AEC2-6C52C8FBA757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D9-4066-9147-A6ADCB1C464E}"/>
                </c:ext>
              </c:extLst>
            </c:dLbl>
            <c:dLbl>
              <c:idx val="26"/>
              <c:layout>
                <c:manualLayout>
                  <c:x val="-2.9606564843407547E-2"/>
                  <c:y val="1.61644157231701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FF-4D06-A51A-1DCA4E63146E}"/>
                </c:ext>
              </c:extLst>
            </c:dLbl>
            <c:dLbl>
              <c:idx val="27"/>
              <c:layout>
                <c:manualLayout>
                  <c:x val="-5.5651437675578097E-3"/>
                  <c:y val="-1.1629076059834619E-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D9-4066-9147-A6ADCB1C464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rPP'!$BD$5:$IB$5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giá bán rPP'!$BD$9:$IB$9</c:f>
              <c:numCache>
                <c:formatCode>"$"#,##0_);\("$"#,##0\)</c:formatCode>
                <c:ptCount val="28"/>
                <c:pt idx="0">
                  <c:v>695</c:v>
                </c:pt>
                <c:pt idx="1">
                  <c:v>695</c:v>
                </c:pt>
                <c:pt idx="2">
                  <c:v>695</c:v>
                </c:pt>
                <c:pt idx="3">
                  <c:v>695</c:v>
                </c:pt>
                <c:pt idx="4">
                  <c:v>695</c:v>
                </c:pt>
                <c:pt idx="5">
                  <c:v>695</c:v>
                </c:pt>
                <c:pt idx="6">
                  <c:v>695</c:v>
                </c:pt>
                <c:pt idx="7">
                  <c:v>695</c:v>
                </c:pt>
                <c:pt idx="8">
                  <c:v>695</c:v>
                </c:pt>
                <c:pt idx="9">
                  <c:v>720</c:v>
                </c:pt>
                <c:pt idx="10">
                  <c:v>720</c:v>
                </c:pt>
                <c:pt idx="11">
                  <c:v>770</c:v>
                </c:pt>
                <c:pt idx="12">
                  <c:v>770</c:v>
                </c:pt>
                <c:pt idx="13">
                  <c:v>1190</c:v>
                </c:pt>
                <c:pt idx="14">
                  <c:v>1190</c:v>
                </c:pt>
                <c:pt idx="15">
                  <c:v>1190</c:v>
                </c:pt>
                <c:pt idx="16">
                  <c:v>1190</c:v>
                </c:pt>
                <c:pt idx="17">
                  <c:v>1190</c:v>
                </c:pt>
                <c:pt idx="18">
                  <c:v>1230</c:v>
                </c:pt>
                <c:pt idx="19">
                  <c:v>1230</c:v>
                </c:pt>
                <c:pt idx="20">
                  <c:v>1230</c:v>
                </c:pt>
                <c:pt idx="21">
                  <c:v>1230</c:v>
                </c:pt>
                <c:pt idx="22">
                  <c:v>1080</c:v>
                </c:pt>
                <c:pt idx="23">
                  <c:v>1080</c:v>
                </c:pt>
                <c:pt idx="24">
                  <c:v>1080</c:v>
                </c:pt>
                <c:pt idx="25">
                  <c:v>1080</c:v>
                </c:pt>
                <c:pt idx="26">
                  <c:v>1010</c:v>
                </c:pt>
                <c:pt idx="27">
                  <c:v>1010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92D-4F4B-99DE-3C531E2FE68B}"/>
            </c:ext>
          </c:extLst>
        </c:ser>
        <c:ser>
          <c:idx val="6"/>
          <c:order val="7"/>
          <c:tx>
            <c:strRef>
              <c:f>'Ma trận giá bán rPP'!$BC$17</c:f>
              <c:strCache>
                <c:ptCount val="1"/>
                <c:pt idx="0">
                  <c:v>Điểm hòa vốn</c:v>
                </c:pt>
              </c:strCache>
              <c:extLst xmlns:c15="http://schemas.microsoft.com/office/drawing/2012/chart"/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-1.2465922039329494E-2"/>
                  <c:y val="3.4770937418905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573-40F7-AEC2-6C52C8FBA757}"/>
                </c:ext>
              </c:extLst>
            </c:dLbl>
            <c:dLbl>
              <c:idx val="14"/>
              <c:layout>
                <c:manualLayout>
                  <c:x val="-2.0479729064612737E-2"/>
                  <c:y val="3.01193069949716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573-40F7-AEC2-6C52C8FBA757}"/>
                </c:ext>
              </c:extLst>
            </c:dLbl>
            <c:dLbl>
              <c:idx val="15"/>
              <c:layout>
                <c:manualLayout>
                  <c:x val="-1.869888305899424E-2"/>
                  <c:y val="2.77934917830047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573-40F7-AEC2-6C52C8FBA757}"/>
                </c:ext>
              </c:extLst>
            </c:dLbl>
            <c:dLbl>
              <c:idx val="16"/>
              <c:layout>
                <c:manualLayout>
                  <c:x val="-2.4041421075849737E-2"/>
                  <c:y val="3.24451222069385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573-40F7-AEC2-6C52C8FBA757}"/>
                </c:ext>
              </c:extLst>
            </c:dLbl>
            <c:dLbl>
              <c:idx val="17"/>
              <c:layout>
                <c:manualLayout>
                  <c:x val="-2.2260575070231239E-2"/>
                  <c:y val="3.01193069949716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573-40F7-AEC2-6C52C8FBA757}"/>
                </c:ext>
              </c:extLst>
            </c:dLbl>
            <c:dLbl>
              <c:idx val="18"/>
              <c:layout>
                <c:manualLayout>
                  <c:x val="-1.8698883058994371E-2"/>
                  <c:y val="3.2445122206938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573-40F7-AEC2-6C52C8FBA757}"/>
                </c:ext>
              </c:extLst>
            </c:dLbl>
            <c:dLbl>
              <c:idx val="19"/>
              <c:layout>
                <c:manualLayout>
                  <c:x val="-1.869888305899424E-2"/>
                  <c:y val="3.01193069949715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573-40F7-AEC2-6C52C8FBA757}"/>
                </c:ext>
              </c:extLst>
            </c:dLbl>
            <c:dLbl>
              <c:idx val="20"/>
              <c:layout>
                <c:manualLayout>
                  <c:x val="-1.8698883058994371E-2"/>
                  <c:y val="3.47709374189055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573-40F7-AEC2-6C52C8FBA757}"/>
                </c:ext>
              </c:extLst>
            </c:dLbl>
            <c:dLbl>
              <c:idx val="21"/>
              <c:layout>
                <c:manualLayout>
                  <c:x val="-1.7808460056184989E-2"/>
                  <c:y val="3.94225678428393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573-40F7-AEC2-6C52C8FBA757}"/>
                </c:ext>
              </c:extLst>
            </c:dLbl>
            <c:dLbl>
              <c:idx val="22"/>
              <c:layout>
                <c:manualLayout>
                  <c:x val="-1.958930606180349E-2"/>
                  <c:y val="3.01193069949716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573-40F7-AEC2-6C52C8FBA757}"/>
                </c:ext>
              </c:extLst>
            </c:dLbl>
            <c:dLbl>
              <c:idx val="23"/>
              <c:layout>
                <c:manualLayout>
                  <c:x val="-2.2260575070231367E-2"/>
                  <c:y val="3.01193069949716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37-4661-8022-C917E2F60EB5}"/>
                </c:ext>
              </c:extLst>
            </c:dLbl>
            <c:dLbl>
              <c:idx val="24"/>
              <c:layout>
                <c:manualLayout>
                  <c:x val="-1.7808460056184989E-2"/>
                  <c:y val="2.77934917830047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21-4CEC-8F8F-7C3969E3F6DA}"/>
                </c:ext>
              </c:extLst>
            </c:dLbl>
            <c:dLbl>
              <c:idx val="25"/>
              <c:layout>
                <c:manualLayout>
                  <c:x val="-1.691803705337587E-2"/>
                  <c:y val="3.2445122206938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78C-434E-88A6-F47F7061CBB4}"/>
                </c:ext>
              </c:extLst>
            </c:dLbl>
            <c:dLbl>
              <c:idx val="26"/>
              <c:layout>
                <c:manualLayout>
                  <c:x val="-1.691803705337587E-2"/>
                  <c:y val="2.54676765710377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FF-4D06-A51A-1DCA4E63146E}"/>
                </c:ext>
              </c:extLst>
            </c:dLbl>
            <c:dLbl>
              <c:idx val="27"/>
              <c:layout>
                <c:manualLayout>
                  <c:x val="-1.3356345042138743E-2"/>
                  <c:y val="2.54676765710377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D9-4066-9147-A6ADCB1C464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rPP'!$BD$5:$IB$5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giá bán rPP'!$BD$17:$IB$17</c:f>
              <c:numCache>
                <c:formatCode>"$"#,##0_);\("$"#,##0\)</c:formatCode>
                <c:ptCount val="28"/>
                <c:pt idx="0">
                  <c:v>896.54965726587238</c:v>
                </c:pt>
                <c:pt idx="1">
                  <c:v>896.54965726587238</c:v>
                </c:pt>
                <c:pt idx="2">
                  <c:v>896.54965726587238</c:v>
                </c:pt>
                <c:pt idx="3">
                  <c:v>896.54965726587238</c:v>
                </c:pt>
                <c:pt idx="4">
                  <c:v>896.54965726587238</c:v>
                </c:pt>
                <c:pt idx="5">
                  <c:v>872.02588664698362</c:v>
                </c:pt>
                <c:pt idx="6">
                  <c:v>872.02588664698362</c:v>
                </c:pt>
                <c:pt idx="7">
                  <c:v>872.02588664698362</c:v>
                </c:pt>
                <c:pt idx="8">
                  <c:v>872.02588664698362</c:v>
                </c:pt>
                <c:pt idx="9">
                  <c:v>886.41271510495631</c:v>
                </c:pt>
                <c:pt idx="10">
                  <c:v>886.41271510495631</c:v>
                </c:pt>
                <c:pt idx="11">
                  <c:v>886.41271510495631</c:v>
                </c:pt>
                <c:pt idx="12">
                  <c:v>886.41271510495631</c:v>
                </c:pt>
                <c:pt idx="13">
                  <c:v>955.23708175223555</c:v>
                </c:pt>
                <c:pt idx="14">
                  <c:v>955.23708175223555</c:v>
                </c:pt>
                <c:pt idx="15">
                  <c:v>955.23708175223555</c:v>
                </c:pt>
                <c:pt idx="16">
                  <c:v>955.23708175223555</c:v>
                </c:pt>
                <c:pt idx="17">
                  <c:v>955.23708175223555</c:v>
                </c:pt>
                <c:pt idx="18">
                  <c:v>915.30164067795647</c:v>
                </c:pt>
                <c:pt idx="19">
                  <c:v>915.30164067795647</c:v>
                </c:pt>
                <c:pt idx="20">
                  <c:v>915.30164067795647</c:v>
                </c:pt>
                <c:pt idx="21">
                  <c:v>915.30164067795647</c:v>
                </c:pt>
                <c:pt idx="22">
                  <c:v>915.30164067795647</c:v>
                </c:pt>
                <c:pt idx="23">
                  <c:v>915.30164067795647</c:v>
                </c:pt>
                <c:pt idx="24">
                  <c:v>915.30164067795647</c:v>
                </c:pt>
                <c:pt idx="25">
                  <c:v>915.30164067795647</c:v>
                </c:pt>
                <c:pt idx="26">
                  <c:v>915.30164067795647</c:v>
                </c:pt>
                <c:pt idx="27">
                  <c:v>915.30164067795647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0E7-448D-A15E-C846A7826003}"/>
            </c:ext>
          </c:extLst>
        </c:ser>
        <c:ser>
          <c:idx val="14"/>
          <c:order val="8"/>
          <c:tx>
            <c:strRef>
              <c:f>'Ma trận giá bán rPP'!$BC$11</c:f>
              <c:strCache>
                <c:ptCount val="1"/>
                <c:pt idx="0">
                  <c:v>Hạt đen (Châu Âu) - ICIS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5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giá bán rPP'!$BD$5:$IB$5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giá bán rPP'!$BD$11:$EC$11</c:f>
            </c:numRef>
          </c:val>
          <c:smooth val="0"/>
          <c:extLst>
            <c:ext xmlns:c16="http://schemas.microsoft.com/office/drawing/2014/chart" uri="{C3380CC4-5D6E-409C-BE32-E72D297353CC}">
              <c16:uniqueId val="{00000037-B92D-4F4B-99DE-3C531E2F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11"/>
          <c:tx>
            <c:strRef>
              <c:f>'Ma trận giá bán rPP'!$BC$16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'Ma trận giá bán rPP'!$BD$16:$DQ$16</c:f>
            </c:numRef>
          </c:val>
          <c:smooth val="0"/>
          <c:extLst>
            <c:ext xmlns:c16="http://schemas.microsoft.com/office/drawing/2014/chart" uri="{C3380CC4-5D6E-409C-BE32-E72D297353CC}">
              <c16:uniqueId val="{0000008A-B92D-4F4B-99DE-3C531E2FE68B}"/>
            </c:ext>
          </c:extLst>
        </c:ser>
        <c:ser>
          <c:idx val="8"/>
          <c:order val="12"/>
          <c:tx>
            <c:strRef>
              <c:f>'Ma trận giá bán rPP'!$BC$18</c:f>
              <c:strCache>
                <c:ptCount val="1"/>
                <c:pt idx="0">
                  <c:v>Giá bán vảy PP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-1.5582402549161867E-3"/>
                  <c:y val="-2.08160461471039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F5-4A20-9E3D-9E48A3BB03D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73-40F7-AEC2-6C52C8FBA757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573-40F7-AEC2-6C52C8FBA757}"/>
                </c:ext>
              </c:extLst>
            </c:dLbl>
            <c:dLbl>
              <c:idx val="23"/>
              <c:layout>
                <c:manualLayout>
                  <c:x val="-3.1387410849026173E-2"/>
                  <c:y val="3.03518885161683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337-4661-8022-C917E2F60EB5}"/>
                </c:ext>
              </c:extLst>
            </c:dLbl>
            <c:dLbl>
              <c:idx val="24"/>
              <c:layout>
                <c:manualLayout>
                  <c:x val="-2.0702334815315051E-2"/>
                  <c:y val="2.8026073304201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21-4CEC-8F8F-7C3969E3F6D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8C-434E-88A6-F47F7061CBB4}"/>
                </c:ext>
              </c:extLst>
            </c:dLbl>
            <c:dLbl>
              <c:idx val="26"/>
              <c:layout>
                <c:manualLayout>
                  <c:x val="-2.6712690084277485E-3"/>
                  <c:y val="-1.38386005112031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FF-4D06-A51A-1DCA4E63146E}"/>
                </c:ext>
              </c:extLst>
            </c:dLbl>
            <c:dLbl>
              <c:idx val="27"/>
              <c:layout>
                <c:manualLayout>
                  <c:x val="-2.6712690084277485E-3"/>
                  <c:y val="-1.38386005112031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D9-4066-9147-A6ADCB1C464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 trận giá bán rPP'!$BD$18:$IB$18</c:f>
              <c:numCache>
                <c:formatCode>General</c:formatCode>
                <c:ptCount val="28"/>
                <c:pt idx="0">
                  <c:v>650</c:v>
                </c:pt>
                <c:pt idx="1">
                  <c:v>650</c:v>
                </c:pt>
                <c:pt idx="2">
                  <c:v>650</c:v>
                </c:pt>
                <c:pt idx="3">
                  <c:v>650</c:v>
                </c:pt>
                <c:pt idx="4">
                  <c:v>650</c:v>
                </c:pt>
                <c:pt idx="5" formatCode="_(* #,##0_);_(* \(#,##0\);_(* &quot;-&quot;_);_(@_)">
                  <c:v>650</c:v>
                </c:pt>
                <c:pt idx="6" formatCode="_(* #,##0_);_(* \(#,##0\);_(* &quot;-&quot;_);_(@_)">
                  <c:v>650</c:v>
                </c:pt>
                <c:pt idx="7" formatCode="_(* #,##0_);_(* \(#,##0\);_(* &quot;-&quot;_);_(@_)">
                  <c:v>650</c:v>
                </c:pt>
                <c:pt idx="8" formatCode="_(* #,##0_);_(* \(#,##0\);_(* &quot;-&quot;_);_(@_)">
                  <c:v>650</c:v>
                </c:pt>
                <c:pt idx="9" formatCode="_(* #,##0_);_(* \(#,##0\);_(* &quot;-&quot;_);_(@_)">
                  <c:v>680</c:v>
                </c:pt>
                <c:pt idx="10" formatCode="_(* #,##0_);_(* \(#,##0\);_(* &quot;-&quot;_);_(@_)">
                  <c:v>680</c:v>
                </c:pt>
                <c:pt idx="11" formatCode="_(* #,##0_);_(* \(#,##0\);_(* &quot;-&quot;_);_(@_)">
                  <c:v>730</c:v>
                </c:pt>
                <c:pt idx="12" formatCode="_(* #,##0_);_(* \(#,##0\);_(* &quot;-&quot;_);_(@_)">
                  <c:v>730</c:v>
                </c:pt>
                <c:pt idx="13" formatCode="_(* #,##0_);_(* \(#,##0\);_(* &quot;-&quot;_);_(@_)">
                  <c:v>1120</c:v>
                </c:pt>
                <c:pt idx="14" formatCode="_(* #,##0_);_(* \(#,##0\);_(* &quot;-&quot;_);_(@_)">
                  <c:v>1120</c:v>
                </c:pt>
                <c:pt idx="15" formatCode="_(* #,##0_);_(* \(#,##0\);_(* &quot;-&quot;_);_(@_)">
                  <c:v>1120</c:v>
                </c:pt>
                <c:pt idx="16" formatCode="_(* #,##0_);_(* \(#,##0\);_(* &quot;-&quot;_);_(@_)">
                  <c:v>1120</c:v>
                </c:pt>
                <c:pt idx="17" formatCode="_(* #,##0_);_(* \(#,##0\);_(* &quot;-&quot;_);_(@_)">
                  <c:v>1120</c:v>
                </c:pt>
                <c:pt idx="18" formatCode="_(* #,##0_);_(* \(#,##0\);_(* &quot;-&quot;_);_(@_)">
                  <c:v>1155</c:v>
                </c:pt>
                <c:pt idx="19" formatCode="_(* #,##0_);_(* \(#,##0\);_(* &quot;-&quot;_);_(@_)">
                  <c:v>1155</c:v>
                </c:pt>
                <c:pt idx="20" formatCode="_(* #,##0_);_(* \(#,##0\);_(* &quot;-&quot;_);_(@_)">
                  <c:v>1155</c:v>
                </c:pt>
                <c:pt idx="21" formatCode="_(* #,##0_);_(* \(#,##0\);_(* &quot;-&quot;_);_(@_)">
                  <c:v>1155</c:v>
                </c:pt>
                <c:pt idx="22" formatCode="_(* #,##0_);_(* \(#,##0\);_(* &quot;-&quot;_);_(@_)">
                  <c:v>1015</c:v>
                </c:pt>
                <c:pt idx="23" formatCode="_(* #,##0_);_(* \(#,##0\);_(* &quot;-&quot;_);_(@_)">
                  <c:v>1015</c:v>
                </c:pt>
                <c:pt idx="24" formatCode="_(* #,##0_);_(* \(#,##0\);_(* &quot;-&quot;_);_(@_)">
                  <c:v>1015</c:v>
                </c:pt>
                <c:pt idx="25" formatCode="_(* #,##0_);_(* \(#,##0\);_(* &quot;-&quot;_);_(@_)">
                  <c:v>1015</c:v>
                </c:pt>
                <c:pt idx="26" formatCode="_(* #,##0_);_(* \(#,##0\);_(* &quot;-&quot;_);_(@_)">
                  <c:v>950</c:v>
                </c:pt>
                <c:pt idx="27" formatCode="_(* #,##0_);_(* \(#,##0\);_(* &quot;-&quot;_);_(@_)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4-4C75-9D40-FE3212E75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ax val="1500"/>
          <c:min val="5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59698837906831"/>
          <c:y val="8.6073842618494351E-2"/>
          <c:w val="0.11340299383875832"/>
          <c:h val="0.5862982746296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&amp;2026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0352816443013902"/>
          <c:y val="1.3954891271801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113415520691E-2"/>
          <c:y val="0.12606143734533315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3"/>
          <c:tx>
            <c:strRef>
              <c:f>'Ma trận giá bán vảy PP'!$H$8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giá bán vảy PP'!$I$8:$AN$8</c:f>
              <c:numCache>
                <c:formatCode>_(* #,##0_);_(* \(#,##0\);_(* "-"??_);_(@_)</c:formatCode>
                <c:ptCount val="19"/>
                <c:pt idx="0">
                  <c:v>970</c:v>
                </c:pt>
                <c:pt idx="1">
                  <c:v>985</c:v>
                </c:pt>
                <c:pt idx="2">
                  <c:v>980</c:v>
                </c:pt>
                <c:pt idx="3">
                  <c:v>965</c:v>
                </c:pt>
                <c:pt idx="4">
                  <c:v>932</c:v>
                </c:pt>
                <c:pt idx="5">
                  <c:v>922.5</c:v>
                </c:pt>
                <c:pt idx="6">
                  <c:v>918</c:v>
                </c:pt>
                <c:pt idx="7">
                  <c:v>895</c:v>
                </c:pt>
                <c:pt idx="8">
                  <c:v>870</c:v>
                </c:pt>
                <c:pt idx="9">
                  <c:v>842</c:v>
                </c:pt>
                <c:pt idx="10">
                  <c:v>827.5</c:v>
                </c:pt>
                <c:pt idx="11">
                  <c:v>820</c:v>
                </c:pt>
                <c:pt idx="12">
                  <c:v>816</c:v>
                </c:pt>
                <c:pt idx="13">
                  <c:v>847.5</c:v>
                </c:pt>
                <c:pt idx="14">
                  <c:v>1250</c:v>
                </c:pt>
                <c:pt idx="15">
                  <c:v>1437</c:v>
                </c:pt>
                <c:pt idx="16">
                  <c:v>1356.25</c:v>
                </c:pt>
                <c:pt idx="17">
                  <c:v>1175</c:v>
                </c:pt>
                <c:pt idx="18">
                  <c:v>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D-4BC9-B726-DB0F4A67ED34}"/>
            </c:ext>
          </c:extLst>
        </c:ser>
        <c:ser>
          <c:idx val="3"/>
          <c:order val="4"/>
          <c:tx>
            <c:strRef>
              <c:f>'Ma trận giá bán vảy PP'!$H$9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vảy PP'!$I$9:$AN$9</c:f>
              <c:numCache>
                <c:formatCode>"$"#,##0_);\("$"#,##0\)</c:formatCode>
                <c:ptCount val="19"/>
                <c:pt idx="0">
                  <c:v>-115</c:v>
                </c:pt>
                <c:pt idx="1">
                  <c:v>-205</c:v>
                </c:pt>
                <c:pt idx="2">
                  <c:v>-190</c:v>
                </c:pt>
                <c:pt idx="3">
                  <c:v>-180</c:v>
                </c:pt>
                <c:pt idx="4">
                  <c:v>-167</c:v>
                </c:pt>
                <c:pt idx="5">
                  <c:v>-157.5</c:v>
                </c:pt>
                <c:pt idx="6">
                  <c:v>-238</c:v>
                </c:pt>
                <c:pt idx="7">
                  <c:v>-235</c:v>
                </c:pt>
                <c:pt idx="8">
                  <c:v>-210</c:v>
                </c:pt>
                <c:pt idx="9">
                  <c:v>-192</c:v>
                </c:pt>
                <c:pt idx="10">
                  <c:v>-177.5</c:v>
                </c:pt>
                <c:pt idx="11">
                  <c:v>-170</c:v>
                </c:pt>
                <c:pt idx="12">
                  <c:v>-166</c:v>
                </c:pt>
                <c:pt idx="13">
                  <c:v>-197.5</c:v>
                </c:pt>
                <c:pt idx="14">
                  <c:v>-570</c:v>
                </c:pt>
                <c:pt idx="15">
                  <c:v>-317</c:v>
                </c:pt>
                <c:pt idx="16">
                  <c:v>-201.25</c:v>
                </c:pt>
                <c:pt idx="17">
                  <c:v>-160</c:v>
                </c:pt>
                <c:pt idx="18">
                  <c:v>-75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D-4BC9-B726-DB0F4A67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3"/>
          <c:order val="0"/>
          <c:tx>
            <c:strRef>
              <c:f>'Ma trận giá bán rPP'!$BC$5</c:f>
              <c:strCache>
                <c:ptCount val="1"/>
                <c:pt idx="0">
                  <c:v>Diễn giải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vảy PP'!$I$5:$AN$5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giá bán rPP'!$BD$5:$BP$5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93D-4BC9-B726-DB0F4A67ED34}"/>
            </c:ext>
          </c:extLst>
        </c:ser>
        <c:ser>
          <c:idx val="2"/>
          <c:order val="1"/>
          <c:tx>
            <c:strRef>
              <c:f>'Ma trận giá bán vảy PP'!$H$7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-2.9829170594109857E-2"/>
                  <c:y val="-3.23288314463402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A1-4A07-8D1D-632EC552637B}"/>
                </c:ext>
              </c:extLst>
            </c:dLbl>
            <c:dLbl>
              <c:idx val="14"/>
              <c:layout>
                <c:manualLayout>
                  <c:x val="-3.6507343115179364E-2"/>
                  <c:y val="-2.06997553865056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9FE-4AB6-A5C5-7F230DE804BB}"/>
                </c:ext>
              </c:extLst>
            </c:dLbl>
            <c:dLbl>
              <c:idx val="17"/>
              <c:layout>
                <c:manualLayout>
                  <c:x val="-1.0685076033710994E-2"/>
                  <c:y val="-3.46546466583071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3C-4099-844E-04644772BF0C}"/>
                </c:ext>
              </c:extLst>
            </c:dLbl>
            <c:dLbl>
              <c:idx val="18"/>
              <c:layout>
                <c:manualLayout>
                  <c:x val="-1.0685076033710994E-2"/>
                  <c:y val="-3.46546466583071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E4-416F-8956-50BFF2AC4B2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PP'!$I$5:$AN$5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giá bán vảy PP'!$I$7:$AN$7</c:f>
              <c:numCache>
                <c:formatCode>_(* #,##0_);_(* \(#,##0\);_(* "-"??_);_(@_)</c:formatCode>
                <c:ptCount val="19"/>
                <c:pt idx="0">
                  <c:v>970</c:v>
                </c:pt>
                <c:pt idx="1">
                  <c:v>985</c:v>
                </c:pt>
                <c:pt idx="2">
                  <c:v>980</c:v>
                </c:pt>
                <c:pt idx="3">
                  <c:v>965</c:v>
                </c:pt>
                <c:pt idx="4">
                  <c:v>932</c:v>
                </c:pt>
                <c:pt idx="5">
                  <c:v>922.5</c:v>
                </c:pt>
                <c:pt idx="6">
                  <c:v>918</c:v>
                </c:pt>
                <c:pt idx="7">
                  <c:v>895</c:v>
                </c:pt>
                <c:pt idx="8">
                  <c:v>870</c:v>
                </c:pt>
                <c:pt idx="9">
                  <c:v>842</c:v>
                </c:pt>
                <c:pt idx="10">
                  <c:v>827.5</c:v>
                </c:pt>
                <c:pt idx="11">
                  <c:v>820</c:v>
                </c:pt>
                <c:pt idx="12">
                  <c:v>816</c:v>
                </c:pt>
                <c:pt idx="13">
                  <c:v>847.5</c:v>
                </c:pt>
                <c:pt idx="14">
                  <c:v>1250</c:v>
                </c:pt>
                <c:pt idx="15">
                  <c:v>1437</c:v>
                </c:pt>
                <c:pt idx="16">
                  <c:v>1356.25</c:v>
                </c:pt>
                <c:pt idx="17">
                  <c:v>1175</c:v>
                </c:pt>
                <c:pt idx="18">
                  <c:v>1025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893D-4BC9-B726-DB0F4A67ED34}"/>
            </c:ext>
          </c:extLst>
        </c:ser>
        <c:ser>
          <c:idx val="11"/>
          <c:order val="2"/>
          <c:tx>
            <c:strRef>
              <c:f>'Ma trận giá bán vảy PP'!$H$6</c:f>
              <c:strCache>
                <c:ptCount val="1"/>
                <c:pt idx="0">
                  <c:v>DTR </c:v>
                </c:pt>
              </c:strCache>
            </c:strRef>
          </c:tx>
          <c:spPr>
            <a:ln w="508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883436188450439E-3"/>
                  <c:y val="-2.5692056184628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05-4267-9EAE-96CF77168A94}"/>
                </c:ext>
              </c:extLst>
            </c:dLbl>
            <c:dLbl>
              <c:idx val="2"/>
              <c:layout>
                <c:manualLayout>
                  <c:x val="-1.731400103177896E-2"/>
                  <c:y val="-2.56920561846286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05-4267-9EAE-96CF77168A94}"/>
                </c:ext>
              </c:extLst>
            </c:dLbl>
            <c:dLbl>
              <c:idx val="3"/>
              <c:layout>
                <c:manualLayout>
                  <c:x val="-1.6472825551971246E-2"/>
                  <c:y val="-3.04681792767667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05-4267-9EAE-96CF77168A94}"/>
                </c:ext>
              </c:extLst>
            </c:dLbl>
            <c:dLbl>
              <c:idx val="4"/>
              <c:layout>
                <c:manualLayout>
                  <c:x val="-1.5582402549161867E-2"/>
                  <c:y val="-2.349073364086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05-4267-9EAE-96CF77168A94}"/>
                </c:ext>
              </c:extLst>
            </c:dLbl>
            <c:dLbl>
              <c:idx val="5"/>
              <c:layout>
                <c:manualLayout>
                  <c:x val="-2.0034517563208114E-2"/>
                  <c:y val="-2.349073364086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05-4267-9EAE-96CF77168A94}"/>
                </c:ext>
              </c:extLst>
            </c:dLbl>
            <c:dLbl>
              <c:idx val="15"/>
              <c:layout>
                <c:manualLayout>
                  <c:x val="-2.6712690084277485E-2"/>
                  <c:y val="-2.34907336408659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FE-4AB6-A5C5-7F230DE804BB}"/>
                </c:ext>
              </c:extLst>
            </c:dLbl>
            <c:dLbl>
              <c:idx val="16"/>
              <c:layout>
                <c:manualLayout>
                  <c:x val="-2.0479729064612869E-2"/>
                  <c:y val="-2.5816548852832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E7-442A-8AB8-338C1C73DA6B}"/>
                </c:ext>
              </c:extLst>
            </c:dLbl>
            <c:dLbl>
              <c:idx val="17"/>
              <c:layout>
                <c:manualLayout>
                  <c:x val="-1.4246768044948123E-2"/>
                  <c:y val="-2.8142364064799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1E7-442A-8AB8-338C1C73DA6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PP'!$I$5:$AN$5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giá bán vảy PP'!$I$6:$AN$6</c:f>
              <c:numCache>
                <c:formatCode>"$"#,##0_);\("$"#,##0\)</c:formatCode>
                <c:ptCount val="19"/>
                <c:pt idx="0">
                  <c:v>855</c:v>
                </c:pt>
                <c:pt idx="1">
                  <c:v>780</c:v>
                </c:pt>
                <c:pt idx="2">
                  <c:v>790</c:v>
                </c:pt>
                <c:pt idx="3">
                  <c:v>785</c:v>
                </c:pt>
                <c:pt idx="4">
                  <c:v>765</c:v>
                </c:pt>
                <c:pt idx="5">
                  <c:v>765</c:v>
                </c:pt>
                <c:pt idx="6">
                  <c:v>680</c:v>
                </c:pt>
                <c:pt idx="7">
                  <c:v>660</c:v>
                </c:pt>
                <c:pt idx="8">
                  <c:v>660</c:v>
                </c:pt>
                <c:pt idx="9">
                  <c:v>650</c:v>
                </c:pt>
                <c:pt idx="10">
                  <c:v>650</c:v>
                </c:pt>
                <c:pt idx="11">
                  <c:v>650</c:v>
                </c:pt>
                <c:pt idx="12">
                  <c:v>650</c:v>
                </c:pt>
                <c:pt idx="13">
                  <c:v>650</c:v>
                </c:pt>
                <c:pt idx="14">
                  <c:v>680</c:v>
                </c:pt>
                <c:pt idx="15">
                  <c:v>1120</c:v>
                </c:pt>
                <c:pt idx="16">
                  <c:v>1155</c:v>
                </c:pt>
                <c:pt idx="17">
                  <c:v>1015</c:v>
                </c:pt>
                <c:pt idx="18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93D-4BC9-B726-DB0F4A67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5"/>
          <c:tx>
            <c:strRef>
              <c:f>'Ma trận giá bán vảy PP'!$AQ$10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'Ma trận giá bán vảy PP'!$AR$10:$AZ$10</c:f>
            </c:numRef>
          </c:val>
          <c:smooth val="0"/>
          <c:extLst>
            <c:ext xmlns:c16="http://schemas.microsoft.com/office/drawing/2014/chart" uri="{C3380CC4-5D6E-409C-BE32-E72D297353CC}">
              <c16:uniqueId val="{00000023-893D-4BC9-B726-DB0F4A67ED34}"/>
            </c:ext>
          </c:extLst>
        </c:ser>
        <c:ser>
          <c:idx val="1"/>
          <c:order val="6"/>
          <c:tx>
            <c:strRef>
              <c:f>'Ma trận giá bán vảy PP'!$H$11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3762411076542146E-2"/>
                  <c:y val="2.52291362533740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05-4267-9EAE-96CF77168A94}"/>
                </c:ext>
              </c:extLst>
            </c:dLbl>
            <c:dLbl>
              <c:idx val="3"/>
              <c:layout>
                <c:manualLayout>
                  <c:x val="-2.1995481418764957E-2"/>
                  <c:y val="2.78129040989471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05-4267-9EAE-96CF77168A9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 trận giá bán vảy PP'!$I$11:$AN$11</c:f>
              <c:numCache>
                <c:formatCode>0</c:formatCode>
                <c:ptCount val="19"/>
                <c:pt idx="0">
                  <c:v>790.71342693105714</c:v>
                </c:pt>
                <c:pt idx="1">
                  <c:v>780.14594515953695</c:v>
                </c:pt>
                <c:pt idx="2">
                  <c:v>780.14594515953695</c:v>
                </c:pt>
                <c:pt idx="3">
                  <c:v>767.45783789288964</c:v>
                </c:pt>
                <c:pt idx="4">
                  <c:v>720.25560128568611</c:v>
                </c:pt>
                <c:pt idx="5">
                  <c:v>754.85044113798847</c:v>
                </c:pt>
                <c:pt idx="6">
                  <c:v>757.17190222429883</c:v>
                </c:pt>
                <c:pt idx="7">
                  <c:v>757.17190222429883</c:v>
                </c:pt>
                <c:pt idx="8">
                  <c:v>757.17190222429883</c:v>
                </c:pt>
                <c:pt idx="9">
                  <c:v>760.07393351542305</c:v>
                </c:pt>
                <c:pt idx="10">
                  <c:v>760.79553063281901</c:v>
                </c:pt>
                <c:pt idx="11">
                  <c:v>765.98333885599538</c:v>
                </c:pt>
                <c:pt idx="12">
                  <c:v>765.98333885599538</c:v>
                </c:pt>
                <c:pt idx="13">
                  <c:v>765.48148735896382</c:v>
                </c:pt>
                <c:pt idx="14">
                  <c:v>799.47433626065799</c:v>
                </c:pt>
                <c:pt idx="15">
                  <c:v>865.31704364872087</c:v>
                </c:pt>
                <c:pt idx="16">
                  <c:v>828.51168622823786</c:v>
                </c:pt>
                <c:pt idx="17">
                  <c:v>828.51168622823786</c:v>
                </c:pt>
                <c:pt idx="18">
                  <c:v>828.51168622823786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93D-4BC9-B726-DB0F4A67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ax val="1500"/>
          <c:min val="5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7413106633973892"/>
          <c:y val="0.17753789934201405"/>
          <c:w val="0.11340299383875832"/>
          <c:h val="0.619813454969195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113415520691E-2"/>
          <c:y val="0.12606143734533315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3"/>
          <c:tx>
            <c:strRef>
              <c:f>'Ma trận giá bán vảy PP'!$AQ$8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giá bán vảy PP'!$AR$8:$FU$8</c:f>
              <c:numCache>
                <c:formatCode>"$"#,##0_);\("$"#,##0\)</c:formatCode>
                <c:ptCount val="28"/>
                <c:pt idx="0">
                  <c:v>810</c:v>
                </c:pt>
                <c:pt idx="1">
                  <c:v>810</c:v>
                </c:pt>
                <c:pt idx="2">
                  <c:v>820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1000</c:v>
                </c:pt>
                <c:pt idx="10">
                  <c:v>1200</c:v>
                </c:pt>
                <c:pt idx="11">
                  <c:v>1400</c:v>
                </c:pt>
                <c:pt idx="12">
                  <c:v>1400</c:v>
                </c:pt>
                <c:pt idx="13">
                  <c:v>1400</c:v>
                </c:pt>
                <c:pt idx="14">
                  <c:v>1450</c:v>
                </c:pt>
                <c:pt idx="15">
                  <c:v>1445</c:v>
                </c:pt>
                <c:pt idx="16">
                  <c:v>1445</c:v>
                </c:pt>
                <c:pt idx="17">
                  <c:v>1445</c:v>
                </c:pt>
                <c:pt idx="18">
                  <c:v>1445</c:v>
                </c:pt>
                <c:pt idx="19">
                  <c:v>1400</c:v>
                </c:pt>
                <c:pt idx="20">
                  <c:v>1310</c:v>
                </c:pt>
                <c:pt idx="21">
                  <c:v>1270</c:v>
                </c:pt>
                <c:pt idx="22">
                  <c:v>1240</c:v>
                </c:pt>
                <c:pt idx="23">
                  <c:v>1220</c:v>
                </c:pt>
                <c:pt idx="24">
                  <c:v>1190</c:v>
                </c:pt>
                <c:pt idx="25">
                  <c:v>1050</c:v>
                </c:pt>
                <c:pt idx="26">
                  <c:v>1030</c:v>
                </c:pt>
                <c:pt idx="27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9-4260-A703-FCB7718B0DF0}"/>
            </c:ext>
          </c:extLst>
        </c:ser>
        <c:ser>
          <c:idx val="3"/>
          <c:order val="4"/>
          <c:tx>
            <c:strRef>
              <c:f>'Ma trận giá bán vảy PP'!$AQ$9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vảy PP'!$AR$9:$FU$9</c:f>
              <c:numCache>
                <c:formatCode>"$"#.##0_);\("$"#.##0\)</c:formatCode>
                <c:ptCount val="28"/>
                <c:pt idx="0">
                  <c:v>-160</c:v>
                </c:pt>
                <c:pt idx="1">
                  <c:v>-160</c:v>
                </c:pt>
                <c:pt idx="2">
                  <c:v>-170</c:v>
                </c:pt>
                <c:pt idx="3">
                  <c:v>-170</c:v>
                </c:pt>
                <c:pt idx="4">
                  <c:v>-170</c:v>
                </c:pt>
                <c:pt idx="5">
                  <c:v>-190</c:v>
                </c:pt>
                <c:pt idx="6">
                  <c:v>-200</c:v>
                </c:pt>
                <c:pt idx="7">
                  <c:v>-200</c:v>
                </c:pt>
                <c:pt idx="8">
                  <c:v>-200</c:v>
                </c:pt>
                <c:pt idx="9">
                  <c:v>-320</c:v>
                </c:pt>
                <c:pt idx="10">
                  <c:v>-520</c:v>
                </c:pt>
                <c:pt idx="11">
                  <c:v>-670</c:v>
                </c:pt>
                <c:pt idx="12">
                  <c:v>-670</c:v>
                </c:pt>
                <c:pt idx="13">
                  <c:v>-280</c:v>
                </c:pt>
                <c:pt idx="14">
                  <c:v>-330</c:v>
                </c:pt>
                <c:pt idx="15">
                  <c:v>-325</c:v>
                </c:pt>
                <c:pt idx="16">
                  <c:v>-325</c:v>
                </c:pt>
                <c:pt idx="17">
                  <c:v>-325</c:v>
                </c:pt>
                <c:pt idx="18">
                  <c:v>-290</c:v>
                </c:pt>
                <c:pt idx="19">
                  <c:v>-245</c:v>
                </c:pt>
                <c:pt idx="20">
                  <c:v>-155</c:v>
                </c:pt>
                <c:pt idx="21">
                  <c:v>-115</c:v>
                </c:pt>
                <c:pt idx="22">
                  <c:v>-225</c:v>
                </c:pt>
                <c:pt idx="23">
                  <c:v>-205</c:v>
                </c:pt>
                <c:pt idx="24">
                  <c:v>-175</c:v>
                </c:pt>
                <c:pt idx="25">
                  <c:v>-35</c:v>
                </c:pt>
                <c:pt idx="26">
                  <c:v>-80</c:v>
                </c:pt>
                <c:pt idx="27">
                  <c:v>-70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79-4260-A703-FCB7718B0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3"/>
          <c:order val="0"/>
          <c:tx>
            <c:strRef>
              <c:f>'Ma trận giá bán rPP'!$BC$5</c:f>
              <c:strCache>
                <c:ptCount val="1"/>
                <c:pt idx="0">
                  <c:v>Diễn giải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vảy PP'!$AR$5:$FU$5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giá bán rPP'!$BD$5:$BP$5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EF-1A79-4260-A703-FCB7718B0DF0}"/>
            </c:ext>
          </c:extLst>
        </c:ser>
        <c:ser>
          <c:idx val="2"/>
          <c:order val="1"/>
          <c:tx>
            <c:strRef>
              <c:f>'Ma trận giá bán vảy PP'!$AQ$7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1448592024487425E-2"/>
                  <c:y val="-3.04251429990935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6E-46BA-8267-88B3812894CD}"/>
                </c:ext>
              </c:extLst>
            </c:dLbl>
            <c:dLbl>
              <c:idx val="2"/>
              <c:layout>
                <c:manualLayout>
                  <c:x val="-1.9661209355780172E-2"/>
                  <c:y val="-3.5105934229723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17-4CBF-B0D3-4A0C619DCD52}"/>
                </c:ext>
              </c:extLst>
            </c:dLbl>
            <c:dLbl>
              <c:idx val="8"/>
              <c:layout>
                <c:manualLayout>
                  <c:x val="-2.7116679638709489E-2"/>
                  <c:y val="-4.2244140856433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79-49B6-9115-C0959264A886}"/>
                </c:ext>
              </c:extLst>
            </c:dLbl>
            <c:dLbl>
              <c:idx val="9"/>
              <c:layout>
                <c:manualLayout>
                  <c:x val="-4.2453162385192651E-2"/>
                  <c:y val="-3.52229540104890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79-49B6-9115-C0959264A886}"/>
                </c:ext>
              </c:extLst>
            </c:dLbl>
            <c:dLbl>
              <c:idx val="10"/>
              <c:layout>
                <c:manualLayout>
                  <c:x val="-4.4231305312321001E-2"/>
                  <c:y val="-3.05421627798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32-40A5-8942-B5E64B6BD282}"/>
                </c:ext>
              </c:extLst>
            </c:dLbl>
            <c:dLbl>
              <c:idx val="20"/>
              <c:layout>
                <c:manualLayout>
                  <c:x val="-1.0408582098271104E-2"/>
                  <c:y val="-3.26777037281352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95-4CA7-90B9-AAD31F4BA753}"/>
                </c:ext>
              </c:extLst>
            </c:dLbl>
            <c:dLbl>
              <c:idx val="25"/>
              <c:layout>
                <c:manualLayout>
                  <c:x val="-1.2623174034073597E-2"/>
                  <c:y val="-3.73293341520691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F2-4400-8C36-6A735FFCDCFC}"/>
                </c:ext>
              </c:extLst>
            </c:dLbl>
            <c:dLbl>
              <c:idx val="26"/>
              <c:layout>
                <c:manualLayout>
                  <c:x val="-1.3509010808394412E-2"/>
                  <c:y val="-2.3374442880267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21-4887-9F70-9E71E3CA6978}"/>
                </c:ext>
              </c:extLst>
            </c:dLbl>
            <c:dLbl>
              <c:idx val="27"/>
              <c:layout>
                <c:manualLayout>
                  <c:x val="-1.0851500485431577E-2"/>
                  <c:y val="-2.8026073304201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42-42EB-AF72-BDB0496A6C2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PP'!$AR$5:$FU$5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giá bán vảy PP'!$AR$7:$FU$7</c:f>
              <c:numCache>
                <c:formatCode>"$"#,##0_);\("$"#,##0\)</c:formatCode>
                <c:ptCount val="28"/>
                <c:pt idx="0">
                  <c:v>810</c:v>
                </c:pt>
                <c:pt idx="1">
                  <c:v>810</c:v>
                </c:pt>
                <c:pt idx="2">
                  <c:v>820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1000</c:v>
                </c:pt>
                <c:pt idx="10">
                  <c:v>1200</c:v>
                </c:pt>
                <c:pt idx="11">
                  <c:v>1400</c:v>
                </c:pt>
                <c:pt idx="12">
                  <c:v>1400</c:v>
                </c:pt>
                <c:pt idx="13">
                  <c:v>1400</c:v>
                </c:pt>
                <c:pt idx="14">
                  <c:v>1450</c:v>
                </c:pt>
                <c:pt idx="15">
                  <c:v>1445</c:v>
                </c:pt>
                <c:pt idx="16">
                  <c:v>1445</c:v>
                </c:pt>
                <c:pt idx="17">
                  <c:v>1445</c:v>
                </c:pt>
                <c:pt idx="18">
                  <c:v>1445</c:v>
                </c:pt>
                <c:pt idx="19">
                  <c:v>1400</c:v>
                </c:pt>
                <c:pt idx="20">
                  <c:v>1310</c:v>
                </c:pt>
                <c:pt idx="21">
                  <c:v>1270</c:v>
                </c:pt>
                <c:pt idx="22">
                  <c:v>1240</c:v>
                </c:pt>
                <c:pt idx="23">
                  <c:v>1220</c:v>
                </c:pt>
                <c:pt idx="24">
                  <c:v>1190</c:v>
                </c:pt>
                <c:pt idx="25">
                  <c:v>1050</c:v>
                </c:pt>
                <c:pt idx="26">
                  <c:v>1030</c:v>
                </c:pt>
                <c:pt idx="27">
                  <c:v>1020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EB-1A79-4260-A703-FCB7718B0DF0}"/>
            </c:ext>
          </c:extLst>
        </c:ser>
        <c:ser>
          <c:idx val="11"/>
          <c:order val="2"/>
          <c:tx>
            <c:strRef>
              <c:f>'Ma trận giá bán vảy PP'!$AQ$6</c:f>
              <c:strCache>
                <c:ptCount val="1"/>
                <c:pt idx="0">
                  <c:v>DTR </c:v>
                </c:pt>
              </c:strCache>
            </c:strRef>
          </c:tx>
          <c:spPr>
            <a:ln w="508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4894000979798755E-2"/>
                  <c:y val="3.9786725460353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DD-43A9-BEFF-B016EF086044}"/>
                </c:ext>
              </c:extLst>
            </c:dLbl>
            <c:dLbl>
              <c:idx val="13"/>
              <c:layout>
                <c:manualLayout>
                  <c:x val="-2.2893590186779212E-2"/>
                  <c:y val="-3.0308123218327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8F-4EC6-82F8-C0E5093016D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99B-4770-8780-E6B05B71A0B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92D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PP'!$AR$5:$FU$5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giá bán vảy PP'!$AR$6:$FU$6</c:f>
              <c:numCache>
                <c:formatCode>"$"#,##0_);\("$"#,##0\)</c:formatCode>
                <c:ptCount val="28"/>
                <c:pt idx="0">
                  <c:v>650</c:v>
                </c:pt>
                <c:pt idx="1">
                  <c:v>650</c:v>
                </c:pt>
                <c:pt idx="2">
                  <c:v>650</c:v>
                </c:pt>
                <c:pt idx="3">
                  <c:v>650</c:v>
                </c:pt>
                <c:pt idx="4">
                  <c:v>650</c:v>
                </c:pt>
                <c:pt idx="5">
                  <c:v>650</c:v>
                </c:pt>
                <c:pt idx="6">
                  <c:v>650</c:v>
                </c:pt>
                <c:pt idx="7">
                  <c:v>650</c:v>
                </c:pt>
                <c:pt idx="8">
                  <c:v>650</c:v>
                </c:pt>
                <c:pt idx="9">
                  <c:v>680</c:v>
                </c:pt>
                <c:pt idx="10">
                  <c:v>680</c:v>
                </c:pt>
                <c:pt idx="11">
                  <c:v>730</c:v>
                </c:pt>
                <c:pt idx="12">
                  <c:v>730</c:v>
                </c:pt>
                <c:pt idx="13">
                  <c:v>1120</c:v>
                </c:pt>
                <c:pt idx="14">
                  <c:v>1120</c:v>
                </c:pt>
                <c:pt idx="15">
                  <c:v>1120</c:v>
                </c:pt>
                <c:pt idx="16">
                  <c:v>1120</c:v>
                </c:pt>
                <c:pt idx="17">
                  <c:v>1120</c:v>
                </c:pt>
                <c:pt idx="18">
                  <c:v>1155</c:v>
                </c:pt>
                <c:pt idx="19">
                  <c:v>1155</c:v>
                </c:pt>
                <c:pt idx="20">
                  <c:v>1155</c:v>
                </c:pt>
                <c:pt idx="21">
                  <c:v>1155</c:v>
                </c:pt>
                <c:pt idx="22">
                  <c:v>1015</c:v>
                </c:pt>
                <c:pt idx="23">
                  <c:v>1015</c:v>
                </c:pt>
                <c:pt idx="24">
                  <c:v>1015</c:v>
                </c:pt>
                <c:pt idx="25">
                  <c:v>1015</c:v>
                </c:pt>
                <c:pt idx="26">
                  <c:v>950</c:v>
                </c:pt>
                <c:pt idx="27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1A79-4260-A703-FCB7718B0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5"/>
          <c:tx>
            <c:strRef>
              <c:f>'Ma trận giá bán vảy PP'!$AQ$10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'Ma trận giá bán vảy PP'!$AR$5:$AU$5</c:f>
            </c:multiLvlStrRef>
          </c:cat>
          <c:val>
            <c:numRef>
              <c:f>'Ma trận giá bán vảy PP'!$AR$10:$AZ$10</c:f>
            </c:numRef>
          </c:val>
          <c:smooth val="0"/>
          <c:extLst>
            <c:ext xmlns:c16="http://schemas.microsoft.com/office/drawing/2014/chart" uri="{C3380CC4-5D6E-409C-BE32-E72D297353CC}">
              <c16:uniqueId val="{000000EC-1A79-4260-A703-FCB7718B0DF0}"/>
            </c:ext>
          </c:extLst>
        </c:ser>
        <c:ser>
          <c:idx val="1"/>
          <c:order val="6"/>
          <c:tx>
            <c:strRef>
              <c:f>'Ma trận giá bán vảy PP'!$AQ$11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4853962039792075E-2"/>
                  <c:y val="-8.581351456983607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03-4650-A710-1B5DC92DF559}"/>
                </c:ext>
              </c:extLst>
            </c:dLbl>
            <c:dLbl>
              <c:idx val="1"/>
              <c:layout>
                <c:manualLayout>
                  <c:x val="-2.2226786589106033E-2"/>
                  <c:y val="3.51059342297231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6E-46BA-8267-88B3812894C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 trận giá bán vảy PP'!$AR$11:$FU$11</c:f>
              <c:numCache>
                <c:formatCode>0</c:formatCode>
                <c:ptCount val="28"/>
                <c:pt idx="0">
                  <c:v>765.98333885599538</c:v>
                </c:pt>
                <c:pt idx="1">
                  <c:v>765.98333885599538</c:v>
                </c:pt>
                <c:pt idx="2">
                  <c:v>765.98333885599538</c:v>
                </c:pt>
                <c:pt idx="3">
                  <c:v>765.98333885599538</c:v>
                </c:pt>
                <c:pt idx="4">
                  <c:v>765.98333885599538</c:v>
                </c:pt>
                <c:pt idx="5">
                  <c:v>765.48148735896382</c:v>
                </c:pt>
                <c:pt idx="6">
                  <c:v>765.48148735896382</c:v>
                </c:pt>
                <c:pt idx="7">
                  <c:v>765.48148735896382</c:v>
                </c:pt>
                <c:pt idx="8">
                  <c:v>765.48148735896382</c:v>
                </c:pt>
                <c:pt idx="9">
                  <c:v>799.47433626065799</c:v>
                </c:pt>
                <c:pt idx="10">
                  <c:v>799.47433626065799</c:v>
                </c:pt>
                <c:pt idx="11">
                  <c:v>799.47433626065799</c:v>
                </c:pt>
                <c:pt idx="12">
                  <c:v>799.47433626065799</c:v>
                </c:pt>
                <c:pt idx="13">
                  <c:v>865.31704364872087</c:v>
                </c:pt>
                <c:pt idx="14">
                  <c:v>865.31704364872087</c:v>
                </c:pt>
                <c:pt idx="15">
                  <c:v>865.31704364872087</c:v>
                </c:pt>
                <c:pt idx="16">
                  <c:v>865.31704364872087</c:v>
                </c:pt>
                <c:pt idx="17">
                  <c:v>865.31704364872087</c:v>
                </c:pt>
                <c:pt idx="18">
                  <c:v>828.51168622823786</c:v>
                </c:pt>
                <c:pt idx="19">
                  <c:v>828.51168622823786</c:v>
                </c:pt>
                <c:pt idx="20">
                  <c:v>828.51168622823786</c:v>
                </c:pt>
                <c:pt idx="21">
                  <c:v>828.51168622823786</c:v>
                </c:pt>
                <c:pt idx="22">
                  <c:v>828.51168622823786</c:v>
                </c:pt>
                <c:pt idx="23">
                  <c:v>828.51168622823786</c:v>
                </c:pt>
                <c:pt idx="24">
                  <c:v>828.51168622823786</c:v>
                </c:pt>
                <c:pt idx="25">
                  <c:v>828.51168622823786</c:v>
                </c:pt>
                <c:pt idx="26">
                  <c:v>828.51168622823786</c:v>
                </c:pt>
                <c:pt idx="27">
                  <c:v>828.51168622823786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35-4AEC-9C56-A6D2B2FAA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ax val="1500"/>
          <c:min val="5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59697328559572"/>
          <c:y val="8.3018070986963247E-2"/>
          <c:w val="9.473252460032737E-2"/>
          <c:h val="0.71705280430072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 ÉP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&amp;2026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096997686023E-2"/>
          <c:y val="0.12606144141801962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2"/>
          <c:tx>
            <c:strRef>
              <c:f>'Ma trận giá bán vảy HDPE ÉP'!$D$8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giá bán vảy HDPE ÉP'!$E$8:$AJ$8</c:f>
              <c:numCache>
                <c:formatCode>_(* #,##0_);_(* \(#,##0\);_(* "-"??_);_(@_)</c:formatCode>
                <c:ptCount val="19"/>
                <c:pt idx="0">
                  <c:v>940</c:v>
                </c:pt>
                <c:pt idx="1">
                  <c:v>945</c:v>
                </c:pt>
                <c:pt idx="2">
                  <c:v>940</c:v>
                </c:pt>
                <c:pt idx="3">
                  <c:v>905</c:v>
                </c:pt>
                <c:pt idx="4">
                  <c:v>908</c:v>
                </c:pt>
                <c:pt idx="5">
                  <c:v>915</c:v>
                </c:pt>
                <c:pt idx="6">
                  <c:v>930</c:v>
                </c:pt>
                <c:pt idx="7">
                  <c:v>930</c:v>
                </c:pt>
                <c:pt idx="8">
                  <c:v>915</c:v>
                </c:pt>
                <c:pt idx="9">
                  <c:v>870</c:v>
                </c:pt>
                <c:pt idx="10">
                  <c:v>840</c:v>
                </c:pt>
                <c:pt idx="11">
                  <c:v>830</c:v>
                </c:pt>
                <c:pt idx="12">
                  <c:v>830</c:v>
                </c:pt>
                <c:pt idx="13">
                  <c:v>830</c:v>
                </c:pt>
                <c:pt idx="14">
                  <c:v>1268.75</c:v>
                </c:pt>
                <c:pt idx="15">
                  <c:v>1450</c:v>
                </c:pt>
                <c:pt idx="16">
                  <c:v>1390</c:v>
                </c:pt>
                <c:pt idx="17">
                  <c:v>1247.5</c:v>
                </c:pt>
                <c:pt idx="18">
                  <c:v>1055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8-4B6E-B6F0-2DBBB1791223}"/>
            </c:ext>
          </c:extLst>
        </c:ser>
        <c:ser>
          <c:idx val="3"/>
          <c:order val="3"/>
          <c:tx>
            <c:strRef>
              <c:f>'Ma trận giá bán vảy HDPE ÉP'!$AL$9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vảy HDPE ÉP'!$E$9:$AJ$9</c:f>
              <c:numCache>
                <c:formatCode>"$"#,##0_);\("$"#,##0\)</c:formatCode>
                <c:ptCount val="19"/>
                <c:pt idx="0">
                  <c:v>-115</c:v>
                </c:pt>
                <c:pt idx="1">
                  <c:v>-195</c:v>
                </c:pt>
                <c:pt idx="2">
                  <c:v>-190</c:v>
                </c:pt>
                <c:pt idx="3">
                  <c:v>-155</c:v>
                </c:pt>
                <c:pt idx="4">
                  <c:v>-188</c:v>
                </c:pt>
                <c:pt idx="5">
                  <c:v>-195</c:v>
                </c:pt>
                <c:pt idx="6">
                  <c:v>-210</c:v>
                </c:pt>
                <c:pt idx="7">
                  <c:v>-230</c:v>
                </c:pt>
                <c:pt idx="8">
                  <c:v>-215</c:v>
                </c:pt>
                <c:pt idx="9">
                  <c:v>-170</c:v>
                </c:pt>
                <c:pt idx="10">
                  <c:v>-150</c:v>
                </c:pt>
                <c:pt idx="11">
                  <c:v>-165</c:v>
                </c:pt>
                <c:pt idx="12">
                  <c:v>-165</c:v>
                </c:pt>
                <c:pt idx="13">
                  <c:v>-165</c:v>
                </c:pt>
                <c:pt idx="14">
                  <c:v>-603.75</c:v>
                </c:pt>
                <c:pt idx="15">
                  <c:v>-290</c:v>
                </c:pt>
                <c:pt idx="16">
                  <c:v>-230</c:v>
                </c:pt>
                <c:pt idx="17">
                  <c:v>-182.5</c:v>
                </c:pt>
                <c:pt idx="18">
                  <c:v>-155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78-4B6E-B6F0-2DBBB1791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2"/>
          <c:order val="0"/>
          <c:tx>
            <c:strRef>
              <c:f>'Ma trận giá bán vảy HDPE ÉP'!$D$7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-3.2500439602537609E-2"/>
                  <c:y val="-4.39579075061748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0D-4C40-ABFD-C0CFD5AFF1C9}"/>
                </c:ext>
              </c:extLst>
            </c:dLbl>
            <c:dLbl>
              <c:idx val="14"/>
              <c:layout>
                <c:manualLayout>
                  <c:x val="-3.5616920112369978E-2"/>
                  <c:y val="-2.53513858104395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08-4881-8EF2-1BBAEA738A1E}"/>
                </c:ext>
              </c:extLst>
            </c:dLbl>
            <c:dLbl>
              <c:idx val="17"/>
              <c:layout>
                <c:manualLayout>
                  <c:x val="-6.2329610196647468E-3"/>
                  <c:y val="-2.30255705984725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8D-4D1E-930C-BC12BA7C185B}"/>
                </c:ext>
              </c:extLst>
            </c:dLbl>
            <c:dLbl>
              <c:idx val="18"/>
              <c:layout>
                <c:manualLayout>
                  <c:x val="-2.6712690084277485E-3"/>
                  <c:y val="-2.06997553865057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C5-4E37-8D5B-E3F23DC78E2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ÉP'!$E$5:$AJ$5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giá bán vảy HDPE ÉP'!$E$7:$AJ$7</c:f>
              <c:numCache>
                <c:formatCode>_(* #,##0_);_(* \(#,##0\);_(* "-"??_);_(@_)</c:formatCode>
                <c:ptCount val="19"/>
                <c:pt idx="0">
                  <c:v>940</c:v>
                </c:pt>
                <c:pt idx="1">
                  <c:v>945</c:v>
                </c:pt>
                <c:pt idx="2">
                  <c:v>940</c:v>
                </c:pt>
                <c:pt idx="3">
                  <c:v>905</c:v>
                </c:pt>
                <c:pt idx="4">
                  <c:v>908</c:v>
                </c:pt>
                <c:pt idx="5">
                  <c:v>915</c:v>
                </c:pt>
                <c:pt idx="6">
                  <c:v>930</c:v>
                </c:pt>
                <c:pt idx="7">
                  <c:v>930</c:v>
                </c:pt>
                <c:pt idx="8">
                  <c:v>915</c:v>
                </c:pt>
                <c:pt idx="9">
                  <c:v>870</c:v>
                </c:pt>
                <c:pt idx="10">
                  <c:v>840</c:v>
                </c:pt>
                <c:pt idx="11">
                  <c:v>830</c:v>
                </c:pt>
                <c:pt idx="12">
                  <c:v>830</c:v>
                </c:pt>
                <c:pt idx="13">
                  <c:v>830</c:v>
                </c:pt>
                <c:pt idx="14">
                  <c:v>1268.75</c:v>
                </c:pt>
                <c:pt idx="15">
                  <c:v>1450</c:v>
                </c:pt>
                <c:pt idx="16">
                  <c:v>1390</c:v>
                </c:pt>
                <c:pt idx="17">
                  <c:v>1247.5</c:v>
                </c:pt>
                <c:pt idx="18">
                  <c:v>1055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B78-4B6E-B6F0-2DBBB1791223}"/>
            </c:ext>
          </c:extLst>
        </c:ser>
        <c:ser>
          <c:idx val="11"/>
          <c:order val="1"/>
          <c:tx>
            <c:strRef>
              <c:f>'Ma trận giá bán vảy HDPE ÉP'!$D$6</c:f>
              <c:strCache>
                <c:ptCount val="1"/>
                <c:pt idx="0">
                  <c:v>DTR </c:v>
                </c:pt>
              </c:strCache>
            </c:strRef>
          </c:tx>
          <c:spPr>
            <a:ln w="508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2.8048324588491491E-2"/>
                  <c:y val="-3.23288314463403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3C-4F3F-B765-F076F6DA87E8}"/>
                </c:ext>
              </c:extLst>
            </c:dLbl>
            <c:dLbl>
              <c:idx val="18"/>
              <c:layout>
                <c:manualLayout>
                  <c:x val="-6.6781725210693713E-3"/>
                  <c:y val="-1.83739401745387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0D-4772-BE9D-493F1E25C6A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ÉP'!$E$5:$AJ$5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giá bán vảy HDPE ÉP'!$E$6:$AJ$6</c:f>
              <c:numCache>
                <c:formatCode>"$"#,##0_);\("$"#,##0\)</c:formatCode>
                <c:ptCount val="19"/>
                <c:pt idx="0">
                  <c:v>825</c:v>
                </c:pt>
                <c:pt idx="1">
                  <c:v>750</c:v>
                </c:pt>
                <c:pt idx="2">
                  <c:v>750</c:v>
                </c:pt>
                <c:pt idx="3">
                  <c:v>750</c:v>
                </c:pt>
                <c:pt idx="4">
                  <c:v>720</c:v>
                </c:pt>
                <c:pt idx="5">
                  <c:v>720</c:v>
                </c:pt>
                <c:pt idx="6">
                  <c:v>720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690</c:v>
                </c:pt>
                <c:pt idx="11">
                  <c:v>665</c:v>
                </c:pt>
                <c:pt idx="12">
                  <c:v>665</c:v>
                </c:pt>
                <c:pt idx="13">
                  <c:v>665</c:v>
                </c:pt>
                <c:pt idx="14">
                  <c:v>665</c:v>
                </c:pt>
                <c:pt idx="15">
                  <c:v>1160</c:v>
                </c:pt>
                <c:pt idx="16">
                  <c:v>1160</c:v>
                </c:pt>
                <c:pt idx="17">
                  <c:v>1065</c:v>
                </c:pt>
                <c:pt idx="18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78-4B6E-B6F0-2DBBB1791223}"/>
            </c:ext>
          </c:extLst>
        </c:ser>
        <c:ser>
          <c:idx val="1"/>
          <c:order val="5"/>
          <c:tx>
            <c:strRef>
              <c:f>'Ma trận giá bán vảy HDPE ÉP'!$AL$11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2.5377055580063611E-2"/>
                  <c:y val="3.23288314463402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16-4823-BC95-A5A78B05C74C}"/>
                </c:ext>
              </c:extLst>
            </c:dLbl>
            <c:dLbl>
              <c:idx val="20"/>
              <c:layout>
                <c:manualLayout>
                  <c:x val="-2.8048324588491359E-2"/>
                  <c:y val="3.23288314463401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0D-489A-81C5-EABC8E4DF28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ÉP'!$E$5:$AJ$5</c:f>
              <c:strCache>
                <c:ptCount val="19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</c:strCache>
            </c:strRef>
          </c:cat>
          <c:val>
            <c:numRef>
              <c:f>'Ma trận giá bán vảy HDPE ÉP'!$E$11:$AJ$11</c:f>
              <c:numCache>
                <c:formatCode>0</c:formatCode>
                <c:ptCount val="19"/>
                <c:pt idx="0">
                  <c:v>673.72306796354871</c:v>
                </c:pt>
                <c:pt idx="1">
                  <c:v>686.58247571857055</c:v>
                </c:pt>
                <c:pt idx="2">
                  <c:v>717.72825827070665</c:v>
                </c:pt>
                <c:pt idx="3">
                  <c:v>706.65663489602741</c:v>
                </c:pt>
                <c:pt idx="4">
                  <c:v>684.45465379202574</c:v>
                </c:pt>
                <c:pt idx="5">
                  <c:v>669.97726780885682</c:v>
                </c:pt>
                <c:pt idx="6">
                  <c:v>676.40258353637296</c:v>
                </c:pt>
                <c:pt idx="7">
                  <c:v>675.58305269623997</c:v>
                </c:pt>
                <c:pt idx="8">
                  <c:v>690.17868644421151</c:v>
                </c:pt>
                <c:pt idx="9">
                  <c:v>524.58051926145572</c:v>
                </c:pt>
                <c:pt idx="10">
                  <c:v>523.8036567901039</c:v>
                </c:pt>
                <c:pt idx="11">
                  <c:v>541.07580104033718</c:v>
                </c:pt>
                <c:pt idx="12">
                  <c:v>570.49450264840164</c:v>
                </c:pt>
                <c:pt idx="13">
                  <c:v>600.85846313754803</c:v>
                </c:pt>
                <c:pt idx="14">
                  <c:v>615.4949916983893</c:v>
                </c:pt>
                <c:pt idx="15">
                  <c:v>640.71231347737239</c:v>
                </c:pt>
                <c:pt idx="16">
                  <c:v>591.4569546087946</c:v>
                </c:pt>
                <c:pt idx="17">
                  <c:v>629.03518561984299</c:v>
                </c:pt>
                <c:pt idx="18">
                  <c:v>633.63769895528083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D2-4BBD-82B5-6A5721AED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lineChart>
        <c:grouping val="standard"/>
        <c:varyColors val="0"/>
        <c:ser>
          <c:idx val="5"/>
          <c:order val="4"/>
          <c:tx>
            <c:strRef>
              <c:f>'Ma trận giá bán vảy HDPE ÉP'!$AL$10</c:f>
              <c:strCache>
                <c:ptCount val="1"/>
                <c:pt idx="0">
                  <c:v>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multiLvlStrRef>
              <c:f>'Ma trận giá bán vảy HDPE ÉP'!$AM$5:$AQ$5</c:f>
            </c:multiLvlStrRef>
          </c:cat>
          <c:val>
            <c:numRef>
              <c:f>'Ma trận giá bán vảy HDPE ÉP'!$E$10:$L$10</c:f>
            </c:numRef>
          </c:val>
          <c:smooth val="0"/>
          <c:extLst>
            <c:ext xmlns:c16="http://schemas.microsoft.com/office/drawing/2014/chart" uri="{C3380CC4-5D6E-409C-BE32-E72D297353CC}">
              <c16:uniqueId val="{00000004-5B78-4B6E-B6F0-2DBBB1791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5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59700616124171"/>
          <c:y val="0.12442635232877285"/>
          <c:w val="0.11340299383875832"/>
          <c:h val="0.785489330460066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 ÉP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113415520691E-2"/>
          <c:y val="0.12606143734533315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2"/>
          <c:tx>
            <c:strRef>
              <c:f>'Ma trận giá bán vảy HDPE ÉP'!$AL$8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giá bán vảy HDPE ÉP'!$EO$8:$FP$8</c:f>
              <c:numCache>
                <c:formatCode>"$"#,##0_);\("$"#,##0\)</c:formatCode>
                <c:ptCount val="28"/>
                <c:pt idx="0">
                  <c:v>830</c:v>
                </c:pt>
                <c:pt idx="1">
                  <c:v>830</c:v>
                </c:pt>
                <c:pt idx="2">
                  <c:v>830</c:v>
                </c:pt>
                <c:pt idx="3">
                  <c:v>830</c:v>
                </c:pt>
                <c:pt idx="4">
                  <c:v>830</c:v>
                </c:pt>
                <c:pt idx="5">
                  <c:v>830</c:v>
                </c:pt>
                <c:pt idx="6">
                  <c:v>830</c:v>
                </c:pt>
                <c:pt idx="7">
                  <c:v>830</c:v>
                </c:pt>
                <c:pt idx="8">
                  <c:v>830</c:v>
                </c:pt>
                <c:pt idx="9">
                  <c:v>975</c:v>
                </c:pt>
                <c:pt idx="10">
                  <c:v>1250</c:v>
                </c:pt>
                <c:pt idx="11">
                  <c:v>1400</c:v>
                </c:pt>
                <c:pt idx="12">
                  <c:v>1450</c:v>
                </c:pt>
                <c:pt idx="13">
                  <c:v>1450</c:v>
                </c:pt>
                <c:pt idx="14">
                  <c:v>1450</c:v>
                </c:pt>
                <c:pt idx="15">
                  <c:v>1450</c:v>
                </c:pt>
                <c:pt idx="16">
                  <c:v>1450</c:v>
                </c:pt>
                <c:pt idx="17">
                  <c:v>1450</c:v>
                </c:pt>
                <c:pt idx="18">
                  <c:v>1450</c:v>
                </c:pt>
                <c:pt idx="19">
                  <c:v>1400</c:v>
                </c:pt>
                <c:pt idx="20">
                  <c:v>1380</c:v>
                </c:pt>
                <c:pt idx="21">
                  <c:v>1330</c:v>
                </c:pt>
                <c:pt idx="22">
                  <c:v>1300</c:v>
                </c:pt>
                <c:pt idx="23">
                  <c:v>1250</c:v>
                </c:pt>
                <c:pt idx="24">
                  <c:v>1220</c:v>
                </c:pt>
                <c:pt idx="25">
                  <c:v>1220</c:v>
                </c:pt>
                <c:pt idx="26">
                  <c:v>1100</c:v>
                </c:pt>
                <c:pt idx="27">
                  <c:v>1010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D-460D-9793-1B8A02640FC6}"/>
            </c:ext>
          </c:extLst>
        </c:ser>
        <c:ser>
          <c:idx val="3"/>
          <c:order val="3"/>
          <c:tx>
            <c:strRef>
              <c:f>'Ma trận giá bán vảy HDPE ÉP'!$AL$9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vảy HDPE ÉP'!$EO$9:$FP$9</c:f>
              <c:numCache>
                <c:formatCode>"$"#.##0_);\("$"#.##0\)</c:formatCode>
                <c:ptCount val="28"/>
                <c:pt idx="0">
                  <c:v>-165</c:v>
                </c:pt>
                <c:pt idx="1">
                  <c:v>-165</c:v>
                </c:pt>
                <c:pt idx="2">
                  <c:v>-165</c:v>
                </c:pt>
                <c:pt idx="3">
                  <c:v>-165</c:v>
                </c:pt>
                <c:pt idx="4">
                  <c:v>-165</c:v>
                </c:pt>
                <c:pt idx="5">
                  <c:v>-165</c:v>
                </c:pt>
                <c:pt idx="6">
                  <c:v>-165</c:v>
                </c:pt>
                <c:pt idx="7">
                  <c:v>-165</c:v>
                </c:pt>
                <c:pt idx="8">
                  <c:v>-165</c:v>
                </c:pt>
                <c:pt idx="9">
                  <c:v>-310</c:v>
                </c:pt>
                <c:pt idx="10">
                  <c:v>-585</c:v>
                </c:pt>
                <c:pt idx="11">
                  <c:v>-685</c:v>
                </c:pt>
                <c:pt idx="12">
                  <c:v>-735</c:v>
                </c:pt>
                <c:pt idx="13">
                  <c:v>-290</c:v>
                </c:pt>
                <c:pt idx="14">
                  <c:v>-290</c:v>
                </c:pt>
                <c:pt idx="15">
                  <c:v>-290</c:v>
                </c:pt>
                <c:pt idx="16">
                  <c:v>-290</c:v>
                </c:pt>
                <c:pt idx="17">
                  <c:v>-290</c:v>
                </c:pt>
                <c:pt idx="18">
                  <c:v>-290</c:v>
                </c:pt>
                <c:pt idx="19">
                  <c:v>-240</c:v>
                </c:pt>
                <c:pt idx="20">
                  <c:v>-220</c:v>
                </c:pt>
                <c:pt idx="21">
                  <c:v>-170</c:v>
                </c:pt>
                <c:pt idx="22">
                  <c:v>-235</c:v>
                </c:pt>
                <c:pt idx="23">
                  <c:v>-185</c:v>
                </c:pt>
                <c:pt idx="24">
                  <c:v>-155</c:v>
                </c:pt>
                <c:pt idx="25">
                  <c:v>-155</c:v>
                </c:pt>
                <c:pt idx="26">
                  <c:v>-200</c:v>
                </c:pt>
                <c:pt idx="27">
                  <c:v>-110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D-460D-9793-1B8A02640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2"/>
          <c:order val="0"/>
          <c:tx>
            <c:strRef>
              <c:f>'Ma trận giá bán vảy HDPE ÉP'!$AL$7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2945651103942243E-2"/>
                  <c:y val="-2.3258152119669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6D-460D-9793-1B8A02640FC6}"/>
                </c:ext>
              </c:extLst>
            </c:dLbl>
            <c:dLbl>
              <c:idx val="1"/>
              <c:layout>
                <c:manualLayout>
                  <c:x val="-1.869888305899424E-2"/>
                  <c:y val="-3.25614129675368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6D-460D-9793-1B8A02640FC6}"/>
                </c:ext>
              </c:extLst>
            </c:dLbl>
            <c:dLbl>
              <c:idx val="9"/>
              <c:layout>
                <c:manualLayout>
                  <c:x val="-2.893874759130061E-2"/>
                  <c:y val="-3.5003518940102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6D-460D-9793-1B8A02640FC6}"/>
                </c:ext>
              </c:extLst>
            </c:dLbl>
            <c:dLbl>
              <c:idx val="10"/>
              <c:layout>
                <c:manualLayout>
                  <c:x val="-4.3408121386950917E-2"/>
                  <c:y val="-2.8026073304201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20-477E-A51C-A6C4F6AA29FA}"/>
                </c:ext>
              </c:extLst>
            </c:dLbl>
            <c:dLbl>
              <c:idx val="26"/>
              <c:layout>
                <c:manualLayout>
                  <c:x val="-8.2666448427711949E-3"/>
                  <c:y val="-2.3520975933914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4D-4F73-A518-0F0B0E356BF6}"/>
                </c:ext>
              </c:extLst>
            </c:dLbl>
            <c:dLbl>
              <c:idx val="27"/>
              <c:layout>
                <c:manualLayout>
                  <c:x val="-7.3729535084176828E-3"/>
                  <c:y val="-3.05421627798592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31-4A8D-9F5B-AA116D974B2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ÉP'!$EO$5:$FP$5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giá bán vảy HDPE ÉP'!$EO$7:$FP$7</c:f>
              <c:numCache>
                <c:formatCode>"$"#,##0_);\("$"#,##0\)</c:formatCode>
                <c:ptCount val="28"/>
                <c:pt idx="0">
                  <c:v>830</c:v>
                </c:pt>
                <c:pt idx="1">
                  <c:v>830</c:v>
                </c:pt>
                <c:pt idx="2">
                  <c:v>830</c:v>
                </c:pt>
                <c:pt idx="3">
                  <c:v>830</c:v>
                </c:pt>
                <c:pt idx="4">
                  <c:v>830</c:v>
                </c:pt>
                <c:pt idx="5">
                  <c:v>830</c:v>
                </c:pt>
                <c:pt idx="6">
                  <c:v>830</c:v>
                </c:pt>
                <c:pt idx="7">
                  <c:v>830</c:v>
                </c:pt>
                <c:pt idx="8">
                  <c:v>830</c:v>
                </c:pt>
                <c:pt idx="9">
                  <c:v>975</c:v>
                </c:pt>
                <c:pt idx="10">
                  <c:v>1250</c:v>
                </c:pt>
                <c:pt idx="11">
                  <c:v>1400</c:v>
                </c:pt>
                <c:pt idx="12">
                  <c:v>1450</c:v>
                </c:pt>
                <c:pt idx="13">
                  <c:v>1450</c:v>
                </c:pt>
                <c:pt idx="14">
                  <c:v>1450</c:v>
                </c:pt>
                <c:pt idx="15">
                  <c:v>1450</c:v>
                </c:pt>
                <c:pt idx="16">
                  <c:v>1450</c:v>
                </c:pt>
                <c:pt idx="17">
                  <c:v>1450</c:v>
                </c:pt>
                <c:pt idx="18">
                  <c:v>1450</c:v>
                </c:pt>
                <c:pt idx="19">
                  <c:v>1400</c:v>
                </c:pt>
                <c:pt idx="20">
                  <c:v>1380</c:v>
                </c:pt>
                <c:pt idx="21">
                  <c:v>1330</c:v>
                </c:pt>
                <c:pt idx="22">
                  <c:v>1300</c:v>
                </c:pt>
                <c:pt idx="23">
                  <c:v>1250</c:v>
                </c:pt>
                <c:pt idx="24">
                  <c:v>1220</c:v>
                </c:pt>
                <c:pt idx="25">
                  <c:v>1220</c:v>
                </c:pt>
                <c:pt idx="26">
                  <c:v>1100</c:v>
                </c:pt>
                <c:pt idx="27">
                  <c:v>1010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376D-460D-9793-1B8A02640FC6}"/>
            </c:ext>
          </c:extLst>
        </c:ser>
        <c:ser>
          <c:idx val="11"/>
          <c:order val="1"/>
          <c:tx>
            <c:strRef>
              <c:f>'Ma trận giá bán vảy HDPE ÉP'!$AL$6</c:f>
              <c:strCache>
                <c:ptCount val="1"/>
                <c:pt idx="0">
                  <c:v>DTR 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3.1610016599728487E-2"/>
                  <c:y val="-3.5003518940102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F7C-40C1-96F6-892185DA1E10}"/>
                </c:ext>
              </c:extLst>
            </c:dLbl>
            <c:dLbl>
              <c:idx val="22"/>
              <c:layout>
                <c:manualLayout>
                  <c:x val="-2.8821545532904978E-2"/>
                  <c:y val="2.7967727603012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A8-4C86-9706-AFE50C1E76EE}"/>
                </c:ext>
              </c:extLst>
            </c:dLbl>
            <c:dLbl>
              <c:idx val="23"/>
              <c:layout>
                <c:manualLayout>
                  <c:x val="-1.5416175517600467E-2"/>
                  <c:y val="3.03081232183277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13-4191-96A4-114E07501EF9}"/>
                </c:ext>
              </c:extLst>
            </c:dLbl>
            <c:dLbl>
              <c:idx val="24"/>
              <c:layout>
                <c:manualLayout>
                  <c:x val="-1.1841410180185766E-2"/>
                  <c:y val="3.26485188336426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80-4EB9-9507-092305D4ED8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4D-4F73-A518-0F0B0E356BF6}"/>
                </c:ext>
              </c:extLst>
            </c:dLbl>
            <c:dLbl>
              <c:idx val="26"/>
              <c:layout>
                <c:manualLayout>
                  <c:x val="-1.966120935578014E-2"/>
                  <c:y val="3.26485188336426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4D-4F73-A518-0F0B0E356BF6}"/>
                </c:ext>
              </c:extLst>
            </c:dLbl>
            <c:dLbl>
              <c:idx val="27"/>
              <c:layout>
                <c:manualLayout>
                  <c:x val="-1.5192752684012056E-2"/>
                  <c:y val="3.49889144489575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31-4A8D-9F5B-AA116D974B2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ÉP'!$EO$5:$FP$5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giá bán vảy HDPE ÉP'!$EO$6:$FP$6</c:f>
              <c:numCache>
                <c:formatCode>"$"#,##0_);\("$"#,##0\)</c:formatCode>
                <c:ptCount val="28"/>
                <c:pt idx="0">
                  <c:v>665</c:v>
                </c:pt>
                <c:pt idx="1">
                  <c:v>665</c:v>
                </c:pt>
                <c:pt idx="2">
                  <c:v>665</c:v>
                </c:pt>
                <c:pt idx="3">
                  <c:v>665</c:v>
                </c:pt>
                <c:pt idx="4">
                  <c:v>665</c:v>
                </c:pt>
                <c:pt idx="5">
                  <c:v>665</c:v>
                </c:pt>
                <c:pt idx="6">
                  <c:v>665</c:v>
                </c:pt>
                <c:pt idx="7">
                  <c:v>665</c:v>
                </c:pt>
                <c:pt idx="8">
                  <c:v>665</c:v>
                </c:pt>
                <c:pt idx="9">
                  <c:v>665</c:v>
                </c:pt>
                <c:pt idx="10">
                  <c:v>665</c:v>
                </c:pt>
                <c:pt idx="11">
                  <c:v>715</c:v>
                </c:pt>
                <c:pt idx="12">
                  <c:v>715</c:v>
                </c:pt>
                <c:pt idx="13">
                  <c:v>1160</c:v>
                </c:pt>
                <c:pt idx="14">
                  <c:v>1160</c:v>
                </c:pt>
                <c:pt idx="15">
                  <c:v>1160</c:v>
                </c:pt>
                <c:pt idx="16">
                  <c:v>1160</c:v>
                </c:pt>
                <c:pt idx="17">
                  <c:v>1160</c:v>
                </c:pt>
                <c:pt idx="18">
                  <c:v>1160</c:v>
                </c:pt>
                <c:pt idx="19">
                  <c:v>1160</c:v>
                </c:pt>
                <c:pt idx="20">
                  <c:v>1160</c:v>
                </c:pt>
                <c:pt idx="21">
                  <c:v>1160</c:v>
                </c:pt>
                <c:pt idx="22">
                  <c:v>1065</c:v>
                </c:pt>
                <c:pt idx="23">
                  <c:v>1065</c:v>
                </c:pt>
                <c:pt idx="24">
                  <c:v>1065</c:v>
                </c:pt>
                <c:pt idx="25">
                  <c:v>1065</c:v>
                </c:pt>
                <c:pt idx="26">
                  <c:v>900</c:v>
                </c:pt>
                <c:pt idx="27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76D-460D-9793-1B8A02640FC6}"/>
            </c:ext>
          </c:extLst>
        </c:ser>
        <c:ser>
          <c:idx val="1"/>
          <c:order val="5"/>
          <c:tx>
            <c:strRef>
              <c:f>'Ma trận giá bán vảy HDPE ÉP'!$AL$11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ÉP'!$EO$5:$FP$5</c:f>
              <c:strCache>
                <c:ptCount val="28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</c:strCache>
            </c:strRef>
          </c:cat>
          <c:val>
            <c:numRef>
              <c:f>'Ma trận giá bán vảy HDPE ÉP'!$EO$11:$FP$11</c:f>
              <c:numCache>
                <c:formatCode>0</c:formatCode>
                <c:ptCount val="28"/>
                <c:pt idx="0">
                  <c:v>570.49450264840164</c:v>
                </c:pt>
                <c:pt idx="1">
                  <c:v>570.49450264840164</c:v>
                </c:pt>
                <c:pt idx="2">
                  <c:v>570.49450264840164</c:v>
                </c:pt>
                <c:pt idx="3">
                  <c:v>570.49450264840164</c:v>
                </c:pt>
                <c:pt idx="4">
                  <c:v>570.49450264840164</c:v>
                </c:pt>
                <c:pt idx="5">
                  <c:v>600.85846313754803</c:v>
                </c:pt>
                <c:pt idx="6">
                  <c:v>600.85846313754803</c:v>
                </c:pt>
                <c:pt idx="7">
                  <c:v>600.85846313754803</c:v>
                </c:pt>
                <c:pt idx="8">
                  <c:v>600.85846313754803</c:v>
                </c:pt>
                <c:pt idx="9">
                  <c:v>615.4949916983893</c:v>
                </c:pt>
                <c:pt idx="10">
                  <c:v>615.4949916983893</c:v>
                </c:pt>
                <c:pt idx="11">
                  <c:v>615.4949916983893</c:v>
                </c:pt>
                <c:pt idx="12">
                  <c:v>615.4949916983893</c:v>
                </c:pt>
                <c:pt idx="13">
                  <c:v>640.71231347737239</c:v>
                </c:pt>
                <c:pt idx="14">
                  <c:v>640.71231347737239</c:v>
                </c:pt>
                <c:pt idx="15">
                  <c:v>640.71231347737239</c:v>
                </c:pt>
                <c:pt idx="16">
                  <c:v>640.71231347737239</c:v>
                </c:pt>
                <c:pt idx="17">
                  <c:v>640.71231347737239</c:v>
                </c:pt>
                <c:pt idx="18">
                  <c:v>591.4569546087946</c:v>
                </c:pt>
                <c:pt idx="19">
                  <c:v>591.4569546087946</c:v>
                </c:pt>
                <c:pt idx="20">
                  <c:v>591.4569546087946</c:v>
                </c:pt>
                <c:pt idx="21">
                  <c:v>591.4569546087946</c:v>
                </c:pt>
                <c:pt idx="22">
                  <c:v>629.03518561984299</c:v>
                </c:pt>
                <c:pt idx="23">
                  <c:v>629.03518561984299</c:v>
                </c:pt>
                <c:pt idx="24">
                  <c:v>629.03518561984299</c:v>
                </c:pt>
                <c:pt idx="25">
                  <c:v>629.03518561984299</c:v>
                </c:pt>
                <c:pt idx="26">
                  <c:v>633.63769895528083</c:v>
                </c:pt>
                <c:pt idx="27">
                  <c:v>633.63769895528083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76D-460D-9793-1B8A02640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lineChart>
        <c:grouping val="standard"/>
        <c:varyColors val="0"/>
        <c:ser>
          <c:idx val="5"/>
          <c:order val="4"/>
          <c:tx>
            <c:strRef>
              <c:f>'Ma trận giá bán vảy HDPE ÉP'!$AL$10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'[1]Ma trận giá bán vảy HDPE ÉP'!$AJ$5:$AN$5</c:f>
              <c:numCache>
                <c:formatCode>General</c:formatCode>
                <c:ptCount val="5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</c:numCache>
            </c:numRef>
          </c:cat>
          <c:val>
            <c:numRef>
              <c:f>'Ma trận giá bán vảy HDPE ÉP'!$EO$10:$EZ$10</c:f>
              <c:numCache>
                <c:formatCode>0%</c:formatCode>
                <c:ptCount val="12"/>
                <c:pt idx="0">
                  <c:v>-0.19879518072289157</c:v>
                </c:pt>
                <c:pt idx="1">
                  <c:v>-0.19879518072289157</c:v>
                </c:pt>
                <c:pt idx="2">
                  <c:v>-0.19879518072289157</c:v>
                </c:pt>
                <c:pt idx="3">
                  <c:v>-0.19879518072289157</c:v>
                </c:pt>
                <c:pt idx="4">
                  <c:v>-0.19879518072289157</c:v>
                </c:pt>
                <c:pt idx="5">
                  <c:v>-0.19879518072289157</c:v>
                </c:pt>
                <c:pt idx="6">
                  <c:v>-0.19879518072289157</c:v>
                </c:pt>
                <c:pt idx="7">
                  <c:v>-0.19879518072289157</c:v>
                </c:pt>
                <c:pt idx="8">
                  <c:v>-0.19879518072289157</c:v>
                </c:pt>
                <c:pt idx="9">
                  <c:v>-0.31794871794871793</c:v>
                </c:pt>
                <c:pt idx="10">
                  <c:v>-0.46800000000000003</c:v>
                </c:pt>
                <c:pt idx="11">
                  <c:v>-0.48928571428571427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76D-460D-9793-1B8A02640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5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8659698837906831"/>
          <c:y val="0.41833926632835972"/>
          <c:w val="0.11340299383875832"/>
          <c:h val="0.457622346023621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0.png"/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0.png"/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chart" Target="../charts/chart14.xml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51</xdr:row>
      <xdr:rowOff>15240</xdr:rowOff>
    </xdr:from>
    <xdr:to>
      <xdr:col>10</xdr:col>
      <xdr:colOff>15240</xdr:colOff>
      <xdr:row>52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692640" y="2026920"/>
          <a:ext cx="510540" cy="28956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32757</xdr:colOff>
      <xdr:row>39</xdr:row>
      <xdr:rowOff>127952</xdr:rowOff>
    </xdr:from>
    <xdr:to>
      <xdr:col>15</xdr:col>
      <xdr:colOff>236220</xdr:colOff>
      <xdr:row>69</xdr:row>
      <xdr:rowOff>180974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67</xdr:row>
      <xdr:rowOff>164353</xdr:rowOff>
    </xdr:from>
    <xdr:to>
      <xdr:col>1</xdr:col>
      <xdr:colOff>552823</xdr:colOff>
      <xdr:row>69</xdr:row>
      <xdr:rowOff>89648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DCFC9A62-E23D-DA2F-29E7-B11556F6422D}"/>
            </a:ext>
          </a:extLst>
        </xdr:cNvPr>
        <xdr:cNvSpPr txBox="1"/>
      </xdr:nvSpPr>
      <xdr:spPr>
        <a:xfrm>
          <a:off x="0" y="12685059"/>
          <a:ext cx="791882" cy="2988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36286</xdr:colOff>
      <xdr:row>0</xdr:row>
      <xdr:rowOff>72571</xdr:rowOff>
    </xdr:from>
    <xdr:to>
      <xdr:col>15</xdr:col>
      <xdr:colOff>253641</xdr:colOff>
      <xdr:row>30</xdr:row>
      <xdr:rowOff>147072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777CD4B-50D1-C47A-EAFB-907976C5A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86" y="72571"/>
          <a:ext cx="14278069" cy="5517358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0.00357</cdr:x>
      <cdr:y>0.00929</cdr:y>
    </cdr:from>
    <cdr:to>
      <cdr:x>0.12649</cdr:x>
      <cdr:y>0.08319</cdr:y>
    </cdr:to>
    <cdr:sp macro="" textlink="">
      <cdr:nvSpPr>
        <cdr:cNvPr id="8" name="TextBox 5">
          <a:extLst xmlns:a="http://schemas.openxmlformats.org/drawingml/2006/main">
            <a:ext uri="{FF2B5EF4-FFF2-40B4-BE49-F238E27FC236}">
              <a16:creationId xmlns:a16="http://schemas.microsoft.com/office/drawing/2014/main" id="{453CAA98-2FDA-E320-5A36-8E26E8D377B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750006" cy="4039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49</xdr:row>
      <xdr:rowOff>15240</xdr:rowOff>
    </xdr:from>
    <xdr:to>
      <xdr:col>10</xdr:col>
      <xdr:colOff>15240</xdr:colOff>
      <xdr:row>50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6665EA8-707E-45E5-BFF2-33C024F7FC55}"/>
            </a:ext>
          </a:extLst>
        </xdr:cNvPr>
        <xdr:cNvSpPr/>
      </xdr:nvSpPr>
      <xdr:spPr>
        <a:xfrm>
          <a:off x="9692640" y="2026920"/>
          <a:ext cx="510540" cy="28956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146916</xdr:colOff>
      <xdr:row>47</xdr:row>
      <xdr:rowOff>29155</xdr:rowOff>
    </xdr:from>
    <xdr:to>
      <xdr:col>15</xdr:col>
      <xdr:colOff>342265</xdr:colOff>
      <xdr:row>74</xdr:row>
      <xdr:rowOff>140335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D4FFDE34-B083-4952-8241-1A64E1264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79375</xdr:colOff>
      <xdr:row>0</xdr:row>
      <xdr:rowOff>87313</xdr:rowOff>
    </xdr:from>
    <xdr:to>
      <xdr:col>15</xdr:col>
      <xdr:colOff>273905</xdr:colOff>
      <xdr:row>30</xdr:row>
      <xdr:rowOff>11962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DFE88D-3AC0-0A71-78CE-8469B29A3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5" y="87313"/>
          <a:ext cx="14259780" cy="5401524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0.00357</cdr:x>
      <cdr:y>0.02408</cdr:y>
    </cdr:from>
    <cdr:to>
      <cdr:x>0.10708</cdr:x>
      <cdr:y>0.09959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F606B762-38CA-4FAE-8513-8C911B0BCEE2}"/>
            </a:ext>
          </a:extLst>
        </cdr:cNvPr>
        <cdr:cNvSpPr txBox="1"/>
      </cdr:nvSpPr>
      <cdr:spPr>
        <a:xfrm xmlns:a="http://schemas.openxmlformats.org/drawingml/2006/main">
          <a:off x="49827" y="130229"/>
          <a:ext cx="1444732" cy="40826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  <cdr:relSizeAnchor xmlns:cdr="http://schemas.openxmlformats.org/drawingml/2006/chartDrawing">
    <cdr:from>
      <cdr:x>0</cdr:x>
      <cdr:y>0.9232</cdr:y>
    </cdr:from>
    <cdr:to>
      <cdr:x>0.03884</cdr:x>
      <cdr:y>0.98965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6EAF4FAF-6BB6-6C35-3BCD-18B49BD38F96}"/>
            </a:ext>
          </a:extLst>
        </cdr:cNvPr>
        <cdr:cNvSpPr txBox="1"/>
      </cdr:nvSpPr>
      <cdr:spPr>
        <a:xfrm xmlns:a="http://schemas.openxmlformats.org/drawingml/2006/main">
          <a:off x="0" y="4991790"/>
          <a:ext cx="542059" cy="3593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49</xdr:row>
      <xdr:rowOff>15240</xdr:rowOff>
    </xdr:from>
    <xdr:to>
      <xdr:col>10</xdr:col>
      <xdr:colOff>15240</xdr:colOff>
      <xdr:row>50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F888A144-5731-4D36-807B-DC680C09D852}"/>
            </a:ext>
          </a:extLst>
        </xdr:cNvPr>
        <xdr:cNvSpPr/>
      </xdr:nvSpPr>
      <xdr:spPr>
        <a:xfrm>
          <a:off x="9872980" y="9038590"/>
          <a:ext cx="524510" cy="37338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118341</xdr:colOff>
      <xdr:row>47</xdr:row>
      <xdr:rowOff>25980</xdr:rowOff>
    </xdr:from>
    <xdr:to>
      <xdr:col>15</xdr:col>
      <xdr:colOff>297180</xdr:colOff>
      <xdr:row>74</xdr:row>
      <xdr:rowOff>137160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BD725A5E-65BE-4F91-9B14-56760890D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47625</xdr:colOff>
      <xdr:row>0</xdr:row>
      <xdr:rowOff>55563</xdr:rowOff>
    </xdr:from>
    <xdr:to>
      <xdr:col>15</xdr:col>
      <xdr:colOff>229962</xdr:colOff>
      <xdr:row>29</xdr:row>
      <xdr:rowOff>156678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6776AA-8E78-6E3F-3BB0-0E0BD39CC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55563"/>
          <a:ext cx="14247587" cy="5395428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0.0048</cdr:x>
      <cdr:y>0.0265</cdr:y>
    </cdr:from>
    <cdr:to>
      <cdr:x>0.14877</cdr:x>
      <cdr:y>0.08821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EF47B612-4BD5-4B24-8A98-A5F5A7E2FDC3}"/>
            </a:ext>
          </a:extLst>
        </cdr:cNvPr>
        <cdr:cNvSpPr txBox="1"/>
      </cdr:nvSpPr>
      <cdr:spPr>
        <a:xfrm xmlns:a="http://schemas.openxmlformats.org/drawingml/2006/main">
          <a:off x="68117" y="140932"/>
          <a:ext cx="2043097" cy="32818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THÁNG</a:t>
          </a: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0.0021</cdr:x>
      <cdr:y>0.92683</cdr:y>
    </cdr:from>
    <cdr:to>
      <cdr:x>0.04635</cdr:x>
      <cdr:y>0.99328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F1E52F53-1CCF-9EED-E5C0-38C734972BC1}"/>
            </a:ext>
          </a:extLst>
        </cdr:cNvPr>
        <cdr:cNvSpPr txBox="1"/>
      </cdr:nvSpPr>
      <cdr:spPr>
        <a:xfrm xmlns:a="http://schemas.openxmlformats.org/drawingml/2006/main">
          <a:off x="29826" y="4929049"/>
          <a:ext cx="627935" cy="35339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49</xdr:row>
      <xdr:rowOff>15240</xdr:rowOff>
    </xdr:from>
    <xdr:to>
      <xdr:col>10</xdr:col>
      <xdr:colOff>15240</xdr:colOff>
      <xdr:row>50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4F1C112-E4D3-4ABB-B840-B6BFA202C6BC}"/>
            </a:ext>
          </a:extLst>
        </xdr:cNvPr>
        <xdr:cNvSpPr/>
      </xdr:nvSpPr>
      <xdr:spPr>
        <a:xfrm>
          <a:off x="9872980" y="9038590"/>
          <a:ext cx="524510" cy="37338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97174</xdr:colOff>
      <xdr:row>47</xdr:row>
      <xdr:rowOff>25980</xdr:rowOff>
    </xdr:from>
    <xdr:to>
      <xdr:col>15</xdr:col>
      <xdr:colOff>276013</xdr:colOff>
      <xdr:row>74</xdr:row>
      <xdr:rowOff>137160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ADD24436-1A82-45D7-9783-364E52341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81642</xdr:colOff>
      <xdr:row>0</xdr:row>
      <xdr:rowOff>99785</xdr:rowOff>
    </xdr:from>
    <xdr:to>
      <xdr:col>15</xdr:col>
      <xdr:colOff>268515</xdr:colOff>
      <xdr:row>30</xdr:row>
      <xdr:rowOff>21873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7D8AB0-724A-E7B2-C8E2-B70A1E9E0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42" y="99785"/>
          <a:ext cx="14247587" cy="5364945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0.0048</cdr:x>
      <cdr:y>0.0265</cdr:y>
    </cdr:from>
    <cdr:to>
      <cdr:x>0.13254</cdr:x>
      <cdr:y>0.08821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EF47B612-4BD5-4B24-8A98-A5F5A7E2FDC3}"/>
            </a:ext>
          </a:extLst>
        </cdr:cNvPr>
        <cdr:cNvSpPr txBox="1"/>
      </cdr:nvSpPr>
      <cdr:spPr>
        <a:xfrm xmlns:a="http://schemas.openxmlformats.org/drawingml/2006/main">
          <a:off x="66854" y="143278"/>
          <a:ext cx="1780765" cy="3336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TUẦN</a:t>
          </a: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0.00747</cdr:x>
      <cdr:y>0.92683</cdr:y>
    </cdr:from>
    <cdr:to>
      <cdr:x>0.04635</cdr:x>
      <cdr:y>0.99328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F1E52F53-1CCF-9EED-E5C0-38C734972BC1}"/>
            </a:ext>
          </a:extLst>
        </cdr:cNvPr>
        <cdr:cNvSpPr txBox="1"/>
      </cdr:nvSpPr>
      <cdr:spPr>
        <a:xfrm xmlns:a="http://schemas.openxmlformats.org/drawingml/2006/main">
          <a:off x="104140" y="5011420"/>
          <a:ext cx="542059" cy="3593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37701</xdr:colOff>
      <xdr:row>39</xdr:row>
      <xdr:rowOff>56148</xdr:rowOff>
    </xdr:from>
    <xdr:to>
      <xdr:col>22</xdr:col>
      <xdr:colOff>186266</xdr:colOff>
      <xdr:row>72</xdr:row>
      <xdr:rowOff>8467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68</xdr:row>
      <xdr:rowOff>158751</xdr:rowOff>
    </xdr:from>
    <xdr:to>
      <xdr:col>2</xdr:col>
      <xdr:colOff>134937</xdr:colOff>
      <xdr:row>70</xdr:row>
      <xdr:rowOff>134939</xdr:rowOff>
    </xdr:to>
    <xdr:sp macro="" textlink="">
      <xdr:nvSpPr>
        <xdr:cNvPr id="2" name="TextBox 14">
          <a:extLst>
            <a:ext uri="{FF2B5EF4-FFF2-40B4-BE49-F238E27FC236}">
              <a16:creationId xmlns:a16="http://schemas.microsoft.com/office/drawing/2014/main" id="{BECCE8C7-D539-0A4D-B24C-E445EF475248}"/>
            </a:ext>
          </a:extLst>
        </xdr:cNvPr>
        <xdr:cNvSpPr txBox="1"/>
      </xdr:nvSpPr>
      <xdr:spPr>
        <a:xfrm>
          <a:off x="0" y="12573001"/>
          <a:ext cx="777875" cy="3254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55563</xdr:colOff>
      <xdr:row>0</xdr:row>
      <xdr:rowOff>55563</xdr:rowOff>
    </xdr:from>
    <xdr:to>
      <xdr:col>22</xdr:col>
      <xdr:colOff>219288</xdr:colOff>
      <xdr:row>32</xdr:row>
      <xdr:rowOff>169871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2F2B08-E41F-170A-F60F-2EA643B8A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63" y="55563"/>
          <a:ext cx="15649788" cy="5956308"/>
        </a:xfrm>
        <a:prstGeom prst="rect">
          <a:avLst/>
        </a:prstGeom>
      </xdr:spPr>
    </xdr:pic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0.00325</cdr:x>
      <cdr:y>0.0253</cdr:y>
    </cdr:from>
    <cdr:to>
      <cdr:x>0.1153</cdr:x>
      <cdr:y>0.09215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87F31243-0BE0-8831-5DE6-0F9C67F80365}"/>
            </a:ext>
          </a:extLst>
        </cdr:cNvPr>
        <cdr:cNvSpPr txBox="1"/>
      </cdr:nvSpPr>
      <cdr:spPr>
        <a:xfrm xmlns:a="http://schemas.openxmlformats.org/drawingml/2006/main">
          <a:off x="50800" y="150226"/>
          <a:ext cx="1750006" cy="3968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49693</xdr:colOff>
      <xdr:row>41</xdr:row>
      <xdr:rowOff>253517</xdr:rowOff>
    </xdr:from>
    <xdr:to>
      <xdr:col>19</xdr:col>
      <xdr:colOff>39687</xdr:colOff>
      <xdr:row>62</xdr:row>
      <xdr:rowOff>37148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98296BE9-2E7B-0B83-C54D-551D5A375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146050</xdr:colOff>
      <xdr:row>60</xdr:row>
      <xdr:rowOff>107951</xdr:rowOff>
    </xdr:from>
    <xdr:to>
      <xdr:col>1</xdr:col>
      <xdr:colOff>482600</xdr:colOff>
      <xdr:row>62</xdr:row>
      <xdr:rowOff>12701</xdr:rowOff>
    </xdr:to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A981D273-ADEE-C909-2A38-798E854CFD2D}"/>
            </a:ext>
          </a:extLst>
        </xdr:cNvPr>
        <xdr:cNvSpPr txBox="1"/>
      </xdr:nvSpPr>
      <xdr:spPr>
        <a:xfrm>
          <a:off x="146050" y="12979401"/>
          <a:ext cx="577850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71438</xdr:colOff>
      <xdr:row>0</xdr:row>
      <xdr:rowOff>47625</xdr:rowOff>
    </xdr:from>
    <xdr:to>
      <xdr:col>19</xdr:col>
      <xdr:colOff>76948</xdr:colOff>
      <xdr:row>30</xdr:row>
      <xdr:rowOff>77756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939788-2F52-5DE4-7CE8-3EB61D8A9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8" y="47625"/>
          <a:ext cx="14491448" cy="5499069"/>
        </a:xfrm>
        <a:prstGeom prst="rect">
          <a:avLst/>
        </a:prstGeom>
      </xdr:spPr>
    </xdr:pic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0.00355</cdr:x>
      <cdr:y>0.00928</cdr:y>
    </cdr:from>
    <cdr:to>
      <cdr:x>0.10646</cdr:x>
      <cdr:y>0.06821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F8AB38DF-847C-8271-69C0-44AFEC9B5EE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</xdr:colOff>
      <xdr:row>36</xdr:row>
      <xdr:rowOff>38100</xdr:rowOff>
    </xdr:from>
    <xdr:to>
      <xdr:col>22</xdr:col>
      <xdr:colOff>434340</xdr:colOff>
      <xdr:row>65</xdr:row>
      <xdr:rowOff>2540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7AB3081-0BA0-A31C-AC13-D6B2D97DE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62</xdr:row>
      <xdr:rowOff>120651</xdr:rowOff>
    </xdr:from>
    <xdr:to>
      <xdr:col>1</xdr:col>
      <xdr:colOff>279400</xdr:colOff>
      <xdr:row>64</xdr:row>
      <xdr:rowOff>107951</xdr:rowOff>
    </xdr:to>
    <xdr:sp macro="" textlink="">
      <xdr:nvSpPr>
        <xdr:cNvPr id="2" name="TextBox 14">
          <a:extLst>
            <a:ext uri="{FF2B5EF4-FFF2-40B4-BE49-F238E27FC236}">
              <a16:creationId xmlns:a16="http://schemas.microsoft.com/office/drawing/2014/main" id="{0F8682D4-A48C-40EF-9EA1-1A4CE9ECFF5F}"/>
            </a:ext>
          </a:extLst>
        </xdr:cNvPr>
        <xdr:cNvSpPr txBox="1"/>
      </xdr:nvSpPr>
      <xdr:spPr>
        <a:xfrm>
          <a:off x="76200" y="11537951"/>
          <a:ext cx="825500" cy="355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71437</xdr:colOff>
      <xdr:row>0</xdr:row>
      <xdr:rowOff>55563</xdr:rowOff>
    </xdr:from>
    <xdr:to>
      <xdr:col>22</xdr:col>
      <xdr:colOff>484895</xdr:colOff>
      <xdr:row>29</xdr:row>
      <xdr:rowOff>34747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1FF260-4055-F745-C870-21FB9F139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" y="55563"/>
          <a:ext cx="14034208" cy="5273497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0.00361</cdr:x>
      <cdr:y>0.00958</cdr:y>
    </cdr:from>
    <cdr:to>
      <cdr:x>0.12785</cdr:x>
      <cdr:y>0.08573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93E82521-5BAB-A6F4-A840-9BCCCCEFFCD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750006" cy="4039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21061</xdr:colOff>
      <xdr:row>42</xdr:row>
      <xdr:rowOff>3810</xdr:rowOff>
    </xdr:from>
    <xdr:to>
      <xdr:col>22</xdr:col>
      <xdr:colOff>554462</xdr:colOff>
      <xdr:row>72</xdr:row>
      <xdr:rowOff>64770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35AAE1E-D941-E436-B4F3-02D31FD21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69</xdr:row>
      <xdr:rowOff>177800</xdr:rowOff>
    </xdr:from>
    <xdr:to>
      <xdr:col>1</xdr:col>
      <xdr:colOff>31750</xdr:colOff>
      <xdr:row>71</xdr:row>
      <xdr:rowOff>63500</xdr:rowOff>
    </xdr:to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AEEDF998-4077-4AEF-BBCB-6DE93128F670}"/>
            </a:ext>
          </a:extLst>
        </xdr:cNvPr>
        <xdr:cNvSpPr txBox="1"/>
      </xdr:nvSpPr>
      <xdr:spPr>
        <a:xfrm>
          <a:off x="76200" y="12884150"/>
          <a:ext cx="577850" cy="254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95250</xdr:colOff>
      <xdr:row>0</xdr:row>
      <xdr:rowOff>71437</xdr:rowOff>
    </xdr:from>
    <xdr:to>
      <xdr:col>23</xdr:col>
      <xdr:colOff>26001</xdr:colOff>
      <xdr:row>30</xdr:row>
      <xdr:rowOff>148499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61316E-F749-92DC-3D1B-7524BF4D2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71437"/>
          <a:ext cx="14265876" cy="5553937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0.00355</cdr:x>
      <cdr:y>0.0091</cdr:y>
    </cdr:from>
    <cdr:to>
      <cdr:x>0.10645</cdr:x>
      <cdr:y>0.06688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9D347CCA-8B3E-EA10-22F7-CFF6E28487A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22413</xdr:colOff>
      <xdr:row>36</xdr:row>
      <xdr:rowOff>49196</xdr:rowOff>
    </xdr:from>
    <xdr:to>
      <xdr:col>22</xdr:col>
      <xdr:colOff>105834</xdr:colOff>
      <xdr:row>65</xdr:row>
      <xdr:rowOff>122643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F8C698DB-1C2E-4926-A02B-BCB665426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8988A3-21E3-4DA2-9A8F-51BDEBF6C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1</xdr:col>
      <xdr:colOff>205441</xdr:colOff>
      <xdr:row>64</xdr:row>
      <xdr:rowOff>0</xdr:rowOff>
    </xdr:to>
    <xdr:sp macro="" textlink="">
      <xdr:nvSpPr>
        <xdr:cNvPr id="2" name="TextBox 14">
          <a:extLst>
            <a:ext uri="{FF2B5EF4-FFF2-40B4-BE49-F238E27FC236}">
              <a16:creationId xmlns:a16="http://schemas.microsoft.com/office/drawing/2014/main" id="{B33E0DDF-ECE2-4ADF-93A2-FF8F6AD9EEB5}"/>
            </a:ext>
          </a:extLst>
        </xdr:cNvPr>
        <xdr:cNvSpPr txBox="1"/>
      </xdr:nvSpPr>
      <xdr:spPr>
        <a:xfrm>
          <a:off x="0" y="11644648"/>
          <a:ext cx="822554" cy="3756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71550</xdr:colOff>
      <xdr:row>0</xdr:row>
      <xdr:rowOff>44718</xdr:rowOff>
    </xdr:from>
    <xdr:to>
      <xdr:col>22</xdr:col>
      <xdr:colOff>163488</xdr:colOff>
      <xdr:row>29</xdr:row>
      <xdr:rowOff>133676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08B19B-3AC4-D7BF-AA52-3567CD6DA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550" y="44718"/>
          <a:ext cx="13668417" cy="5535648"/>
        </a:xfrm>
        <a:prstGeom prst="rect">
          <a:avLst/>
        </a:prstGeom>
      </xdr:spPr>
    </xdr:pic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0.0037</cdr:x>
      <cdr:y>0.00925</cdr:y>
    </cdr:from>
    <cdr:to>
      <cdr:x>0.13121</cdr:x>
      <cdr:y>0.08284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A5435E4B-B66F-CE51-BED8-6F916E1B878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750006" cy="4039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58270</xdr:colOff>
      <xdr:row>39</xdr:row>
      <xdr:rowOff>62144</xdr:rowOff>
    </xdr:from>
    <xdr:to>
      <xdr:col>23</xdr:col>
      <xdr:colOff>81279</xdr:colOff>
      <xdr:row>69</xdr:row>
      <xdr:rowOff>45720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F102FEF2-1EDE-4341-92B3-CF504E0FA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F445C0-A81B-9086-C4D5-869566537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66</xdr:row>
      <xdr:rowOff>133350</xdr:rowOff>
    </xdr:from>
    <xdr:to>
      <xdr:col>1</xdr:col>
      <xdr:colOff>101600</xdr:colOff>
      <xdr:row>68</xdr:row>
      <xdr:rowOff>120650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18076F62-E9E0-4BDA-94A8-6F327147C465}"/>
            </a:ext>
          </a:extLst>
        </xdr:cNvPr>
        <xdr:cNvSpPr txBox="1"/>
      </xdr:nvSpPr>
      <xdr:spPr>
        <a:xfrm>
          <a:off x="114300" y="12287250"/>
          <a:ext cx="609600" cy="355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55562</xdr:colOff>
      <xdr:row>0</xdr:row>
      <xdr:rowOff>71437</xdr:rowOff>
    </xdr:from>
    <xdr:to>
      <xdr:col>23</xdr:col>
      <xdr:colOff>87660</xdr:colOff>
      <xdr:row>30</xdr:row>
      <xdr:rowOff>69244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FCBD215-F0EF-574A-D0FD-2508A6D40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562" y="71437"/>
          <a:ext cx="14271973" cy="5474682"/>
        </a:xfrm>
        <a:prstGeom prst="rect">
          <a:avLst/>
        </a:prstGeom>
      </xdr:spPr>
    </xdr:pic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0.10623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39220</xdr:colOff>
      <xdr:row>39</xdr:row>
      <xdr:rowOff>62144</xdr:rowOff>
    </xdr:from>
    <xdr:to>
      <xdr:col>23</xdr:col>
      <xdr:colOff>62229</xdr:colOff>
      <xdr:row>69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D15445-7E55-4ABA-BB02-DC004F4CA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96763</xdr:colOff>
      <xdr:row>66</xdr:row>
      <xdr:rowOff>133350</xdr:rowOff>
    </xdr:from>
    <xdr:to>
      <xdr:col>1</xdr:col>
      <xdr:colOff>163285</xdr:colOff>
      <xdr:row>68</xdr:row>
      <xdr:rowOff>163286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F8C9E9EE-A30B-4FC6-ACC8-DDE3B5691798}"/>
            </a:ext>
          </a:extLst>
        </xdr:cNvPr>
        <xdr:cNvSpPr txBox="1"/>
      </xdr:nvSpPr>
      <xdr:spPr>
        <a:xfrm>
          <a:off x="96763" y="12287250"/>
          <a:ext cx="688822" cy="3982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63500</xdr:rowOff>
    </xdr:from>
    <xdr:to>
      <xdr:col>23</xdr:col>
      <xdr:colOff>101694</xdr:colOff>
      <xdr:row>30</xdr:row>
      <xdr:rowOff>61307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1A7663-1806-B6E3-51F2-276D14B58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" y="63500"/>
          <a:ext cx="14278069" cy="5474682"/>
        </a:xfrm>
        <a:prstGeom prst="rect">
          <a:avLst/>
        </a:prstGeom>
      </xdr:spPr>
    </xdr:pic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0.11466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634" y="50589"/>
          <a:ext cx="1589368" cy="32153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39220</xdr:colOff>
      <xdr:row>39</xdr:row>
      <xdr:rowOff>62144</xdr:rowOff>
    </xdr:from>
    <xdr:to>
      <xdr:col>23</xdr:col>
      <xdr:colOff>136072</xdr:colOff>
      <xdr:row>69</xdr:row>
      <xdr:rowOff>45720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E2ABA9BD-FA2A-4882-ABF2-E55D11EE8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80FEF9-358E-458F-91A1-D89A4BB65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</xdr:row>
      <xdr:rowOff>133350</xdr:rowOff>
    </xdr:from>
    <xdr:to>
      <xdr:col>1</xdr:col>
      <xdr:colOff>163286</xdr:colOff>
      <xdr:row>68</xdr:row>
      <xdr:rowOff>163286</xdr:rowOff>
    </xdr:to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62336F63-8D6E-402E-B47C-B3E6C8731AC3}"/>
            </a:ext>
          </a:extLst>
        </xdr:cNvPr>
        <xdr:cNvSpPr txBox="1"/>
      </xdr:nvSpPr>
      <xdr:spPr>
        <a:xfrm>
          <a:off x="0" y="12107636"/>
          <a:ext cx="789215" cy="3927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71437</xdr:colOff>
      <xdr:row>0</xdr:row>
      <xdr:rowOff>103187</xdr:rowOff>
    </xdr:from>
    <xdr:to>
      <xdr:col>23</xdr:col>
      <xdr:colOff>182790</xdr:colOff>
      <xdr:row>30</xdr:row>
      <xdr:rowOff>100994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884B85-73D6-9564-E7A4-47608C7EE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" y="103187"/>
          <a:ext cx="14351228" cy="5474682"/>
        </a:xfrm>
        <a:prstGeom prst="rect">
          <a:avLst/>
        </a:prstGeom>
      </xdr:spPr>
    </xdr:pic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0.10623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83670</xdr:colOff>
      <xdr:row>39</xdr:row>
      <xdr:rowOff>46269</xdr:rowOff>
    </xdr:from>
    <xdr:to>
      <xdr:col>23</xdr:col>
      <xdr:colOff>106679</xdr:colOff>
      <xdr:row>69</xdr:row>
      <xdr:rowOff>29845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EFD6D8-099D-4448-BF63-82A9D895D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A98222-458F-464E-997B-E27031AFB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150815</xdr:colOff>
      <xdr:row>68</xdr:row>
      <xdr:rowOff>142875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885B55A3-DFAC-4BA9-939E-8E2E63B9FA6A}"/>
            </a:ext>
          </a:extLst>
        </xdr:cNvPr>
        <xdr:cNvSpPr txBox="1"/>
      </xdr:nvSpPr>
      <xdr:spPr>
        <a:xfrm>
          <a:off x="0" y="12231688"/>
          <a:ext cx="769940" cy="325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47625</xdr:colOff>
      <xdr:row>0</xdr:row>
      <xdr:rowOff>55562</xdr:rowOff>
    </xdr:from>
    <xdr:to>
      <xdr:col>23</xdr:col>
      <xdr:colOff>79723</xdr:colOff>
      <xdr:row>30</xdr:row>
      <xdr:rowOff>47273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7704CD8-EDF5-CF96-D1F0-45BDF22ED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" y="55562"/>
          <a:ext cx="14271973" cy="5468586"/>
        </a:xfrm>
        <a:prstGeom prst="rect">
          <a:avLst/>
        </a:prstGeom>
      </xdr:spPr>
    </xdr:pic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0.11021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749" y="50784"/>
          <a:ext cx="1529281" cy="3227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40806-80EF-4355-9B75-0CE1D42A5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1</xdr:rowOff>
    </xdr:from>
    <xdr:to>
      <xdr:col>1</xdr:col>
      <xdr:colOff>95251</xdr:colOff>
      <xdr:row>68</xdr:row>
      <xdr:rowOff>63500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562E2A0B-DD71-4662-84E1-F9F59AD4D9D4}"/>
            </a:ext>
          </a:extLst>
        </xdr:cNvPr>
        <xdr:cNvSpPr txBox="1"/>
      </xdr:nvSpPr>
      <xdr:spPr>
        <a:xfrm>
          <a:off x="0" y="12231689"/>
          <a:ext cx="714376" cy="2460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>
    <xdr:from>
      <xdr:col>0</xdr:col>
      <xdr:colOff>111125</xdr:colOff>
      <xdr:row>38</xdr:row>
      <xdr:rowOff>63500</xdr:rowOff>
    </xdr:from>
    <xdr:to>
      <xdr:col>23</xdr:col>
      <xdr:colOff>134134</xdr:colOff>
      <xdr:row>68</xdr:row>
      <xdr:rowOff>47076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5C72F64A-EA19-4F74-8BCE-6BEEAF39B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108857</xdr:colOff>
      <xdr:row>0</xdr:row>
      <xdr:rowOff>81643</xdr:rowOff>
    </xdr:from>
    <xdr:to>
      <xdr:col>23</xdr:col>
      <xdr:colOff>144344</xdr:colOff>
      <xdr:row>30</xdr:row>
      <xdr:rowOff>82986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8A34ED-FBD6-3A6B-2D8C-C07D9BFEF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857" y="81643"/>
          <a:ext cx="14223201" cy="5444200"/>
        </a:xfrm>
        <a:prstGeom prst="rect">
          <a:avLst/>
        </a:prstGeom>
      </xdr:spPr>
    </xdr:pic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0.10623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anhdiem\Desktop\Copy%20of%20DTR-giaban.xlsx" TargetMode="External"/><Relationship Id="rId1" Type="http://schemas.openxmlformats.org/officeDocument/2006/relationships/externalLinkPath" Target="file:///C:\Users\thanhdiem\Desktop\Copy%20of%20DTR-giab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T-tháng"/>
      <sheetName val="PET_tuan"/>
      <sheetName val="Ma trận PET"/>
      <sheetName val="PET Fiber_tháng"/>
      <sheetName val="PET Fiber_tuan "/>
      <sheetName val="Ma trận PET- Fiber"/>
      <sheetName val="HD thổi-tháng"/>
      <sheetName val="HD thổi_tuần"/>
      <sheetName val="Ma trận HDPE thổi"/>
      <sheetName val="HD Ép-tháng"/>
      <sheetName val="HD Ép_tuần"/>
      <sheetName val="Ma trận HDPE Ép"/>
      <sheetName val="PP-tháng"/>
      <sheetName val="PP_tuần"/>
      <sheetName val="Ma trận giá bán rPP"/>
      <sheetName val="Vảy PP_tháng"/>
      <sheetName val="Vảy PP_tuần"/>
      <sheetName val="Ma trận giá bán vảy PP"/>
      <sheetName val="Vảy HD ÉP_tháng"/>
      <sheetName val="Vảy HD ÉP_tuần"/>
      <sheetName val="Ma trận giá bán vảy HDPE É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">
          <cell r="AJ5">
            <v>48</v>
          </cell>
          <cell r="AK5">
            <v>49</v>
          </cell>
          <cell r="AL5">
            <v>50</v>
          </cell>
          <cell r="AM5">
            <v>51</v>
          </cell>
          <cell r="AN5">
            <v>52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iễm, Nguyễn Thị Thanh" id="{E5586E81-B30F-48FD-B7B4-633A69150A0A}" userId="S::NguyenThiThanhDiem@duytanrecycling.com::a4911443-60e5-4065-81ee-41794ea83c81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U6" dT="2024-01-29T04:06:31.07" personId="{E5586E81-B30F-48FD-B7B4-633A69150A0A}" id="{E38F3020-B9E2-458C-8362-614AD84E00F2}">
    <text>Giá WSS01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2F74-0272-4396-8CD6-FCFA23428F0D}">
  <sheetPr>
    <tabColor rgb="FFFFC000"/>
    <pageSetUpPr fitToPage="1"/>
  </sheetPr>
  <dimension ref="I10:W85"/>
  <sheetViews>
    <sheetView showGridLines="0" zoomScale="70" zoomScaleNormal="70" workbookViewId="0"/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6" max="16" width="13.81640625" customWidth="1"/>
    <col min="19" max="19" width="10.1796875" bestFit="1" customWidth="1"/>
    <col min="20" max="20" width="13.54296875" customWidth="1"/>
    <col min="22" max="22" width="9.54296875" bestFit="1" customWidth="1"/>
    <col min="23" max="23" width="13.1796875" bestFit="1" customWidth="1"/>
    <col min="26" max="26" width="8.81640625" customWidth="1"/>
  </cols>
  <sheetData>
    <row r="10" spans="19:23">
      <c r="S10" s="98"/>
      <c r="T10" s="98"/>
      <c r="U10" s="179"/>
      <c r="V10" s="98"/>
    </row>
    <row r="11" spans="19:23">
      <c r="S11" s="180"/>
      <c r="T11" s="180"/>
      <c r="U11" s="179"/>
      <c r="V11" s="98"/>
      <c r="W11" s="180"/>
    </row>
    <row r="15" spans="19:23">
      <c r="W15" s="98"/>
    </row>
    <row r="53" spans="15:22" ht="14.9" customHeight="1">
      <c r="O53" s="195"/>
    </row>
    <row r="54" spans="15:22" ht="14.9" customHeight="1">
      <c r="O54" s="195"/>
      <c r="P54" s="85"/>
    </row>
    <row r="55" spans="15:22" ht="14.9" customHeight="1">
      <c r="O55" s="195"/>
    </row>
    <row r="56" spans="15:22" ht="14.9" customHeight="1">
      <c r="O56" s="195"/>
    </row>
    <row r="57" spans="15:22" ht="14.9" customHeight="1">
      <c r="V57" s="195"/>
    </row>
    <row r="58" spans="15:22">
      <c r="V58" s="195"/>
    </row>
    <row r="59" spans="15:22" ht="14.9" customHeight="1">
      <c r="V59" s="195"/>
    </row>
    <row r="61" spans="15:22">
      <c r="V61" s="195"/>
    </row>
    <row r="62" spans="15:22" ht="14.9" customHeight="1">
      <c r="P62" s="76"/>
      <c r="V62" s="195"/>
    </row>
    <row r="63" spans="15:22" ht="14.9" customHeight="1">
      <c r="P63" s="76"/>
      <c r="V63" s="195"/>
    </row>
    <row r="64" spans="15:22" ht="14.9" customHeight="1">
      <c r="T64" s="87"/>
    </row>
    <row r="67" spans="9:9" ht="15">
      <c r="I67" s="62"/>
    </row>
    <row r="72" spans="9:9" ht="15">
      <c r="I72" s="62"/>
    </row>
    <row r="82" spans="16:16" ht="15">
      <c r="P82" s="62"/>
    </row>
    <row r="83" spans="16:16" ht="15">
      <c r="P83" s="62"/>
    </row>
    <row r="84" spans="16:16" ht="15">
      <c r="P84" s="62"/>
    </row>
    <row r="85" spans="16:16" ht="15.5">
      <c r="P85" s="64"/>
    </row>
  </sheetData>
  <mergeCells count="3">
    <mergeCell ref="O53:O56"/>
    <mergeCell ref="V57:V59"/>
    <mergeCell ref="V61:V63"/>
  </mergeCells>
  <printOptions horizontalCentered="1"/>
  <pageMargins left="0.2" right="0.2" top="0.75" bottom="0.75" header="0.3" footer="0.3"/>
  <pageSetup paperSize="9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B30E-A266-4B3B-9CF9-57E76DD90B97}">
  <sheetPr>
    <tabColor theme="7"/>
  </sheetPr>
  <dimension ref="E48:T79"/>
  <sheetViews>
    <sheetView showGridLines="0" topLeftCell="A60" zoomScale="80" zoomScaleNormal="80" workbookViewId="0">
      <selection activeCell="K80" sqref="K80"/>
    </sheetView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7" max="17" width="16.81640625" customWidth="1"/>
    <col min="18" max="18" width="13.54296875" customWidth="1"/>
  </cols>
  <sheetData>
    <row r="48" spans="17:17">
      <c r="Q48" s="194"/>
    </row>
    <row r="49" spans="15:20">
      <c r="Q49" s="194"/>
    </row>
    <row r="50" spans="15:20" ht="21" customHeight="1">
      <c r="Q50" s="194"/>
    </row>
    <row r="51" spans="15:20" ht="14.9" customHeight="1">
      <c r="O51" s="195"/>
      <c r="Q51" s="194"/>
    </row>
    <row r="52" spans="15:20" ht="14.9" customHeight="1">
      <c r="O52" s="195"/>
      <c r="Q52" s="194"/>
    </row>
    <row r="53" spans="15:20" ht="14.9" customHeight="1">
      <c r="O53" s="195"/>
      <c r="Q53" s="175"/>
    </row>
    <row r="54" spans="15:20" ht="14.9" customHeight="1">
      <c r="O54" s="195"/>
      <c r="Q54" s="88"/>
    </row>
    <row r="55" spans="15:20" ht="14.9" customHeight="1">
      <c r="Q55" s="196"/>
      <c r="T55" s="195"/>
    </row>
    <row r="56" spans="15:20" ht="14.9" customHeight="1">
      <c r="Q56" s="196"/>
      <c r="T56" s="195"/>
    </row>
    <row r="57" spans="15:20" ht="14.9" customHeight="1">
      <c r="T57" s="195"/>
    </row>
    <row r="59" spans="15:20" ht="14.9" customHeight="1">
      <c r="T59" s="195"/>
    </row>
    <row r="60" spans="15:20" ht="24" customHeight="1">
      <c r="T60" s="195"/>
    </row>
    <row r="61" spans="15:20" ht="14.9" customHeight="1">
      <c r="T61" s="195"/>
    </row>
    <row r="62" spans="15:20" ht="14.9" customHeight="1">
      <c r="R62" s="87"/>
    </row>
    <row r="63" spans="15:20" ht="18" customHeight="1"/>
    <row r="64" spans="15:20" ht="18" customHeight="1"/>
    <row r="65" spans="5:17" ht="18" customHeight="1">
      <c r="I65" s="62"/>
    </row>
    <row r="66" spans="5:17" ht="14.9" customHeight="1">
      <c r="Q66" s="76"/>
    </row>
    <row r="67" spans="5:17" ht="14.9" customHeight="1"/>
    <row r="70" spans="5:17" ht="15">
      <c r="I70" s="62"/>
    </row>
    <row r="71" spans="5:17">
      <c r="E71" s="98"/>
      <c r="G71" s="113"/>
    </row>
    <row r="72" spans="5:17">
      <c r="F72" s="76"/>
    </row>
    <row r="79" spans="5:17">
      <c r="M79" s="193"/>
      <c r="N79" s="193"/>
    </row>
  </sheetData>
  <mergeCells count="6">
    <mergeCell ref="M79:N79"/>
    <mergeCell ref="O51:O54"/>
    <mergeCell ref="T55:T57"/>
    <mergeCell ref="Q48:Q52"/>
    <mergeCell ref="T59:T61"/>
    <mergeCell ref="Q55:Q56"/>
  </mergeCells>
  <printOptions horizontalCentered="1"/>
  <pageMargins left="0.196850393700787" right="0.196850393700787" top="0" bottom="0" header="0.31496062992126" footer="0.31496062992126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9608-68F9-4B19-A020-883A0124F48F}">
  <dimension ref="A1:LG46"/>
  <sheetViews>
    <sheetView showGridLines="0" topLeftCell="D3" zoomScale="90" zoomScaleNormal="90" workbookViewId="0">
      <pane xSplit="3" ySplit="3" topLeftCell="BP6" activePane="bottomRight" state="frozen"/>
      <selection activeCell="CA16" sqref="CA16"/>
      <selection pane="topRight" activeCell="CA16" sqref="CA16"/>
      <selection pane="bottomLeft" activeCell="CA16" sqref="CA16"/>
      <selection pane="bottomRight" activeCell="CB14" sqref="CB14"/>
    </sheetView>
  </sheetViews>
  <sheetFormatPr defaultColWidth="7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customWidth="1"/>
    <col min="5" max="5" width="33.1796875" style="1" hidden="1" customWidth="1"/>
    <col min="6" max="6" width="29.26953125" style="1" customWidth="1"/>
    <col min="7" max="7" width="10.54296875" style="1" hidden="1" customWidth="1"/>
    <col min="8" max="8" width="28.1796875" style="1" hidden="1" customWidth="1"/>
    <col min="9" max="19" width="8.1796875" style="1" hidden="1" customWidth="1"/>
    <col min="20" max="20" width="9.81640625" style="1" hidden="1" customWidth="1"/>
    <col min="21" max="21" width="8.1796875" style="1" hidden="1" customWidth="1"/>
    <col min="22" max="22" width="9.1796875" style="1" hidden="1" customWidth="1"/>
    <col min="23" max="23" width="8.1796875" style="1" hidden="1" customWidth="1"/>
    <col min="24" max="28" width="8.453125" style="1" hidden="1" customWidth="1"/>
    <col min="29" max="29" width="12" style="1" hidden="1" customWidth="1"/>
    <col min="30" max="31" width="8.453125" style="1" hidden="1" customWidth="1"/>
    <col min="32" max="50" width="9" style="1" hidden="1" customWidth="1"/>
    <col min="51" max="61" width="8.453125" style="1" hidden="1" customWidth="1"/>
    <col min="62" max="81" width="7.81640625" style="1" customWidth="1"/>
    <col min="82" max="82" width="9.1796875" style="1" customWidth="1"/>
    <col min="83" max="83" width="0" style="1" hidden="1" customWidth="1"/>
    <col min="84" max="84" width="22.54296875" style="1" customWidth="1"/>
    <col min="85" max="107" width="8.1796875" style="1" hidden="1" customWidth="1"/>
    <col min="108" max="136" width="9.1796875" style="1" hidden="1" customWidth="1"/>
    <col min="137" max="137" width="10.81640625" style="1" hidden="1" customWidth="1"/>
    <col min="138" max="138" width="10.1796875" style="1" hidden="1" customWidth="1"/>
    <col min="139" max="139" width="9.81640625" style="1" hidden="1" customWidth="1"/>
    <col min="140" max="192" width="9.1796875" style="1" hidden="1" customWidth="1"/>
    <col min="193" max="237" width="7.1796875" style="1" hidden="1" customWidth="1"/>
    <col min="238" max="288" width="7.81640625" style="1" hidden="1" customWidth="1"/>
    <col min="289" max="289" width="7.81640625" style="1" customWidth="1"/>
    <col min="290" max="16384" width="7.1796875" style="1"/>
  </cols>
  <sheetData>
    <row r="1" spans="1:319" hidden="1"/>
    <row r="2" spans="1:319" hidden="1"/>
    <row r="3" spans="1:319" ht="19.399999999999999" customHeight="1">
      <c r="D3" s="15" t="s">
        <v>58</v>
      </c>
      <c r="F3" s="15"/>
      <c r="H3" s="15"/>
      <c r="AL3" s="170">
        <v>2023</v>
      </c>
      <c r="AX3" s="170">
        <v>2024</v>
      </c>
      <c r="BJ3" s="170">
        <v>2025</v>
      </c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EG3" s="170">
        <v>2023</v>
      </c>
      <c r="EK3" s="116" t="s">
        <v>76</v>
      </c>
      <c r="EL3" s="116" t="s">
        <v>79</v>
      </c>
      <c r="EM3" s="116" t="s">
        <v>80</v>
      </c>
      <c r="EN3" s="116" t="s">
        <v>86</v>
      </c>
      <c r="EO3" s="116">
        <v>7.03</v>
      </c>
      <c r="EP3" s="116">
        <v>14.03</v>
      </c>
      <c r="EQ3" s="116">
        <v>21.03</v>
      </c>
      <c r="ER3" s="116">
        <v>28.03</v>
      </c>
      <c r="ES3" s="116">
        <v>4.04</v>
      </c>
      <c r="ET3" s="116">
        <v>11.04</v>
      </c>
      <c r="EU3" s="116">
        <v>18.04</v>
      </c>
      <c r="EV3" s="116">
        <v>25.04</v>
      </c>
      <c r="EW3" s="116">
        <v>2.0499999999999998</v>
      </c>
      <c r="EX3" s="116">
        <v>9.0500000000000007</v>
      </c>
      <c r="EY3" s="1">
        <v>16.05</v>
      </c>
      <c r="EZ3" s="116">
        <v>23.05</v>
      </c>
      <c r="FA3" s="116">
        <v>30.05</v>
      </c>
      <c r="FB3" s="116">
        <v>6.06</v>
      </c>
      <c r="FC3" s="116">
        <v>13.06</v>
      </c>
      <c r="FD3" s="116">
        <v>20.059999999999999</v>
      </c>
      <c r="FE3" s="116"/>
      <c r="FF3" s="116"/>
      <c r="GF3" s="170">
        <v>2024</v>
      </c>
      <c r="ID3" s="170">
        <v>2025</v>
      </c>
    </row>
    <row r="4" spans="1:319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23147</v>
      </c>
      <c r="J4" s="74">
        <v>23135</v>
      </c>
      <c r="K4" s="74">
        <v>23142</v>
      </c>
      <c r="L4" s="74">
        <v>23194</v>
      </c>
      <c r="M4" s="74">
        <v>23204</v>
      </c>
      <c r="N4" s="74">
        <v>23160</v>
      </c>
      <c r="O4" s="74">
        <v>23141</v>
      </c>
      <c r="P4" s="74">
        <v>23161</v>
      </c>
      <c r="Q4" s="74">
        <v>23161</v>
      </c>
      <c r="R4" s="74">
        <v>23123</v>
      </c>
      <c r="S4" s="74">
        <v>23156</v>
      </c>
      <c r="T4" s="74">
        <v>23126</v>
      </c>
      <c r="U4" s="74">
        <v>23180</v>
      </c>
      <c r="V4" s="74">
        <v>23108</v>
      </c>
      <c r="W4" s="74">
        <f>V4</f>
        <v>23108</v>
      </c>
      <c r="X4" s="74">
        <f>W4</f>
        <v>23108</v>
      </c>
      <c r="Y4" s="74">
        <f>X4</f>
        <v>23108</v>
      </c>
      <c r="Z4" s="74">
        <v>23150</v>
      </c>
      <c r="AA4" s="74">
        <v>23150</v>
      </c>
      <c r="AB4" s="74">
        <v>23150</v>
      </c>
      <c r="AC4" s="74">
        <v>23150</v>
      </c>
      <c r="AD4" s="74">
        <v>23500</v>
      </c>
      <c r="AE4" s="74">
        <v>23500</v>
      </c>
      <c r="AF4" s="74">
        <v>23500</v>
      </c>
      <c r="AG4" s="74">
        <v>23500</v>
      </c>
      <c r="AH4" s="74">
        <v>23500</v>
      </c>
      <c r="AI4" s="74">
        <v>23500</v>
      </c>
      <c r="AJ4" s="74">
        <v>24600</v>
      </c>
      <c r="AK4" s="74">
        <v>24000</v>
      </c>
      <c r="AL4" s="74">
        <v>24000</v>
      </c>
      <c r="AM4" s="74">
        <v>24000</v>
      </c>
      <c r="AN4" s="74">
        <v>24000</v>
      </c>
      <c r="AO4" s="74">
        <v>24000</v>
      </c>
      <c r="AP4" s="74">
        <v>24000</v>
      </c>
      <c r="AQ4" s="74">
        <v>24000</v>
      </c>
      <c r="AR4" s="74">
        <v>24000</v>
      </c>
      <c r="AS4" s="74">
        <v>24000</v>
      </c>
      <c r="AT4" s="74">
        <v>24000</v>
      </c>
      <c r="AU4" s="74">
        <v>24000</v>
      </c>
      <c r="AV4" s="74">
        <v>24000</v>
      </c>
      <c r="AW4" s="74">
        <v>24000</v>
      </c>
      <c r="AX4" s="74">
        <v>24000</v>
      </c>
      <c r="AY4" s="74">
        <v>24000</v>
      </c>
      <c r="AZ4" s="74">
        <v>24000</v>
      </c>
      <c r="BA4" s="74">
        <v>24000</v>
      </c>
      <c r="BB4" s="74">
        <v>24000</v>
      </c>
      <c r="BC4" s="74">
        <v>24000</v>
      </c>
      <c r="BD4" s="74">
        <v>24000</v>
      </c>
      <c r="BE4" s="74">
        <v>24000</v>
      </c>
      <c r="BF4" s="74">
        <v>24000</v>
      </c>
      <c r="BG4" s="74">
        <v>24000</v>
      </c>
      <c r="BH4" s="74">
        <v>24000</v>
      </c>
      <c r="BI4" s="74">
        <v>24000</v>
      </c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DD4" s="74">
        <v>23150</v>
      </c>
      <c r="DE4" s="74">
        <v>23150</v>
      </c>
      <c r="DF4" s="74">
        <v>23150</v>
      </c>
      <c r="DG4" s="74">
        <v>23150</v>
      </c>
      <c r="DH4" s="74">
        <v>23150</v>
      </c>
      <c r="DI4" s="74">
        <v>23150</v>
      </c>
      <c r="DJ4" s="74">
        <v>23150</v>
      </c>
      <c r="DK4" s="74">
        <v>23150</v>
      </c>
      <c r="DL4" s="74">
        <v>23150</v>
      </c>
      <c r="DM4" s="74">
        <v>23150</v>
      </c>
      <c r="DN4" s="74">
        <v>23150</v>
      </c>
      <c r="DO4" s="74">
        <v>23150</v>
      </c>
      <c r="DP4" s="74">
        <v>23500</v>
      </c>
      <c r="DQ4" s="74">
        <v>23500</v>
      </c>
      <c r="DR4" s="74">
        <v>23500</v>
      </c>
      <c r="DS4" s="74">
        <v>23500</v>
      </c>
      <c r="DT4" s="74">
        <v>23500</v>
      </c>
      <c r="DU4" s="74">
        <v>23500</v>
      </c>
      <c r="DV4" s="74">
        <v>23500</v>
      </c>
      <c r="DW4" s="74">
        <v>23500</v>
      </c>
      <c r="DX4" s="74">
        <v>24600</v>
      </c>
      <c r="DY4" s="74">
        <v>24600</v>
      </c>
      <c r="DZ4" s="74">
        <v>24600</v>
      </c>
      <c r="EA4" s="74">
        <v>24600</v>
      </c>
      <c r="EB4" s="74">
        <v>24600</v>
      </c>
      <c r="EC4" s="74">
        <v>24000</v>
      </c>
      <c r="ED4" s="74">
        <v>24000</v>
      </c>
      <c r="EE4" s="74">
        <v>24000</v>
      </c>
      <c r="EF4" s="74">
        <v>24000</v>
      </c>
      <c r="EG4" s="74">
        <v>24000</v>
      </c>
      <c r="EH4" s="74">
        <v>24000</v>
      </c>
      <c r="EI4" s="74">
        <v>24000</v>
      </c>
      <c r="EJ4" s="74">
        <v>24000</v>
      </c>
      <c r="EK4" s="74">
        <v>24000</v>
      </c>
      <c r="EL4" s="74">
        <v>24000</v>
      </c>
      <c r="EM4" s="74">
        <v>24000</v>
      </c>
      <c r="EN4" s="74">
        <v>24000</v>
      </c>
      <c r="EO4" s="74">
        <v>24000</v>
      </c>
      <c r="EP4" s="74">
        <v>24000</v>
      </c>
      <c r="EQ4" s="74">
        <v>24000</v>
      </c>
      <c r="ER4" s="74">
        <v>24000</v>
      </c>
      <c r="ES4" s="74">
        <v>24000</v>
      </c>
      <c r="ET4" s="74">
        <v>24000</v>
      </c>
      <c r="EU4" s="74">
        <v>24000</v>
      </c>
      <c r="EV4" s="74">
        <v>24000</v>
      </c>
      <c r="EW4" s="74">
        <v>24000</v>
      </c>
      <c r="EX4" s="74">
        <v>24000</v>
      </c>
      <c r="EY4" s="74">
        <v>24000</v>
      </c>
      <c r="EZ4" s="74">
        <v>24000</v>
      </c>
      <c r="FA4" s="74">
        <v>24000</v>
      </c>
      <c r="FB4" s="74">
        <v>24000</v>
      </c>
      <c r="FC4" s="74">
        <v>24000</v>
      </c>
      <c r="FD4" s="74">
        <v>24000</v>
      </c>
      <c r="FE4" s="74">
        <v>24000</v>
      </c>
      <c r="FF4" s="74">
        <v>24000</v>
      </c>
      <c r="FG4" s="74">
        <v>24000</v>
      </c>
      <c r="FH4" s="74">
        <v>24000</v>
      </c>
      <c r="FI4" s="74">
        <v>24000</v>
      </c>
      <c r="FJ4" s="74">
        <v>24000</v>
      </c>
      <c r="FK4" s="74">
        <v>24000</v>
      </c>
      <c r="FL4" s="74">
        <v>24000</v>
      </c>
      <c r="FM4" s="74">
        <v>24000</v>
      </c>
      <c r="FN4" s="74">
        <v>24000</v>
      </c>
      <c r="FO4" s="74">
        <v>24000</v>
      </c>
      <c r="FP4" s="74">
        <v>24000</v>
      </c>
      <c r="FQ4" s="74">
        <v>24000</v>
      </c>
      <c r="FR4" s="74">
        <v>24000</v>
      </c>
      <c r="FS4" s="74">
        <v>24000</v>
      </c>
      <c r="FT4" s="74">
        <v>24000</v>
      </c>
      <c r="FU4" s="74">
        <v>24000</v>
      </c>
      <c r="FV4" s="74">
        <v>24000</v>
      </c>
      <c r="FW4" s="74">
        <v>24000</v>
      </c>
      <c r="FX4" s="74">
        <v>24000</v>
      </c>
      <c r="FY4" s="74">
        <v>24000</v>
      </c>
      <c r="FZ4" s="74">
        <v>24000</v>
      </c>
      <c r="GA4" s="74">
        <v>24000</v>
      </c>
      <c r="GB4" s="74">
        <v>24000</v>
      </c>
      <c r="GC4" s="74">
        <v>24000</v>
      </c>
      <c r="GD4" s="74">
        <v>24000</v>
      </c>
      <c r="GE4" s="74">
        <v>24000</v>
      </c>
      <c r="GF4" s="74">
        <v>24000</v>
      </c>
      <c r="GG4" s="74">
        <v>24000</v>
      </c>
      <c r="GH4" s="74">
        <v>24000</v>
      </c>
      <c r="GI4" s="74">
        <v>24000</v>
      </c>
      <c r="GJ4" s="74">
        <v>24000</v>
      </c>
      <c r="GK4" s="74">
        <v>24000</v>
      </c>
      <c r="GL4" s="74">
        <v>24000</v>
      </c>
      <c r="GM4" s="74">
        <v>24000</v>
      </c>
      <c r="GN4" s="74">
        <v>24000</v>
      </c>
      <c r="GO4" s="74">
        <v>24000</v>
      </c>
      <c r="GP4" s="74">
        <v>24000</v>
      </c>
      <c r="GQ4" s="74">
        <v>24000</v>
      </c>
      <c r="GR4" s="74">
        <v>24000</v>
      </c>
      <c r="GS4" s="74">
        <v>24000</v>
      </c>
      <c r="GT4" s="74">
        <v>24000</v>
      </c>
      <c r="GU4" s="74"/>
      <c r="GV4" s="74"/>
      <c r="GW4" s="74"/>
      <c r="GX4" s="74"/>
      <c r="KC4" s="178">
        <v>2026</v>
      </c>
    </row>
    <row r="5" spans="1:319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33" t="s">
        <v>8</v>
      </c>
      <c r="J5" s="33" t="s">
        <v>9</v>
      </c>
      <c r="K5" s="33" t="s">
        <v>10</v>
      </c>
      <c r="L5" s="33" t="s">
        <v>11</v>
      </c>
      <c r="M5" s="33" t="s">
        <v>12</v>
      </c>
      <c r="N5" s="33" t="s">
        <v>13</v>
      </c>
      <c r="O5" s="33" t="s">
        <v>14</v>
      </c>
      <c r="P5" s="33" t="s">
        <v>15</v>
      </c>
      <c r="Q5" s="33" t="s">
        <v>16</v>
      </c>
      <c r="R5" s="33" t="s">
        <v>17</v>
      </c>
      <c r="S5" s="33" t="s">
        <v>18</v>
      </c>
      <c r="T5" s="33" t="s">
        <v>19</v>
      </c>
      <c r="U5" s="33">
        <v>1</v>
      </c>
      <c r="V5" s="33">
        <v>2</v>
      </c>
      <c r="W5" s="33">
        <v>3</v>
      </c>
      <c r="X5" s="33">
        <v>4</v>
      </c>
      <c r="Y5" s="33">
        <v>5</v>
      </c>
      <c r="Z5" s="33">
        <v>6</v>
      </c>
      <c r="AA5" s="33">
        <v>7</v>
      </c>
      <c r="AB5" s="33">
        <v>8</v>
      </c>
      <c r="AC5" s="33" t="s">
        <v>63</v>
      </c>
      <c r="AD5" s="33">
        <v>9</v>
      </c>
      <c r="AE5" s="86">
        <v>10</v>
      </c>
      <c r="AF5" s="89" t="s">
        <v>65</v>
      </c>
      <c r="AG5" s="89" t="s">
        <v>66</v>
      </c>
      <c r="AH5" s="89" t="s">
        <v>67</v>
      </c>
      <c r="AI5" s="89" t="s">
        <v>68</v>
      </c>
      <c r="AJ5" s="86">
        <v>11</v>
      </c>
      <c r="AK5" s="86">
        <v>12</v>
      </c>
      <c r="AL5" s="86" t="s">
        <v>75</v>
      </c>
      <c r="AM5" s="86">
        <v>2</v>
      </c>
      <c r="AN5" s="86">
        <v>3</v>
      </c>
      <c r="AO5" s="86">
        <v>4</v>
      </c>
      <c r="AP5" s="86">
        <v>5</v>
      </c>
      <c r="AQ5" s="86">
        <v>6</v>
      </c>
      <c r="AR5" s="86">
        <v>7</v>
      </c>
      <c r="AS5" s="86">
        <v>8</v>
      </c>
      <c r="AT5" s="86">
        <v>9</v>
      </c>
      <c r="AU5" s="86">
        <v>10</v>
      </c>
      <c r="AV5" s="33">
        <v>11</v>
      </c>
      <c r="AW5" s="33">
        <v>12</v>
      </c>
      <c r="AX5" s="33" t="s">
        <v>122</v>
      </c>
      <c r="AY5" s="33">
        <v>2</v>
      </c>
      <c r="AZ5" s="33">
        <v>3</v>
      </c>
      <c r="BA5" s="33">
        <v>4</v>
      </c>
      <c r="BB5" s="33">
        <v>5</v>
      </c>
      <c r="BC5" s="33">
        <v>6</v>
      </c>
      <c r="BD5" s="33">
        <v>7</v>
      </c>
      <c r="BE5" s="33">
        <v>8</v>
      </c>
      <c r="BF5" s="33">
        <v>9</v>
      </c>
      <c r="BG5" s="33">
        <v>10</v>
      </c>
      <c r="BH5" s="33">
        <v>11</v>
      </c>
      <c r="BI5" s="33">
        <v>12</v>
      </c>
      <c r="BJ5" s="33" t="s">
        <v>169</v>
      </c>
      <c r="BK5" s="33">
        <v>2</v>
      </c>
      <c r="BL5" s="33">
        <v>3</v>
      </c>
      <c r="BM5" s="33">
        <v>4</v>
      </c>
      <c r="BN5" s="33">
        <v>5</v>
      </c>
      <c r="BO5" s="33">
        <v>6</v>
      </c>
      <c r="BP5" s="33">
        <v>7</v>
      </c>
      <c r="BQ5" s="33">
        <v>8</v>
      </c>
      <c r="BR5" s="33">
        <v>9</v>
      </c>
      <c r="BS5" s="33">
        <v>10</v>
      </c>
      <c r="BT5" s="33">
        <v>11</v>
      </c>
      <c r="BU5" s="33">
        <v>12</v>
      </c>
      <c r="BV5" s="33" t="s">
        <v>193</v>
      </c>
      <c r="BW5" s="33">
        <v>2</v>
      </c>
      <c r="BX5" s="33">
        <v>3</v>
      </c>
      <c r="BY5" s="33">
        <v>4</v>
      </c>
      <c r="BZ5" s="33">
        <v>5</v>
      </c>
      <c r="CA5" s="33">
        <v>6</v>
      </c>
      <c r="CB5" s="33">
        <v>7</v>
      </c>
      <c r="CD5" s="34" t="s">
        <v>5</v>
      </c>
      <c r="CE5" s="33" t="s">
        <v>6</v>
      </c>
      <c r="CF5" s="33" t="s">
        <v>2</v>
      </c>
      <c r="CG5" s="33">
        <v>1</v>
      </c>
      <c r="CH5" s="33">
        <f>+CG5+1</f>
        <v>2</v>
      </c>
      <c r="CI5" s="33">
        <f t="shared" ref="CI5:DC5" si="0">+CH5+1</f>
        <v>3</v>
      </c>
      <c r="CJ5" s="33">
        <f t="shared" si="0"/>
        <v>4</v>
      </c>
      <c r="CK5" s="33">
        <f t="shared" si="0"/>
        <v>5</v>
      </c>
      <c r="CL5" s="33">
        <f t="shared" si="0"/>
        <v>6</v>
      </c>
      <c r="CM5" s="33">
        <f t="shared" si="0"/>
        <v>7</v>
      </c>
      <c r="CN5" s="33">
        <f t="shared" si="0"/>
        <v>8</v>
      </c>
      <c r="CO5" s="33">
        <f t="shared" si="0"/>
        <v>9</v>
      </c>
      <c r="CP5" s="33">
        <f t="shared" si="0"/>
        <v>10</v>
      </c>
      <c r="CQ5" s="33">
        <f t="shared" si="0"/>
        <v>11</v>
      </c>
      <c r="CR5" s="33">
        <f t="shared" si="0"/>
        <v>12</v>
      </c>
      <c r="CS5" s="33">
        <f t="shared" si="0"/>
        <v>13</v>
      </c>
      <c r="CT5" s="33">
        <f t="shared" si="0"/>
        <v>14</v>
      </c>
      <c r="CU5" s="33">
        <f t="shared" si="0"/>
        <v>15</v>
      </c>
      <c r="CV5" s="33">
        <f t="shared" si="0"/>
        <v>16</v>
      </c>
      <c r="CW5" s="33">
        <f t="shared" si="0"/>
        <v>17</v>
      </c>
      <c r="CX5" s="33">
        <f t="shared" si="0"/>
        <v>18</v>
      </c>
      <c r="CY5" s="33">
        <f t="shared" si="0"/>
        <v>19</v>
      </c>
      <c r="CZ5" s="33">
        <f t="shared" si="0"/>
        <v>20</v>
      </c>
      <c r="DA5" s="33">
        <f t="shared" si="0"/>
        <v>21</v>
      </c>
      <c r="DB5" s="33">
        <f t="shared" si="0"/>
        <v>22</v>
      </c>
      <c r="DC5" s="33">
        <f t="shared" si="0"/>
        <v>23</v>
      </c>
      <c r="DD5" s="90">
        <v>24</v>
      </c>
      <c r="DE5" s="90">
        <v>25</v>
      </c>
      <c r="DF5" s="90">
        <v>26</v>
      </c>
      <c r="DG5" s="90">
        <v>27</v>
      </c>
      <c r="DH5" s="90">
        <v>28</v>
      </c>
      <c r="DI5" s="90">
        <v>29</v>
      </c>
      <c r="DJ5" s="90">
        <v>30</v>
      </c>
      <c r="DK5" s="90">
        <v>31</v>
      </c>
      <c r="DL5" s="90">
        <v>32</v>
      </c>
      <c r="DM5" s="90">
        <v>33</v>
      </c>
      <c r="DN5" s="90">
        <v>34</v>
      </c>
      <c r="DO5" s="90">
        <v>35</v>
      </c>
      <c r="DP5" s="90">
        <v>36</v>
      </c>
      <c r="DQ5" s="90">
        <v>37</v>
      </c>
      <c r="DR5" s="90">
        <v>38</v>
      </c>
      <c r="DS5" s="90">
        <v>39</v>
      </c>
      <c r="DT5" s="90">
        <v>40</v>
      </c>
      <c r="DU5" s="90">
        <v>41</v>
      </c>
      <c r="DV5" s="90">
        <v>42</v>
      </c>
      <c r="DW5" s="90">
        <v>43</v>
      </c>
      <c r="DX5" s="90">
        <v>44</v>
      </c>
      <c r="DY5" s="90">
        <v>45</v>
      </c>
      <c r="DZ5" s="101">
        <v>46</v>
      </c>
      <c r="EA5" s="101">
        <v>47</v>
      </c>
      <c r="EB5" s="101">
        <v>48</v>
      </c>
      <c r="EC5" s="101">
        <v>49</v>
      </c>
      <c r="ED5" s="101">
        <v>50</v>
      </c>
      <c r="EE5" s="101">
        <v>51</v>
      </c>
      <c r="EF5" s="101">
        <v>52</v>
      </c>
      <c r="EG5" s="90" t="s">
        <v>97</v>
      </c>
      <c r="EH5" s="90">
        <v>2</v>
      </c>
      <c r="EI5" s="90">
        <v>3</v>
      </c>
      <c r="EJ5" s="90">
        <v>5</v>
      </c>
      <c r="EK5" s="90">
        <v>6</v>
      </c>
      <c r="EL5" s="90">
        <v>7</v>
      </c>
      <c r="EM5" s="90">
        <v>8</v>
      </c>
      <c r="EN5" s="90">
        <v>9</v>
      </c>
      <c r="EO5" s="90">
        <v>10</v>
      </c>
      <c r="EP5" s="90">
        <v>11</v>
      </c>
      <c r="EQ5" s="90">
        <v>12</v>
      </c>
      <c r="ER5" s="90">
        <v>13</v>
      </c>
      <c r="ES5" s="90">
        <v>14</v>
      </c>
      <c r="ET5" s="90">
        <v>15</v>
      </c>
      <c r="EU5" s="90">
        <v>16</v>
      </c>
      <c r="EV5" s="90">
        <v>17</v>
      </c>
      <c r="EW5" s="90">
        <v>18</v>
      </c>
      <c r="EX5" s="90">
        <v>19</v>
      </c>
      <c r="EY5" s="90">
        <v>20</v>
      </c>
      <c r="EZ5" s="90">
        <v>21</v>
      </c>
      <c r="FA5" s="90">
        <v>22</v>
      </c>
      <c r="FB5" s="90">
        <v>23</v>
      </c>
      <c r="FC5" s="90">
        <v>24</v>
      </c>
      <c r="FD5" s="90">
        <v>25</v>
      </c>
      <c r="FE5" s="90">
        <v>26</v>
      </c>
      <c r="FF5" s="90">
        <v>27</v>
      </c>
      <c r="FG5" s="90">
        <v>28</v>
      </c>
      <c r="FH5" s="90">
        <v>29</v>
      </c>
      <c r="FI5" s="90">
        <v>30</v>
      </c>
      <c r="FJ5" s="90">
        <v>31</v>
      </c>
      <c r="FK5" s="90">
        <v>32</v>
      </c>
      <c r="FL5" s="90">
        <v>33</v>
      </c>
      <c r="FM5" s="101">
        <v>34</v>
      </c>
      <c r="FN5" s="101">
        <v>35</v>
      </c>
      <c r="FO5" s="101">
        <v>36</v>
      </c>
      <c r="FP5" s="101">
        <v>37</v>
      </c>
      <c r="FQ5" s="101">
        <v>38</v>
      </c>
      <c r="FR5" s="101">
        <v>39</v>
      </c>
      <c r="FS5" s="101">
        <v>40</v>
      </c>
      <c r="FT5" s="101">
        <v>41</v>
      </c>
      <c r="FU5" s="101">
        <v>42</v>
      </c>
      <c r="FV5" s="101">
        <v>43</v>
      </c>
      <c r="FW5" s="101">
        <v>44</v>
      </c>
      <c r="FX5" s="101">
        <v>45</v>
      </c>
      <c r="FY5" s="101">
        <v>46</v>
      </c>
      <c r="FZ5" s="101">
        <v>47</v>
      </c>
      <c r="GA5" s="101">
        <v>48</v>
      </c>
      <c r="GB5" s="101">
        <v>49</v>
      </c>
      <c r="GC5" s="101">
        <v>50</v>
      </c>
      <c r="GD5" s="101">
        <v>51</v>
      </c>
      <c r="GE5" s="101">
        <v>52</v>
      </c>
      <c r="GF5" s="101" t="s">
        <v>117</v>
      </c>
      <c r="GG5" s="90" t="s">
        <v>123</v>
      </c>
      <c r="GH5" s="90" t="s">
        <v>124</v>
      </c>
      <c r="GI5" s="90" t="s">
        <v>125</v>
      </c>
      <c r="GJ5" s="90" t="s">
        <v>126</v>
      </c>
      <c r="GK5" s="90" t="s">
        <v>142</v>
      </c>
      <c r="GL5" s="90" t="s">
        <v>143</v>
      </c>
      <c r="GM5" s="90" t="s">
        <v>144</v>
      </c>
      <c r="GN5" s="90" t="s">
        <v>145</v>
      </c>
      <c r="GO5" s="90" t="s">
        <v>146</v>
      </c>
      <c r="GP5" s="90" t="s">
        <v>147</v>
      </c>
      <c r="GQ5" s="90" t="s">
        <v>148</v>
      </c>
      <c r="GR5" s="90" t="s">
        <v>149</v>
      </c>
      <c r="GS5" s="90" t="s">
        <v>150</v>
      </c>
      <c r="GT5" s="90" t="s">
        <v>151</v>
      </c>
      <c r="GU5" s="90" t="s">
        <v>152</v>
      </c>
      <c r="GV5" s="90" t="s">
        <v>153</v>
      </c>
      <c r="GW5" s="90" t="s">
        <v>154</v>
      </c>
      <c r="GX5" s="90" t="s">
        <v>155</v>
      </c>
      <c r="GY5" s="90" t="s">
        <v>157</v>
      </c>
      <c r="GZ5" s="90" t="s">
        <v>158</v>
      </c>
      <c r="HA5" s="90" t="s">
        <v>159</v>
      </c>
      <c r="HB5" s="90" t="s">
        <v>160</v>
      </c>
      <c r="HC5" s="90">
        <v>26</v>
      </c>
      <c r="HD5" s="90">
        <v>27</v>
      </c>
      <c r="HE5" s="90">
        <v>28</v>
      </c>
      <c r="HF5" s="90">
        <v>29</v>
      </c>
      <c r="HG5" s="90">
        <v>30</v>
      </c>
      <c r="HH5" s="90">
        <v>31</v>
      </c>
      <c r="HI5" s="90">
        <v>32</v>
      </c>
      <c r="HJ5" s="90">
        <v>33</v>
      </c>
      <c r="HK5" s="90">
        <v>34</v>
      </c>
      <c r="HL5" s="90">
        <v>35</v>
      </c>
      <c r="HM5" s="90">
        <v>36</v>
      </c>
      <c r="HN5" s="90">
        <v>37</v>
      </c>
      <c r="HO5" s="90">
        <v>38</v>
      </c>
      <c r="HP5" s="90">
        <v>39</v>
      </c>
      <c r="HQ5" s="90">
        <v>40</v>
      </c>
      <c r="HR5" s="90">
        <v>41</v>
      </c>
      <c r="HS5" s="90">
        <v>42</v>
      </c>
      <c r="HT5" s="90">
        <v>43</v>
      </c>
      <c r="HU5" s="90">
        <v>44</v>
      </c>
      <c r="HV5" s="90">
        <v>45</v>
      </c>
      <c r="HW5" s="90">
        <v>46</v>
      </c>
      <c r="HX5" s="90">
        <v>47</v>
      </c>
      <c r="HY5" s="90">
        <v>48</v>
      </c>
      <c r="HZ5" s="90">
        <v>49</v>
      </c>
      <c r="IA5" s="90">
        <v>50</v>
      </c>
      <c r="IB5" s="90">
        <v>51</v>
      </c>
      <c r="IC5" s="90">
        <v>52</v>
      </c>
      <c r="ID5" s="90" t="s">
        <v>121</v>
      </c>
      <c r="IE5" s="90" t="s">
        <v>123</v>
      </c>
      <c r="IF5" s="90" t="s">
        <v>124</v>
      </c>
      <c r="IG5" s="90" t="s">
        <v>125</v>
      </c>
      <c r="IH5" s="90" t="s">
        <v>170</v>
      </c>
      <c r="II5" s="90" t="s">
        <v>172</v>
      </c>
      <c r="IJ5" s="90" t="s">
        <v>142</v>
      </c>
      <c r="IK5" s="90" t="s">
        <v>143</v>
      </c>
      <c r="IL5" s="90" t="s">
        <v>144</v>
      </c>
      <c r="IM5" s="90" t="s">
        <v>145</v>
      </c>
      <c r="IN5" s="90" t="s">
        <v>146</v>
      </c>
      <c r="IO5" s="90" t="s">
        <v>147</v>
      </c>
      <c r="IP5" s="90" t="s">
        <v>148</v>
      </c>
      <c r="IQ5" s="90" t="s">
        <v>149</v>
      </c>
      <c r="IR5" s="90" t="s">
        <v>150</v>
      </c>
      <c r="IS5" s="90" t="s">
        <v>151</v>
      </c>
      <c r="IT5" s="90" t="s">
        <v>152</v>
      </c>
      <c r="IU5" s="90" t="s">
        <v>153</v>
      </c>
      <c r="IV5" s="90" t="s">
        <v>154</v>
      </c>
      <c r="IW5" s="90" t="s">
        <v>155</v>
      </c>
      <c r="IX5" s="90" t="s">
        <v>157</v>
      </c>
      <c r="IY5" s="90" t="s">
        <v>158</v>
      </c>
      <c r="IZ5" s="90" t="s">
        <v>159</v>
      </c>
      <c r="JA5" s="90" t="s">
        <v>160</v>
      </c>
      <c r="JB5" s="90" t="s">
        <v>161</v>
      </c>
      <c r="JC5" s="90" t="s">
        <v>162</v>
      </c>
      <c r="JD5" s="90" t="s">
        <v>163</v>
      </c>
      <c r="JE5" s="90" t="s">
        <v>164</v>
      </c>
      <c r="JF5" s="90" t="s">
        <v>165</v>
      </c>
      <c r="JG5" s="90" t="s">
        <v>166</v>
      </c>
      <c r="JH5" s="90" t="s">
        <v>167</v>
      </c>
      <c r="JI5" s="90" t="s">
        <v>168</v>
      </c>
      <c r="JJ5" s="90" t="s">
        <v>174</v>
      </c>
      <c r="JK5" s="90" t="s">
        <v>175</v>
      </c>
      <c r="JL5" s="90" t="s">
        <v>176</v>
      </c>
      <c r="JM5" s="90" t="s">
        <v>177</v>
      </c>
      <c r="JN5" s="90" t="s">
        <v>178</v>
      </c>
      <c r="JO5" s="90" t="s">
        <v>179</v>
      </c>
      <c r="JP5" s="90" t="s">
        <v>180</v>
      </c>
      <c r="JQ5" s="90" t="s">
        <v>181</v>
      </c>
      <c r="JR5" s="90" t="s">
        <v>182</v>
      </c>
      <c r="JS5" s="90" t="s">
        <v>183</v>
      </c>
      <c r="JT5" s="90" t="s">
        <v>184</v>
      </c>
      <c r="JU5" s="90" t="s">
        <v>185</v>
      </c>
      <c r="JV5" s="90" t="s">
        <v>186</v>
      </c>
      <c r="JW5" s="90" t="s">
        <v>187</v>
      </c>
      <c r="JX5" s="90" t="s">
        <v>188</v>
      </c>
      <c r="JY5" s="90" t="s">
        <v>189</v>
      </c>
      <c r="JZ5" s="90" t="s">
        <v>190</v>
      </c>
      <c r="KA5" s="90" t="s">
        <v>191</v>
      </c>
      <c r="KB5" s="90" t="s">
        <v>192</v>
      </c>
      <c r="KC5" s="90" t="s">
        <v>121</v>
      </c>
      <c r="KD5" s="90" t="s">
        <v>123</v>
      </c>
      <c r="KE5" s="90" t="s">
        <v>124</v>
      </c>
      <c r="KF5" s="90" t="s">
        <v>125</v>
      </c>
      <c r="KG5" s="90" t="s">
        <v>126</v>
      </c>
      <c r="KH5" s="90" t="s">
        <v>170</v>
      </c>
      <c r="KI5" s="90" t="s">
        <v>172</v>
      </c>
      <c r="KJ5" s="90" t="s">
        <v>142</v>
      </c>
      <c r="KK5" s="90" t="s">
        <v>143</v>
      </c>
      <c r="KL5" s="90" t="s">
        <v>144</v>
      </c>
      <c r="KM5" s="90" t="s">
        <v>145</v>
      </c>
      <c r="KN5" s="90" t="s">
        <v>146</v>
      </c>
      <c r="KO5" s="90" t="s">
        <v>147</v>
      </c>
      <c r="KP5" s="90" t="s">
        <v>148</v>
      </c>
      <c r="KQ5" s="90" t="s">
        <v>149</v>
      </c>
      <c r="KR5" s="90" t="s">
        <v>150</v>
      </c>
      <c r="KS5" s="90" t="s">
        <v>151</v>
      </c>
      <c r="KT5" s="90" t="s">
        <v>152</v>
      </c>
      <c r="KU5" s="90" t="s">
        <v>153</v>
      </c>
      <c r="KV5" s="90" t="s">
        <v>154</v>
      </c>
      <c r="KW5" s="90" t="s">
        <v>155</v>
      </c>
      <c r="KX5" s="90" t="s">
        <v>157</v>
      </c>
      <c r="KY5" s="90" t="s">
        <v>158</v>
      </c>
      <c r="KZ5" s="90" t="s">
        <v>159</v>
      </c>
      <c r="LA5" s="90" t="s">
        <v>160</v>
      </c>
      <c r="LB5" s="90" t="s">
        <v>161</v>
      </c>
      <c r="LC5" s="90" t="s">
        <v>162</v>
      </c>
      <c r="LD5" s="90" t="s">
        <v>163</v>
      </c>
      <c r="LE5" s="90" t="s">
        <v>164</v>
      </c>
      <c r="LF5" s="90" t="s">
        <v>165</v>
      </c>
      <c r="LG5" s="90" t="s">
        <v>166</v>
      </c>
    </row>
    <row r="6" spans="1:319" ht="14">
      <c r="A6" s="9">
        <v>5</v>
      </c>
      <c r="B6" s="11" t="s">
        <v>25</v>
      </c>
      <c r="C6" s="11" t="s">
        <v>26</v>
      </c>
      <c r="D6" s="9" t="s">
        <v>171</v>
      </c>
      <c r="E6" s="11" t="s">
        <v>28</v>
      </c>
      <c r="F6" s="11" t="s">
        <v>132</v>
      </c>
      <c r="G6" s="9" t="s">
        <v>24</v>
      </c>
      <c r="H6" s="11" t="s">
        <v>132</v>
      </c>
      <c r="I6" s="12">
        <f t="shared" ref="I6:V6" si="1">I7-20</f>
        <v>1230</v>
      </c>
      <c r="J6" s="12">
        <f t="shared" si="1"/>
        <v>1230</v>
      </c>
      <c r="K6" s="12">
        <f t="shared" si="1"/>
        <v>1230</v>
      </c>
      <c r="L6" s="12">
        <f t="shared" si="1"/>
        <v>1230</v>
      </c>
      <c r="M6" s="12">
        <f t="shared" si="1"/>
        <v>1230</v>
      </c>
      <c r="N6" s="12">
        <f t="shared" si="1"/>
        <v>1230</v>
      </c>
      <c r="O6" s="12">
        <f t="shared" si="1"/>
        <v>1250</v>
      </c>
      <c r="P6" s="12">
        <f t="shared" si="1"/>
        <v>1250</v>
      </c>
      <c r="Q6" s="12">
        <f t="shared" si="1"/>
        <v>1250</v>
      </c>
      <c r="R6" s="12">
        <f t="shared" si="1"/>
        <v>1250</v>
      </c>
      <c r="S6" s="12">
        <f t="shared" si="1"/>
        <v>1300</v>
      </c>
      <c r="T6" s="12">
        <f t="shared" si="1"/>
        <v>1300</v>
      </c>
      <c r="U6" s="12">
        <f t="shared" si="1"/>
        <v>1300</v>
      </c>
      <c r="V6" s="12">
        <f t="shared" si="1"/>
        <v>1300</v>
      </c>
      <c r="W6" s="36">
        <v>1450</v>
      </c>
      <c r="X6" s="36">
        <v>1550</v>
      </c>
      <c r="Y6" s="36">
        <v>1550</v>
      </c>
      <c r="Z6" s="36">
        <v>1550</v>
      </c>
      <c r="AA6" s="36">
        <v>1550</v>
      </c>
      <c r="AB6" s="12">
        <v>1480</v>
      </c>
      <c r="AC6" s="12">
        <v>1480</v>
      </c>
      <c r="AD6" s="50" t="e">
        <f>#REF!/AD4*1000</f>
        <v>#REF!</v>
      </c>
      <c r="AE6" s="50" t="e">
        <f>#REF!/AE4*1000</f>
        <v>#REF!</v>
      </c>
      <c r="AF6" s="50" t="e">
        <f>#REF!/AF4*1000</f>
        <v>#REF!</v>
      </c>
      <c r="AG6" s="50" t="e">
        <f>#REF!/AG4*1000</f>
        <v>#REF!</v>
      </c>
      <c r="AH6" s="50" t="e">
        <f>#REF!/AH4*1000</f>
        <v>#REF!</v>
      </c>
      <c r="AI6" s="50" t="e">
        <f>#REF!/AI4*1000</f>
        <v>#REF!</v>
      </c>
      <c r="AJ6" s="50" t="e">
        <f>#REF!/AJ4*1000</f>
        <v>#REF!</v>
      </c>
      <c r="AK6" s="50">
        <v>1330</v>
      </c>
      <c r="AL6" s="50">
        <f>+SUM(EG6:EJ6)/4</f>
        <v>1330</v>
      </c>
      <c r="AM6" s="12">
        <f>+SUM(EK6:EN6)/4</f>
        <v>1330</v>
      </c>
      <c r="AN6" s="12">
        <f>+SUM(EO6:EQ6)/COUNT(EO6:EQ6)</f>
        <v>1380</v>
      </c>
      <c r="AO6" s="12">
        <f>+SUM(ES6:EV6)/COUNT(ES6:EV6)</f>
        <v>1380</v>
      </c>
      <c r="AP6" s="12">
        <f>+SUM(EW6:FA6)/COUNT(EW6:FA6)</f>
        <v>1380</v>
      </c>
      <c r="AQ6" s="12">
        <f>+SUM(FB6:FE6)/COUNT(FB6:FE6)</f>
        <v>1325</v>
      </c>
      <c r="AR6" s="12">
        <f>+SUM(FF6:FI6)/COUNT(FF6:FI6)</f>
        <v>1275</v>
      </c>
      <c r="AS6" s="50">
        <f>FJ6</f>
        <v>1250</v>
      </c>
      <c r="AT6" s="50">
        <v>1250</v>
      </c>
      <c r="AU6" s="50">
        <v>1250</v>
      </c>
      <c r="AV6" s="50">
        <v>1250</v>
      </c>
      <c r="AW6" s="50">
        <v>1250</v>
      </c>
      <c r="AX6" s="50">
        <v>1250</v>
      </c>
      <c r="AY6" s="50">
        <v>1250</v>
      </c>
      <c r="AZ6" s="50">
        <v>1250</v>
      </c>
      <c r="BA6" s="50">
        <v>1250</v>
      </c>
      <c r="BB6" s="50">
        <v>1300</v>
      </c>
      <c r="BC6" s="50">
        <v>1300</v>
      </c>
      <c r="BD6" s="50">
        <v>1300</v>
      </c>
      <c r="BE6" s="50">
        <v>1300</v>
      </c>
      <c r="BF6" s="50">
        <v>1310</v>
      </c>
      <c r="BG6" s="50">
        <v>1325</v>
      </c>
      <c r="BH6" s="50">
        <v>1325</v>
      </c>
      <c r="BI6" s="50">
        <f>1325-50</f>
        <v>1275</v>
      </c>
      <c r="BJ6" s="50">
        <f>1325-50-45</f>
        <v>1230</v>
      </c>
      <c r="BK6" s="50">
        <f>1325-50-45</f>
        <v>1230</v>
      </c>
      <c r="BL6" s="50">
        <f>1325-50-45</f>
        <v>1230</v>
      </c>
      <c r="BM6" s="50">
        <f>1325-50-45+20</f>
        <v>1250</v>
      </c>
      <c r="BN6" s="50">
        <f>1325-50-45+20</f>
        <v>1250</v>
      </c>
      <c r="BO6" s="50">
        <f>1325-50-45+20</f>
        <v>1250</v>
      </c>
      <c r="BP6" s="50">
        <f>1325-50-45+20</f>
        <v>1250</v>
      </c>
      <c r="BQ6" s="50">
        <f>1325-50-45+20-30</f>
        <v>1220</v>
      </c>
      <c r="BR6" s="50">
        <f>1325-50-45+20-30</f>
        <v>1220</v>
      </c>
      <c r="BS6" s="50">
        <f>1325-50-45+20-30-10</f>
        <v>1210</v>
      </c>
      <c r="BT6" s="50">
        <f>1325-50-45+20-30-10-10</f>
        <v>1200</v>
      </c>
      <c r="BU6" s="50">
        <f>1325-50-45+20-30-10-10</f>
        <v>1200</v>
      </c>
      <c r="BV6" s="50">
        <f>1325-50-45+20-30-10-10-40</f>
        <v>1160</v>
      </c>
      <c r="BW6" s="50">
        <f>1325-50-45+20-30-10-10-40</f>
        <v>1160</v>
      </c>
      <c r="BX6" s="50">
        <v>1160</v>
      </c>
      <c r="BY6" s="50">
        <v>1280</v>
      </c>
      <c r="BZ6" s="50">
        <v>1380</v>
      </c>
      <c r="CA6" s="50">
        <v>1350</v>
      </c>
      <c r="CB6" s="50">
        <v>1330</v>
      </c>
      <c r="CD6" s="9" t="s">
        <v>27</v>
      </c>
      <c r="CE6" s="11" t="s">
        <v>28</v>
      </c>
      <c r="CF6" s="112" t="s">
        <v>132</v>
      </c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2">
        <v>1550</v>
      </c>
      <c r="DE6" s="12">
        <v>1550</v>
      </c>
      <c r="DF6" s="12">
        <v>1550</v>
      </c>
      <c r="DG6" s="12">
        <v>1550</v>
      </c>
      <c r="DH6" s="12">
        <v>1550</v>
      </c>
      <c r="DI6" s="12">
        <v>1550</v>
      </c>
      <c r="DJ6" s="12">
        <v>1550</v>
      </c>
      <c r="DK6" s="12">
        <v>1480</v>
      </c>
      <c r="DL6" s="12">
        <v>1480</v>
      </c>
      <c r="DM6" s="12">
        <v>1480</v>
      </c>
      <c r="DN6" s="12">
        <v>1480</v>
      </c>
      <c r="DO6" s="12">
        <v>1480</v>
      </c>
      <c r="DP6" s="12">
        <v>1410</v>
      </c>
      <c r="DQ6" s="12">
        <v>1410</v>
      </c>
      <c r="DR6" s="12">
        <v>1410</v>
      </c>
      <c r="DS6" s="12">
        <v>1410</v>
      </c>
      <c r="DT6" s="12" t="e">
        <f>#REF!/DT4*1000</f>
        <v>#REF!</v>
      </c>
      <c r="DU6" s="50" t="e">
        <f>#REF!/DU4*1000</f>
        <v>#REF!</v>
      </c>
      <c r="DV6" s="50" t="e">
        <f>#REF!/DV4*1000</f>
        <v>#REF!</v>
      </c>
      <c r="DW6" s="50" t="e">
        <f>#REF!/DW4*1000</f>
        <v>#REF!</v>
      </c>
      <c r="DX6" s="50">
        <v>1380</v>
      </c>
      <c r="DY6" s="50">
        <v>1380</v>
      </c>
      <c r="DZ6" s="50">
        <v>1380</v>
      </c>
      <c r="EA6" s="50">
        <v>1380</v>
      </c>
      <c r="EB6" s="50">
        <v>1380</v>
      </c>
      <c r="EC6" s="50">
        <v>1380</v>
      </c>
      <c r="ED6" s="50">
        <v>1380</v>
      </c>
      <c r="EE6" s="50">
        <v>1330</v>
      </c>
      <c r="EF6" s="50">
        <v>1330</v>
      </c>
      <c r="EG6" s="50">
        <v>1330</v>
      </c>
      <c r="EH6" s="50">
        <v>1330</v>
      </c>
      <c r="EI6" s="50">
        <v>1330</v>
      </c>
      <c r="EJ6" s="50">
        <v>1330</v>
      </c>
      <c r="EK6" s="50">
        <v>1330</v>
      </c>
      <c r="EL6" s="50">
        <v>1330</v>
      </c>
      <c r="EM6" s="50">
        <v>1330</v>
      </c>
      <c r="EN6" s="50">
        <v>1330</v>
      </c>
      <c r="EO6" s="50">
        <v>1380</v>
      </c>
      <c r="EP6" s="50">
        <v>1380</v>
      </c>
      <c r="EQ6" s="50">
        <v>1380</v>
      </c>
      <c r="ER6" s="50">
        <v>1380</v>
      </c>
      <c r="ES6" s="50">
        <v>1380</v>
      </c>
      <c r="ET6" s="50">
        <v>1380</v>
      </c>
      <c r="EU6" s="50">
        <v>1380</v>
      </c>
      <c r="EV6" s="50">
        <v>1380</v>
      </c>
      <c r="EW6" s="50">
        <v>1380</v>
      </c>
      <c r="EX6" s="50">
        <v>1380</v>
      </c>
      <c r="EY6" s="50">
        <v>1380</v>
      </c>
      <c r="EZ6" s="50">
        <v>1380</v>
      </c>
      <c r="FA6" s="50">
        <v>1380</v>
      </c>
      <c r="FB6" s="50">
        <v>1350</v>
      </c>
      <c r="FC6" s="50">
        <v>1350</v>
      </c>
      <c r="FD6" s="50">
        <v>1300</v>
      </c>
      <c r="FE6" s="50">
        <v>1300</v>
      </c>
      <c r="FF6" s="50">
        <v>1300</v>
      </c>
      <c r="FG6" s="50">
        <v>1300</v>
      </c>
      <c r="FH6" s="50">
        <v>1250</v>
      </c>
      <c r="FI6" s="50">
        <v>1250</v>
      </c>
      <c r="FJ6" s="50">
        <v>1250</v>
      </c>
      <c r="FK6" s="50">
        <v>1250</v>
      </c>
      <c r="FL6" s="50">
        <v>1250</v>
      </c>
      <c r="FM6" s="50">
        <v>1250</v>
      </c>
      <c r="FN6" s="50">
        <v>1250</v>
      </c>
      <c r="FO6" s="50">
        <v>1250</v>
      </c>
      <c r="FP6" s="50">
        <v>1250</v>
      </c>
      <c r="FQ6" s="50">
        <v>1250</v>
      </c>
      <c r="FR6" s="50">
        <v>1250</v>
      </c>
      <c r="FS6" s="50">
        <v>1250</v>
      </c>
      <c r="FT6" s="50">
        <v>1250</v>
      </c>
      <c r="FU6" s="50">
        <v>1250</v>
      </c>
      <c r="FV6" s="50">
        <v>1250</v>
      </c>
      <c r="FW6" s="50">
        <v>1250</v>
      </c>
      <c r="FX6" s="50">
        <v>1250</v>
      </c>
      <c r="FY6" s="50">
        <v>1250</v>
      </c>
      <c r="FZ6" s="50">
        <v>1250</v>
      </c>
      <c r="GA6" s="50">
        <v>1250</v>
      </c>
      <c r="GB6" s="50">
        <v>1250</v>
      </c>
      <c r="GC6" s="50">
        <v>1250</v>
      </c>
      <c r="GD6" s="50">
        <v>1250</v>
      </c>
      <c r="GE6" s="50">
        <v>1250</v>
      </c>
      <c r="GF6" s="50">
        <v>1250</v>
      </c>
      <c r="GG6" s="50">
        <v>1250</v>
      </c>
      <c r="GH6" s="50">
        <v>1250</v>
      </c>
      <c r="GI6" s="50">
        <v>1250</v>
      </c>
      <c r="GJ6" s="50">
        <v>1250</v>
      </c>
      <c r="GK6" s="50">
        <v>1250</v>
      </c>
      <c r="GL6" s="50">
        <v>1250</v>
      </c>
      <c r="GM6" s="50">
        <v>1250</v>
      </c>
      <c r="GN6" s="50">
        <v>1250</v>
      </c>
      <c r="GO6" s="50">
        <v>1250</v>
      </c>
      <c r="GP6" s="50">
        <v>1250</v>
      </c>
      <c r="GQ6" s="50">
        <v>1250</v>
      </c>
      <c r="GR6" s="50">
        <v>1250</v>
      </c>
      <c r="GS6" s="50">
        <v>1250</v>
      </c>
      <c r="GT6" s="50">
        <v>1250</v>
      </c>
      <c r="GU6" s="50">
        <v>1300</v>
      </c>
      <c r="GV6" s="50">
        <v>1300</v>
      </c>
      <c r="GW6" s="50">
        <v>1300</v>
      </c>
      <c r="GX6" s="50">
        <v>1300</v>
      </c>
      <c r="GY6" s="50">
        <v>1300</v>
      </c>
      <c r="GZ6" s="50">
        <v>1300</v>
      </c>
      <c r="HA6" s="50">
        <v>1300</v>
      </c>
      <c r="HB6" s="50">
        <v>1300</v>
      </c>
      <c r="HC6" s="50">
        <v>1300</v>
      </c>
      <c r="HD6" s="50">
        <v>1300</v>
      </c>
      <c r="HE6" s="50">
        <v>1300</v>
      </c>
      <c r="HF6" s="50">
        <v>1300</v>
      </c>
      <c r="HG6" s="50">
        <v>1300</v>
      </c>
      <c r="HH6" s="50">
        <v>1300</v>
      </c>
      <c r="HI6" s="50">
        <v>1300</v>
      </c>
      <c r="HJ6" s="50">
        <v>1300</v>
      </c>
      <c r="HK6" s="50">
        <v>1300</v>
      </c>
      <c r="HL6" s="50">
        <v>1300</v>
      </c>
      <c r="HM6" s="50">
        <v>1310</v>
      </c>
      <c r="HN6" s="50">
        <v>1310</v>
      </c>
      <c r="HO6" s="50">
        <v>1310</v>
      </c>
      <c r="HP6" s="50">
        <v>1310</v>
      </c>
      <c r="HQ6" s="50">
        <v>1325</v>
      </c>
      <c r="HR6" s="50">
        <v>1325</v>
      </c>
      <c r="HS6" s="50">
        <v>1325</v>
      </c>
      <c r="HT6" s="50">
        <v>1325</v>
      </c>
      <c r="HU6" s="50">
        <v>1325</v>
      </c>
      <c r="HV6" s="50">
        <v>1325</v>
      </c>
      <c r="HW6" s="50">
        <v>1325</v>
      </c>
      <c r="HX6" s="50">
        <v>1325</v>
      </c>
      <c r="HY6" s="50">
        <v>1325</v>
      </c>
      <c r="HZ6" s="50">
        <f>1325-50</f>
        <v>1275</v>
      </c>
      <c r="IA6" s="50">
        <f>HZ6</f>
        <v>1275</v>
      </c>
      <c r="IB6" s="50">
        <f t="shared" ref="IB6:IC6" si="2">IA6</f>
        <v>1275</v>
      </c>
      <c r="IC6" s="50">
        <f t="shared" si="2"/>
        <v>1275</v>
      </c>
      <c r="ID6" s="50">
        <v>1230</v>
      </c>
      <c r="IE6" s="50">
        <f t="shared" ref="IE6:IG6" si="3">ID6</f>
        <v>1230</v>
      </c>
      <c r="IF6" s="50">
        <f t="shared" si="3"/>
        <v>1230</v>
      </c>
      <c r="IG6" s="50">
        <f t="shared" si="3"/>
        <v>1230</v>
      </c>
      <c r="IH6" s="50">
        <f>IG6</f>
        <v>1230</v>
      </c>
      <c r="II6" s="50">
        <f t="shared" ref="II6:IM6" si="4">IH6</f>
        <v>1230</v>
      </c>
      <c r="IJ6" s="50">
        <f t="shared" si="4"/>
        <v>1230</v>
      </c>
      <c r="IK6" s="50">
        <f t="shared" si="4"/>
        <v>1230</v>
      </c>
      <c r="IL6" s="50">
        <f t="shared" si="4"/>
        <v>1230</v>
      </c>
      <c r="IM6" s="50">
        <f t="shared" si="4"/>
        <v>1230</v>
      </c>
      <c r="IN6" s="50">
        <f t="shared" ref="IN6" si="5">IM6</f>
        <v>1230</v>
      </c>
      <c r="IO6" s="50">
        <f t="shared" ref="IO6" si="6">IN6</f>
        <v>1230</v>
      </c>
      <c r="IP6" s="50">
        <f>IO6+20</f>
        <v>1250</v>
      </c>
      <c r="IQ6" s="50">
        <f t="shared" ref="IQ6" si="7">IP6</f>
        <v>1250</v>
      </c>
      <c r="IR6" s="50">
        <f t="shared" ref="IR6" si="8">IQ6</f>
        <v>1250</v>
      </c>
      <c r="IS6" s="50">
        <f t="shared" ref="IS6:IT6" si="9">IR6</f>
        <v>1250</v>
      </c>
      <c r="IT6" s="50">
        <f t="shared" si="9"/>
        <v>1250</v>
      </c>
      <c r="IU6" s="50">
        <f t="shared" ref="IU6" si="10">IT6</f>
        <v>1250</v>
      </c>
      <c r="IV6" s="50">
        <f t="shared" ref="IV6" si="11">IU6</f>
        <v>1250</v>
      </c>
      <c r="IW6" s="50">
        <f t="shared" ref="IW6" si="12">IV6</f>
        <v>1250</v>
      </c>
      <c r="IX6" s="50">
        <f t="shared" ref="IX6" si="13">IW6</f>
        <v>1250</v>
      </c>
      <c r="IY6" s="181">
        <v>1223.0834518238944</v>
      </c>
      <c r="IZ6" s="181">
        <v>1225.2286130144778</v>
      </c>
      <c r="JA6" s="181">
        <v>1219.8594659765122</v>
      </c>
      <c r="JB6" s="181">
        <v>1219.0530532801668</v>
      </c>
      <c r="JC6" s="181">
        <v>1215.2889161210533</v>
      </c>
      <c r="JD6" s="181">
        <v>1228.3131376081585</v>
      </c>
      <c r="JE6" s="181">
        <v>1216.0902473013</v>
      </c>
      <c r="JF6" s="181">
        <v>1220.5681658529486</v>
      </c>
      <c r="JG6" s="181">
        <v>1216.9073448021679</v>
      </c>
      <c r="JH6" s="181">
        <v>1204.4734152440301</v>
      </c>
      <c r="JI6" s="181">
        <v>1187.6813772398909</v>
      </c>
      <c r="JJ6" s="50">
        <v>1220</v>
      </c>
      <c r="JK6" s="50">
        <f t="shared" ref="JK6" si="14">JJ6</f>
        <v>1220</v>
      </c>
      <c r="JL6" s="50">
        <f t="shared" ref="JL6" si="15">JK6</f>
        <v>1220</v>
      </c>
      <c r="JM6" s="50">
        <f t="shared" ref="JM6" si="16">JL6</f>
        <v>1220</v>
      </c>
      <c r="JN6" s="50">
        <f t="shared" ref="JN6" si="17">JM6</f>
        <v>1220</v>
      </c>
      <c r="JO6" s="50">
        <f t="shared" ref="JO6" si="18">JN6</f>
        <v>1220</v>
      </c>
      <c r="JP6" s="50">
        <v>1210</v>
      </c>
      <c r="JQ6" s="50">
        <f t="shared" ref="JQ6" si="19">JP6</f>
        <v>1210</v>
      </c>
      <c r="JR6" s="50">
        <f t="shared" ref="JR6" si="20">JQ6</f>
        <v>1210</v>
      </c>
      <c r="JS6" s="50">
        <f t="shared" ref="JS6" si="21">JR6</f>
        <v>1210</v>
      </c>
      <c r="JT6" s="50">
        <v>1210</v>
      </c>
      <c r="JU6" s="50">
        <v>1200</v>
      </c>
      <c r="JV6" s="50">
        <v>1200</v>
      </c>
      <c r="JW6" s="50">
        <v>1200</v>
      </c>
      <c r="JX6" s="50">
        <v>1200</v>
      </c>
      <c r="JY6" s="50">
        <v>1200</v>
      </c>
      <c r="JZ6" s="50">
        <v>1200</v>
      </c>
      <c r="KA6" s="50">
        <v>1200</v>
      </c>
      <c r="KB6" s="50">
        <v>1200</v>
      </c>
      <c r="KC6" s="50">
        <v>1160</v>
      </c>
      <c r="KD6" s="50">
        <v>1160</v>
      </c>
      <c r="KE6" s="50">
        <v>1160</v>
      </c>
      <c r="KF6" s="50">
        <v>1160</v>
      </c>
      <c r="KG6" s="50">
        <v>1160</v>
      </c>
      <c r="KH6" s="50">
        <v>1160</v>
      </c>
      <c r="KI6" s="50">
        <v>1160</v>
      </c>
      <c r="KJ6" s="50">
        <v>1160</v>
      </c>
      <c r="KK6" s="50">
        <v>1160</v>
      </c>
      <c r="KL6" s="50">
        <v>1160</v>
      </c>
      <c r="KM6" s="50">
        <v>1160</v>
      </c>
      <c r="KN6" s="50">
        <f>1160+50</f>
        <v>1210</v>
      </c>
      <c r="KO6" s="50">
        <v>1280</v>
      </c>
      <c r="KP6" s="50">
        <v>1280</v>
      </c>
      <c r="KQ6" s="50">
        <v>1280</v>
      </c>
      <c r="KR6" s="50">
        <v>1310</v>
      </c>
      <c r="KS6" s="50">
        <v>1380</v>
      </c>
      <c r="KT6" s="50">
        <v>1380</v>
      </c>
      <c r="KU6" s="50">
        <v>1380</v>
      </c>
      <c r="KV6" s="50">
        <v>1380</v>
      </c>
      <c r="KW6" s="50">
        <v>1380</v>
      </c>
      <c r="KX6" s="50">
        <v>1380</v>
      </c>
      <c r="KY6" s="50">
        <v>1350</v>
      </c>
      <c r="KZ6" s="50">
        <v>1350</v>
      </c>
      <c r="LA6" s="50">
        <v>1350</v>
      </c>
      <c r="LB6" s="50">
        <v>1350</v>
      </c>
      <c r="LC6" s="50">
        <v>1330</v>
      </c>
      <c r="LD6" s="50">
        <v>1330</v>
      </c>
      <c r="LE6" s="50"/>
      <c r="LF6" s="50"/>
      <c r="LG6" s="50"/>
    </row>
    <row r="7" spans="1:319" ht="14" hidden="1">
      <c r="A7" s="9">
        <v>6</v>
      </c>
      <c r="B7" s="11" t="s">
        <v>25</v>
      </c>
      <c r="C7" s="11" t="s">
        <v>26</v>
      </c>
      <c r="D7" s="9" t="s">
        <v>27</v>
      </c>
      <c r="E7" s="11" t="s">
        <v>28</v>
      </c>
      <c r="F7" s="11" t="s">
        <v>61</v>
      </c>
      <c r="G7" s="9" t="s">
        <v>24</v>
      </c>
      <c r="H7" s="112" t="s">
        <v>132</v>
      </c>
      <c r="I7" s="12">
        <v>1250</v>
      </c>
      <c r="J7" s="12">
        <v>1250</v>
      </c>
      <c r="K7" s="12">
        <v>1250</v>
      </c>
      <c r="L7" s="12">
        <v>1250</v>
      </c>
      <c r="M7" s="12">
        <v>1250</v>
      </c>
      <c r="N7" s="12">
        <v>1250</v>
      </c>
      <c r="O7" s="12">
        <v>1270</v>
      </c>
      <c r="P7" s="12">
        <v>1270</v>
      </c>
      <c r="Q7" s="12">
        <v>1270</v>
      </c>
      <c r="R7" s="12">
        <v>1270</v>
      </c>
      <c r="S7" s="12">
        <v>1320</v>
      </c>
      <c r="T7" s="12">
        <v>1320</v>
      </c>
      <c r="U7" s="12">
        <v>1320</v>
      </c>
      <c r="V7" s="12">
        <v>1320</v>
      </c>
      <c r="W7" s="36">
        <f>W6+20</f>
        <v>1470</v>
      </c>
      <c r="X7" s="36">
        <f>X6+20</f>
        <v>1570</v>
      </c>
      <c r="Y7" s="36">
        <f>Y6+20</f>
        <v>1570</v>
      </c>
      <c r="Z7" s="36">
        <f>Z6+20</f>
        <v>1570</v>
      </c>
      <c r="AA7" s="36">
        <f>AA6+20</f>
        <v>1570</v>
      </c>
      <c r="AB7" s="12">
        <v>1500</v>
      </c>
      <c r="AC7" s="12">
        <f t="shared" ref="AC7:AK7" si="22">AC6+20</f>
        <v>1500</v>
      </c>
      <c r="AD7" s="12" t="e">
        <f t="shared" si="22"/>
        <v>#REF!</v>
      </c>
      <c r="AE7" s="12" t="e">
        <f t="shared" si="22"/>
        <v>#REF!</v>
      </c>
      <c r="AF7" s="12" t="e">
        <f t="shared" si="22"/>
        <v>#REF!</v>
      </c>
      <c r="AG7" s="12" t="e">
        <f t="shared" si="22"/>
        <v>#REF!</v>
      </c>
      <c r="AH7" s="12" t="e">
        <f t="shared" si="22"/>
        <v>#REF!</v>
      </c>
      <c r="AI7" s="12" t="e">
        <f t="shared" si="22"/>
        <v>#REF!</v>
      </c>
      <c r="AJ7" s="12" t="e">
        <f t="shared" si="22"/>
        <v>#REF!</v>
      </c>
      <c r="AK7" s="12">
        <f t="shared" si="22"/>
        <v>1350</v>
      </c>
      <c r="AL7" s="12">
        <f>+SUM(EG7:EJ7)/4</f>
        <v>1330</v>
      </c>
      <c r="AM7" s="12">
        <f>+SUM(EH7:EK7)/4</f>
        <v>1330</v>
      </c>
      <c r="AN7" s="12">
        <f>+SUM(EO7:EQ7)/COUNT(EO7:EQ7)</f>
        <v>1380</v>
      </c>
      <c r="AO7" s="12">
        <f>+SUM(ES7:EV7)/COUNT(ES7:EV7)</f>
        <v>1380</v>
      </c>
      <c r="AP7" s="12">
        <f>+SUM(EW7:FA7)/COUNT(EW7:FA7)</f>
        <v>1380</v>
      </c>
      <c r="AQ7" s="12">
        <f>+SUM(FB7:FE7)/COUNT(FB7:FE7)</f>
        <v>1325</v>
      </c>
      <c r="AR7" s="12">
        <f>+SUM(FF7:FI7)/COUNT(FF7:FI7)</f>
        <v>1275</v>
      </c>
      <c r="AS7" s="50">
        <f>+SUM(FJ7:FN7)/COUNT(FJ7:FN7)</f>
        <v>1250</v>
      </c>
      <c r="AT7" s="50">
        <f t="shared" ref="AT7:CB8" si="23">FO7</f>
        <v>1250</v>
      </c>
      <c r="AU7" s="50">
        <f t="shared" si="23"/>
        <v>1250</v>
      </c>
      <c r="AV7" s="50">
        <f t="shared" si="23"/>
        <v>1250</v>
      </c>
      <c r="AW7" s="50">
        <f t="shared" si="23"/>
        <v>1250</v>
      </c>
      <c r="AX7" s="50">
        <f t="shared" si="23"/>
        <v>1250</v>
      </c>
      <c r="AY7" s="50">
        <f t="shared" si="23"/>
        <v>1250</v>
      </c>
      <c r="AZ7" s="50">
        <f t="shared" si="23"/>
        <v>1250</v>
      </c>
      <c r="BA7" s="50">
        <f t="shared" si="23"/>
        <v>1250</v>
      </c>
      <c r="BB7" s="50">
        <v>1300</v>
      </c>
      <c r="BC7" s="50">
        <v>1300</v>
      </c>
      <c r="BD7" s="50">
        <v>1300</v>
      </c>
      <c r="BE7" s="50">
        <v>1300</v>
      </c>
      <c r="BF7" s="50">
        <v>1300</v>
      </c>
      <c r="BG7" s="50">
        <v>1300</v>
      </c>
      <c r="BH7" s="50">
        <v>1300</v>
      </c>
      <c r="BI7" s="50">
        <v>1300</v>
      </c>
      <c r="BJ7" s="50">
        <v>1300</v>
      </c>
      <c r="BK7" s="50">
        <v>1300</v>
      </c>
      <c r="BL7" s="50">
        <v>1300</v>
      </c>
      <c r="BM7" s="50">
        <v>1300</v>
      </c>
      <c r="BN7" s="50">
        <v>1300</v>
      </c>
      <c r="BO7" s="50">
        <v>1300</v>
      </c>
      <c r="BP7" s="50">
        <v>1300</v>
      </c>
      <c r="BQ7" s="50">
        <v>1300</v>
      </c>
      <c r="BR7" s="50">
        <v>1300</v>
      </c>
      <c r="BS7" s="50">
        <v>1300</v>
      </c>
      <c r="BT7" s="50">
        <v>1300</v>
      </c>
      <c r="BU7" s="50">
        <v>1300</v>
      </c>
      <c r="BV7" s="50">
        <v>1300</v>
      </c>
      <c r="BW7" s="50">
        <v>1300</v>
      </c>
      <c r="BX7" s="50">
        <v>1300</v>
      </c>
      <c r="BY7" s="50">
        <v>1300</v>
      </c>
      <c r="BZ7" s="50">
        <v>1300</v>
      </c>
      <c r="CA7" s="50">
        <v>1300</v>
      </c>
      <c r="CB7" s="50">
        <v>1300</v>
      </c>
      <c r="CC7" s="51"/>
      <c r="CD7" s="9" t="s">
        <v>101</v>
      </c>
      <c r="CE7" s="11" t="s">
        <v>28</v>
      </c>
      <c r="CF7" s="112" t="s">
        <v>132</v>
      </c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2">
        <f t="shared" ref="DD7:DW7" si="24">DD6+20</f>
        <v>1570</v>
      </c>
      <c r="DE7" s="12">
        <f t="shared" si="24"/>
        <v>1570</v>
      </c>
      <c r="DF7" s="12">
        <f t="shared" si="24"/>
        <v>1570</v>
      </c>
      <c r="DG7" s="12">
        <f t="shared" si="24"/>
        <v>1570</v>
      </c>
      <c r="DH7" s="12">
        <f t="shared" si="24"/>
        <v>1570</v>
      </c>
      <c r="DI7" s="12">
        <f t="shared" si="24"/>
        <v>1570</v>
      </c>
      <c r="DJ7" s="12">
        <f t="shared" si="24"/>
        <v>1570</v>
      </c>
      <c r="DK7" s="12">
        <f t="shared" si="24"/>
        <v>1500</v>
      </c>
      <c r="DL7" s="12">
        <f t="shared" si="24"/>
        <v>1500</v>
      </c>
      <c r="DM7" s="12">
        <f t="shared" si="24"/>
        <v>1500</v>
      </c>
      <c r="DN7" s="12">
        <f t="shared" si="24"/>
        <v>1500</v>
      </c>
      <c r="DO7" s="12">
        <f t="shared" si="24"/>
        <v>1500</v>
      </c>
      <c r="DP7" s="12">
        <f t="shared" si="24"/>
        <v>1430</v>
      </c>
      <c r="DQ7" s="12">
        <f t="shared" si="24"/>
        <v>1430</v>
      </c>
      <c r="DR7" s="12">
        <f t="shared" si="24"/>
        <v>1430</v>
      </c>
      <c r="DS7" s="12">
        <f t="shared" si="24"/>
        <v>1430</v>
      </c>
      <c r="DT7" s="12" t="e">
        <f t="shared" si="24"/>
        <v>#REF!</v>
      </c>
      <c r="DU7" s="50" t="e">
        <f t="shared" si="24"/>
        <v>#REF!</v>
      </c>
      <c r="DV7" s="12" t="e">
        <f t="shared" si="24"/>
        <v>#REF!</v>
      </c>
      <c r="DW7" s="12" t="e">
        <f t="shared" si="24"/>
        <v>#REF!</v>
      </c>
      <c r="DX7" s="12">
        <v>1400</v>
      </c>
      <c r="DY7" s="12">
        <v>1400</v>
      </c>
      <c r="DZ7" s="12">
        <v>1400</v>
      </c>
      <c r="EA7" s="12">
        <v>1400</v>
      </c>
      <c r="EB7" s="12">
        <v>1400</v>
      </c>
      <c r="EC7" s="12">
        <v>1400</v>
      </c>
      <c r="ED7" s="12">
        <v>1400</v>
      </c>
      <c r="EE7" s="12">
        <v>1350</v>
      </c>
      <c r="EF7" s="12">
        <v>1350</v>
      </c>
      <c r="EG7" s="12">
        <f t="shared" ref="EG7:FL7" si="25">EG6</f>
        <v>1330</v>
      </c>
      <c r="EH7" s="12">
        <f t="shared" si="25"/>
        <v>1330</v>
      </c>
      <c r="EI7" s="12">
        <f t="shared" si="25"/>
        <v>1330</v>
      </c>
      <c r="EJ7" s="12">
        <f t="shared" si="25"/>
        <v>1330</v>
      </c>
      <c r="EK7" s="12">
        <f t="shared" si="25"/>
        <v>1330</v>
      </c>
      <c r="EL7" s="12">
        <f t="shared" si="25"/>
        <v>1330</v>
      </c>
      <c r="EM7" s="12">
        <f t="shared" si="25"/>
        <v>1330</v>
      </c>
      <c r="EN7" s="12">
        <f t="shared" si="25"/>
        <v>1330</v>
      </c>
      <c r="EO7" s="12">
        <f t="shared" si="25"/>
        <v>1380</v>
      </c>
      <c r="EP7" s="12">
        <f t="shared" si="25"/>
        <v>1380</v>
      </c>
      <c r="EQ7" s="12">
        <f t="shared" si="25"/>
        <v>1380</v>
      </c>
      <c r="ER7" s="12">
        <f t="shared" si="25"/>
        <v>1380</v>
      </c>
      <c r="ES7" s="12">
        <f t="shared" si="25"/>
        <v>1380</v>
      </c>
      <c r="ET7" s="12">
        <f t="shared" si="25"/>
        <v>1380</v>
      </c>
      <c r="EU7" s="12">
        <f t="shared" si="25"/>
        <v>1380</v>
      </c>
      <c r="EV7" s="12">
        <f t="shared" si="25"/>
        <v>1380</v>
      </c>
      <c r="EW7" s="12">
        <f t="shared" si="25"/>
        <v>1380</v>
      </c>
      <c r="EX7" s="12">
        <f t="shared" si="25"/>
        <v>1380</v>
      </c>
      <c r="EY7" s="12">
        <f t="shared" si="25"/>
        <v>1380</v>
      </c>
      <c r="EZ7" s="12">
        <f t="shared" si="25"/>
        <v>1380</v>
      </c>
      <c r="FA7" s="12">
        <f t="shared" si="25"/>
        <v>1380</v>
      </c>
      <c r="FB7" s="12">
        <f t="shared" si="25"/>
        <v>1350</v>
      </c>
      <c r="FC7" s="12">
        <f t="shared" si="25"/>
        <v>1350</v>
      </c>
      <c r="FD7" s="12">
        <f t="shared" si="25"/>
        <v>1300</v>
      </c>
      <c r="FE7" s="12">
        <f t="shared" si="25"/>
        <v>1300</v>
      </c>
      <c r="FF7" s="12">
        <f t="shared" si="25"/>
        <v>1300</v>
      </c>
      <c r="FG7" s="12">
        <f t="shared" si="25"/>
        <v>1300</v>
      </c>
      <c r="FH7" s="12">
        <f t="shared" si="25"/>
        <v>1250</v>
      </c>
      <c r="FI7" s="12">
        <f t="shared" si="25"/>
        <v>1250</v>
      </c>
      <c r="FJ7" s="12">
        <f t="shared" si="25"/>
        <v>1250</v>
      </c>
      <c r="FK7" s="12">
        <f t="shared" si="25"/>
        <v>1250</v>
      </c>
      <c r="FL7" s="12">
        <f t="shared" si="25"/>
        <v>1250</v>
      </c>
      <c r="FM7" s="12">
        <f t="shared" ref="FM7:GD7" si="26">FM6</f>
        <v>1250</v>
      </c>
      <c r="FN7" s="12">
        <f t="shared" si="26"/>
        <v>1250</v>
      </c>
      <c r="FO7" s="12">
        <f t="shared" si="26"/>
        <v>1250</v>
      </c>
      <c r="FP7" s="12">
        <f t="shared" si="26"/>
        <v>1250</v>
      </c>
      <c r="FQ7" s="12">
        <f t="shared" si="26"/>
        <v>1250</v>
      </c>
      <c r="FR7" s="12">
        <f t="shared" si="26"/>
        <v>1250</v>
      </c>
      <c r="FS7" s="12">
        <f t="shared" si="26"/>
        <v>1250</v>
      </c>
      <c r="FT7" s="12">
        <f t="shared" si="26"/>
        <v>1250</v>
      </c>
      <c r="FU7" s="12">
        <f t="shared" si="26"/>
        <v>1250</v>
      </c>
      <c r="FV7" s="12">
        <f t="shared" si="26"/>
        <v>1250</v>
      </c>
      <c r="FW7" s="12">
        <f t="shared" si="26"/>
        <v>1250</v>
      </c>
      <c r="FX7" s="12">
        <f t="shared" si="26"/>
        <v>1250</v>
      </c>
      <c r="FY7" s="12">
        <f t="shared" si="26"/>
        <v>1250</v>
      </c>
      <c r="FZ7" s="12">
        <f t="shared" si="26"/>
        <v>1250</v>
      </c>
      <c r="GA7" s="12">
        <f t="shared" si="26"/>
        <v>1250</v>
      </c>
      <c r="GB7" s="12">
        <f t="shared" si="26"/>
        <v>1250</v>
      </c>
      <c r="GC7" s="12">
        <f t="shared" si="26"/>
        <v>1250</v>
      </c>
      <c r="GD7" s="12">
        <f t="shared" si="26"/>
        <v>1250</v>
      </c>
      <c r="GE7" s="12">
        <v>1250</v>
      </c>
      <c r="GF7" s="12">
        <v>1250</v>
      </c>
      <c r="GG7" s="12">
        <v>1250</v>
      </c>
      <c r="GH7" s="12">
        <v>1250</v>
      </c>
      <c r="GI7" s="12">
        <v>1250</v>
      </c>
      <c r="GJ7" s="12">
        <v>1250</v>
      </c>
      <c r="GK7" s="12">
        <v>1250</v>
      </c>
      <c r="GL7" s="12">
        <v>1250</v>
      </c>
      <c r="GM7" s="12">
        <v>1250</v>
      </c>
      <c r="GN7" s="12">
        <v>1250</v>
      </c>
      <c r="GO7" s="12">
        <v>1250</v>
      </c>
      <c r="GP7" s="12">
        <v>1250</v>
      </c>
      <c r="GQ7" s="12">
        <v>1250</v>
      </c>
      <c r="GR7" s="12">
        <v>1250</v>
      </c>
      <c r="GS7" s="12">
        <v>1250</v>
      </c>
      <c r="GT7" s="12">
        <v>1250</v>
      </c>
      <c r="GU7" s="12">
        <v>1250</v>
      </c>
      <c r="GV7" s="12">
        <v>1250</v>
      </c>
      <c r="GW7" s="12">
        <v>1250</v>
      </c>
      <c r="GX7" s="12">
        <v>1250</v>
      </c>
      <c r="GY7" s="12">
        <v>1250</v>
      </c>
      <c r="GZ7" s="12">
        <v>1250</v>
      </c>
      <c r="HA7" s="12">
        <v>1250</v>
      </c>
      <c r="HB7" s="12">
        <v>1250</v>
      </c>
      <c r="HC7" s="12">
        <v>1250</v>
      </c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</row>
    <row r="8" spans="1:319" ht="14" hidden="1">
      <c r="A8" s="9">
        <v>7</v>
      </c>
      <c r="B8" s="11" t="s">
        <v>32</v>
      </c>
      <c r="C8" s="11" t="s">
        <v>33</v>
      </c>
      <c r="D8" s="9" t="s">
        <v>34</v>
      </c>
      <c r="E8" s="11" t="s">
        <v>35</v>
      </c>
      <c r="F8" s="11" t="s">
        <v>62</v>
      </c>
      <c r="G8" s="9" t="s">
        <v>24</v>
      </c>
      <c r="H8" s="11" t="s">
        <v>72</v>
      </c>
      <c r="I8" s="12">
        <f t="shared" ref="I8:S8" si="27">I7+30</f>
        <v>1280</v>
      </c>
      <c r="J8" s="12">
        <f t="shared" si="27"/>
        <v>1280</v>
      </c>
      <c r="K8" s="12">
        <f t="shared" si="27"/>
        <v>1280</v>
      </c>
      <c r="L8" s="12">
        <f t="shared" si="27"/>
        <v>1280</v>
      </c>
      <c r="M8" s="12">
        <f t="shared" si="27"/>
        <v>1280</v>
      </c>
      <c r="N8" s="12">
        <f t="shared" si="27"/>
        <v>1280</v>
      </c>
      <c r="O8" s="12">
        <f t="shared" si="27"/>
        <v>1300</v>
      </c>
      <c r="P8" s="12">
        <f t="shared" si="27"/>
        <v>1300</v>
      </c>
      <c r="Q8" s="12">
        <f t="shared" si="27"/>
        <v>1300</v>
      </c>
      <c r="R8" s="12">
        <f t="shared" si="27"/>
        <v>1300</v>
      </c>
      <c r="S8" s="12">
        <f t="shared" si="27"/>
        <v>1350</v>
      </c>
      <c r="T8" s="12">
        <f>T7+50</f>
        <v>1370</v>
      </c>
      <c r="U8" s="12">
        <f>U7+50</f>
        <v>1370</v>
      </c>
      <c r="V8" s="12">
        <f>V7+50</f>
        <v>1370</v>
      </c>
      <c r="W8" s="36">
        <f>W7+100</f>
        <v>1570</v>
      </c>
      <c r="X8" s="36">
        <f>X7+100</f>
        <v>1670</v>
      </c>
      <c r="Y8" s="36">
        <f>Y7+100</f>
        <v>1670</v>
      </c>
      <c r="Z8" s="36">
        <f>Z7+80</f>
        <v>1650</v>
      </c>
      <c r="AA8" s="36">
        <f>AA7+80</f>
        <v>1650</v>
      </c>
      <c r="AB8" s="12">
        <v>1530</v>
      </c>
      <c r="AC8" s="12">
        <v>1530</v>
      </c>
      <c r="AD8" s="12" t="e">
        <f>#REF!/AD4*1000+20</f>
        <v>#REF!</v>
      </c>
      <c r="AE8" s="12" t="e">
        <f>#REF!/AE4*1000+20</f>
        <v>#REF!</v>
      </c>
      <c r="AF8" s="12" t="e">
        <f>#REF!/AF4*1000+20</f>
        <v>#REF!</v>
      </c>
      <c r="AG8" s="12" t="e">
        <f>#REF!/AG4*1000+20</f>
        <v>#REF!</v>
      </c>
      <c r="AH8" s="12" t="e">
        <f>#REF!/AH4*1000+20</f>
        <v>#REF!</v>
      </c>
      <c r="AI8" s="12" t="e">
        <f>#REF!/AI4*1000+20</f>
        <v>#REF!</v>
      </c>
      <c r="AJ8" s="12" t="e">
        <f>#REF!/AJ4*1000+20</f>
        <v>#REF!</v>
      </c>
      <c r="AK8" s="12" t="e">
        <f>#REF!/AK4*1000+20</f>
        <v>#REF!</v>
      </c>
      <c r="AL8" s="12" t="e">
        <f>#REF!/AL4*1000+20</f>
        <v>#REF!</v>
      </c>
      <c r="AM8" s="12">
        <f>+SUM(EK8:EN8)/4</f>
        <v>1397.5</v>
      </c>
      <c r="AN8" s="12">
        <f>+SUM(EO8:EQ8)/COUNT(EO8:EQ8)</f>
        <v>1410</v>
      </c>
      <c r="AO8" s="12">
        <f>+SUM(ES8:EV8)/COUNT(ES8:EV8)</f>
        <v>1410</v>
      </c>
      <c r="AP8" s="12">
        <f>+SUM(EW8:FA8)/COUNT(EW8:FA8)</f>
        <v>1410</v>
      </c>
      <c r="AQ8" s="12">
        <f>+SUM(FB8:FE8)/COUNT(FB8:FE8)</f>
        <v>1355</v>
      </c>
      <c r="AR8" s="12">
        <f>+SUM(FF8:FI8)/COUNT(FF8:FI8)</f>
        <v>1305</v>
      </c>
      <c r="AS8" s="50">
        <f>+SUM(FJ8:FN8)/COUNT(FJ8:FN8)</f>
        <v>1280</v>
      </c>
      <c r="AT8" s="50">
        <f t="shared" si="23"/>
        <v>1280</v>
      </c>
      <c r="AU8" s="50">
        <f t="shared" si="23"/>
        <v>1280</v>
      </c>
      <c r="AV8" s="50">
        <f t="shared" si="23"/>
        <v>1280</v>
      </c>
      <c r="AW8" s="50">
        <f t="shared" si="23"/>
        <v>1280</v>
      </c>
      <c r="AX8" s="50">
        <f t="shared" si="23"/>
        <v>1280</v>
      </c>
      <c r="AY8" s="50">
        <f t="shared" si="23"/>
        <v>1280</v>
      </c>
      <c r="AZ8" s="50">
        <f t="shared" si="23"/>
        <v>1280</v>
      </c>
      <c r="BA8" s="50">
        <f t="shared" si="23"/>
        <v>1280</v>
      </c>
      <c r="BB8" s="50">
        <f t="shared" si="23"/>
        <v>1280</v>
      </c>
      <c r="BC8" s="50">
        <f t="shared" si="23"/>
        <v>1280</v>
      </c>
      <c r="BD8" s="50">
        <f t="shared" si="23"/>
        <v>1280</v>
      </c>
      <c r="BE8" s="50">
        <f t="shared" si="23"/>
        <v>1280</v>
      </c>
      <c r="BF8" s="50">
        <f t="shared" si="23"/>
        <v>1280</v>
      </c>
      <c r="BG8" s="50">
        <f t="shared" si="23"/>
        <v>1280</v>
      </c>
      <c r="BH8" s="50">
        <f t="shared" si="23"/>
        <v>1280</v>
      </c>
      <c r="BI8" s="50">
        <f t="shared" si="23"/>
        <v>1280</v>
      </c>
      <c r="BJ8" s="50">
        <f t="shared" si="23"/>
        <v>1280</v>
      </c>
      <c r="BK8" s="50">
        <f t="shared" si="23"/>
        <v>1280</v>
      </c>
      <c r="BL8" s="50">
        <f t="shared" si="23"/>
        <v>1280</v>
      </c>
      <c r="BM8" s="50">
        <f t="shared" si="23"/>
        <v>1280</v>
      </c>
      <c r="BN8" s="50">
        <f t="shared" si="23"/>
        <v>1280</v>
      </c>
      <c r="BO8" s="50">
        <f t="shared" si="23"/>
        <v>1280</v>
      </c>
      <c r="BP8" s="50">
        <f t="shared" si="23"/>
        <v>1280</v>
      </c>
      <c r="BQ8" s="50">
        <f t="shared" si="23"/>
        <v>1280</v>
      </c>
      <c r="BR8" s="50">
        <f t="shared" si="23"/>
        <v>1280</v>
      </c>
      <c r="BS8" s="50">
        <f t="shared" si="23"/>
        <v>1280</v>
      </c>
      <c r="BT8" s="50">
        <f t="shared" si="23"/>
        <v>1280</v>
      </c>
      <c r="BU8" s="50">
        <f t="shared" si="23"/>
        <v>1280</v>
      </c>
      <c r="BV8" s="50">
        <f t="shared" si="23"/>
        <v>1280</v>
      </c>
      <c r="BW8" s="50">
        <f t="shared" si="23"/>
        <v>1280</v>
      </c>
      <c r="BX8" s="50">
        <f t="shared" si="23"/>
        <v>1280</v>
      </c>
      <c r="BY8" s="50">
        <f t="shared" si="23"/>
        <v>1280</v>
      </c>
      <c r="BZ8" s="50">
        <f t="shared" si="23"/>
        <v>1280</v>
      </c>
      <c r="CA8" s="50">
        <f t="shared" si="23"/>
        <v>1280</v>
      </c>
      <c r="CB8" s="50">
        <f t="shared" si="23"/>
        <v>1280</v>
      </c>
      <c r="CD8" s="9" t="s">
        <v>34</v>
      </c>
      <c r="CE8" s="11" t="s">
        <v>35</v>
      </c>
      <c r="CF8" s="11" t="s">
        <v>72</v>
      </c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2">
        <v>1650</v>
      </c>
      <c r="DE8" s="12">
        <v>1650</v>
      </c>
      <c r="DF8" s="12">
        <v>1650</v>
      </c>
      <c r="DG8" s="12">
        <v>1650</v>
      </c>
      <c r="DH8" s="12">
        <v>1650</v>
      </c>
      <c r="DI8" s="12">
        <v>1650</v>
      </c>
      <c r="DJ8" s="12">
        <v>1650</v>
      </c>
      <c r="DK8" s="12">
        <v>1530</v>
      </c>
      <c r="DL8" s="12">
        <v>1530</v>
      </c>
      <c r="DM8" s="12">
        <v>1530</v>
      </c>
      <c r="DN8" s="12">
        <v>1530</v>
      </c>
      <c r="DO8" s="12">
        <v>1530</v>
      </c>
      <c r="DP8" s="12">
        <v>1460</v>
      </c>
      <c r="DQ8" s="12">
        <v>1460</v>
      </c>
      <c r="DR8" s="12">
        <v>1460</v>
      </c>
      <c r="DS8" s="12">
        <v>1460</v>
      </c>
      <c r="DT8" s="12" t="e">
        <f>#REF!/DT4*1000+20</f>
        <v>#REF!</v>
      </c>
      <c r="DU8" s="50" t="e">
        <f>#REF!/DU4*1000+20</f>
        <v>#REF!</v>
      </c>
      <c r="DV8" s="12" t="e">
        <f>#REF!/DV4*1000+20</f>
        <v>#REF!</v>
      </c>
      <c r="DW8" s="12" t="e">
        <f>#REF!/DW4*1000+20</f>
        <v>#REF!</v>
      </c>
      <c r="DX8" s="12">
        <v>1410</v>
      </c>
      <c r="DY8" s="12">
        <v>1410</v>
      </c>
      <c r="DZ8" s="12">
        <v>1410</v>
      </c>
      <c r="EA8" s="12">
        <v>1410</v>
      </c>
      <c r="EB8" s="12">
        <v>1410</v>
      </c>
      <c r="EC8" s="12">
        <v>1410</v>
      </c>
      <c r="ED8" s="12">
        <v>1410</v>
      </c>
      <c r="EE8" s="12">
        <v>1410</v>
      </c>
      <c r="EF8" s="12">
        <v>1410</v>
      </c>
      <c r="EG8" s="12">
        <v>1410</v>
      </c>
      <c r="EH8" s="12">
        <v>1410</v>
      </c>
      <c r="EI8" s="12">
        <v>1410</v>
      </c>
      <c r="EJ8" s="12">
        <v>1410</v>
      </c>
      <c r="EK8" s="12">
        <v>1410</v>
      </c>
      <c r="EL8" s="12">
        <v>1410</v>
      </c>
      <c r="EM8" s="12">
        <v>1410</v>
      </c>
      <c r="EN8" s="12">
        <f t="shared" ref="EN8:FS8" si="28">+EN7+30</f>
        <v>1360</v>
      </c>
      <c r="EO8" s="12">
        <f t="shared" si="28"/>
        <v>1410</v>
      </c>
      <c r="EP8" s="12">
        <f t="shared" si="28"/>
        <v>1410</v>
      </c>
      <c r="EQ8" s="12">
        <f t="shared" si="28"/>
        <v>1410</v>
      </c>
      <c r="ER8" s="12">
        <f t="shared" si="28"/>
        <v>1410</v>
      </c>
      <c r="ES8" s="12">
        <f t="shared" si="28"/>
        <v>1410</v>
      </c>
      <c r="ET8" s="12">
        <f t="shared" si="28"/>
        <v>1410</v>
      </c>
      <c r="EU8" s="12">
        <f t="shared" si="28"/>
        <v>1410</v>
      </c>
      <c r="EV8" s="12">
        <f t="shared" si="28"/>
        <v>1410</v>
      </c>
      <c r="EW8" s="12">
        <f t="shared" si="28"/>
        <v>1410</v>
      </c>
      <c r="EX8" s="12">
        <f t="shared" si="28"/>
        <v>1410</v>
      </c>
      <c r="EY8" s="12">
        <f t="shared" si="28"/>
        <v>1410</v>
      </c>
      <c r="EZ8" s="12">
        <f t="shared" si="28"/>
        <v>1410</v>
      </c>
      <c r="FA8" s="12">
        <f t="shared" si="28"/>
        <v>1410</v>
      </c>
      <c r="FB8" s="12">
        <f t="shared" si="28"/>
        <v>1380</v>
      </c>
      <c r="FC8" s="12">
        <f t="shared" si="28"/>
        <v>1380</v>
      </c>
      <c r="FD8" s="12">
        <f t="shared" si="28"/>
        <v>1330</v>
      </c>
      <c r="FE8" s="12">
        <f t="shared" si="28"/>
        <v>1330</v>
      </c>
      <c r="FF8" s="12">
        <f t="shared" si="28"/>
        <v>1330</v>
      </c>
      <c r="FG8" s="12">
        <f t="shared" si="28"/>
        <v>1330</v>
      </c>
      <c r="FH8" s="12">
        <f t="shared" si="28"/>
        <v>1280</v>
      </c>
      <c r="FI8" s="12">
        <f t="shared" si="28"/>
        <v>1280</v>
      </c>
      <c r="FJ8" s="12">
        <f t="shared" si="28"/>
        <v>1280</v>
      </c>
      <c r="FK8" s="12">
        <f t="shared" si="28"/>
        <v>1280</v>
      </c>
      <c r="FL8" s="12">
        <f t="shared" si="28"/>
        <v>1280</v>
      </c>
      <c r="FM8" s="12">
        <f t="shared" si="28"/>
        <v>1280</v>
      </c>
      <c r="FN8" s="12">
        <f t="shared" si="28"/>
        <v>1280</v>
      </c>
      <c r="FO8" s="12">
        <f t="shared" si="28"/>
        <v>1280</v>
      </c>
      <c r="FP8" s="12">
        <f t="shared" si="28"/>
        <v>1280</v>
      </c>
      <c r="FQ8" s="12">
        <f t="shared" si="28"/>
        <v>1280</v>
      </c>
      <c r="FR8" s="12">
        <f t="shared" si="28"/>
        <v>1280</v>
      </c>
      <c r="FS8" s="12">
        <f t="shared" si="28"/>
        <v>1280</v>
      </c>
      <c r="FT8" s="12">
        <f t="shared" ref="FT8:GX8" si="29">+FT7+30</f>
        <v>1280</v>
      </c>
      <c r="FU8" s="12">
        <f t="shared" si="29"/>
        <v>1280</v>
      </c>
      <c r="FV8" s="12">
        <f t="shared" si="29"/>
        <v>1280</v>
      </c>
      <c r="FW8" s="12">
        <f t="shared" si="29"/>
        <v>1280</v>
      </c>
      <c r="FX8" s="12">
        <f t="shared" si="29"/>
        <v>1280</v>
      </c>
      <c r="FY8" s="12">
        <f t="shared" si="29"/>
        <v>1280</v>
      </c>
      <c r="FZ8" s="12">
        <f t="shared" si="29"/>
        <v>1280</v>
      </c>
      <c r="GA8" s="12">
        <f t="shared" si="29"/>
        <v>1280</v>
      </c>
      <c r="GB8" s="12">
        <f t="shared" si="29"/>
        <v>1280</v>
      </c>
      <c r="GC8" s="12">
        <f t="shared" si="29"/>
        <v>1280</v>
      </c>
      <c r="GD8" s="12">
        <f t="shared" si="29"/>
        <v>1280</v>
      </c>
      <c r="GE8" s="12">
        <f t="shared" si="29"/>
        <v>1280</v>
      </c>
      <c r="GF8" s="12">
        <f t="shared" si="29"/>
        <v>1280</v>
      </c>
      <c r="GG8" s="12">
        <f t="shared" si="29"/>
        <v>1280</v>
      </c>
      <c r="GH8" s="12">
        <f t="shared" si="29"/>
        <v>1280</v>
      </c>
      <c r="GI8" s="12">
        <f t="shared" si="29"/>
        <v>1280</v>
      </c>
      <c r="GJ8" s="12">
        <f t="shared" si="29"/>
        <v>1280</v>
      </c>
      <c r="GK8" s="12">
        <f t="shared" si="29"/>
        <v>1280</v>
      </c>
      <c r="GL8" s="12">
        <f t="shared" si="29"/>
        <v>1280</v>
      </c>
      <c r="GM8" s="12">
        <f t="shared" si="29"/>
        <v>1280</v>
      </c>
      <c r="GN8" s="12">
        <f t="shared" si="29"/>
        <v>1280</v>
      </c>
      <c r="GO8" s="12">
        <f t="shared" si="29"/>
        <v>1280</v>
      </c>
      <c r="GP8" s="12">
        <f t="shared" si="29"/>
        <v>1280</v>
      </c>
      <c r="GQ8" s="12">
        <f t="shared" si="29"/>
        <v>1280</v>
      </c>
      <c r="GR8" s="12">
        <f t="shared" si="29"/>
        <v>1280</v>
      </c>
      <c r="GS8" s="12">
        <f t="shared" si="29"/>
        <v>1280</v>
      </c>
      <c r="GT8" s="12">
        <f t="shared" si="29"/>
        <v>1280</v>
      </c>
      <c r="GU8" s="12">
        <f t="shared" si="29"/>
        <v>1280</v>
      </c>
      <c r="GV8" s="12">
        <f t="shared" si="29"/>
        <v>1280</v>
      </c>
      <c r="GW8" s="12">
        <f t="shared" si="29"/>
        <v>1280</v>
      </c>
      <c r="GX8" s="12">
        <f t="shared" si="29"/>
        <v>1280</v>
      </c>
      <c r="GY8" s="12">
        <f t="shared" ref="GY8:GZ8" si="30">+GY7+30</f>
        <v>1280</v>
      </c>
      <c r="GZ8" s="12">
        <f t="shared" si="30"/>
        <v>1280</v>
      </c>
      <c r="HA8" s="12">
        <f t="shared" ref="HA8:HB8" si="31">+HA7+30</f>
        <v>1280</v>
      </c>
      <c r="HB8" s="12">
        <f t="shared" si="31"/>
        <v>1280</v>
      </c>
      <c r="HC8" s="12">
        <f t="shared" ref="HC8" si="32">+HC7+30</f>
        <v>1280</v>
      </c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</row>
    <row r="9" spans="1:319" ht="14" hidden="1">
      <c r="A9" s="20"/>
      <c r="B9" s="21"/>
      <c r="C9" s="21"/>
      <c r="D9" s="38" t="s">
        <v>30</v>
      </c>
      <c r="E9" s="37"/>
      <c r="F9" s="37" t="s">
        <v>36</v>
      </c>
      <c r="G9" s="39" t="s">
        <v>23</v>
      </c>
      <c r="H9" s="37" t="s">
        <v>36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0">
        <f>V8*23108/1000</f>
        <v>31657.96</v>
      </c>
      <c r="W9" s="40">
        <f>W8*23108/1000</f>
        <v>36279.56</v>
      </c>
      <c r="X9" s="40">
        <f>X8*23108/1000</f>
        <v>38590.36</v>
      </c>
      <c r="Y9" s="40">
        <f>Y8*23108/1000</f>
        <v>38590.36</v>
      </c>
      <c r="Z9" s="40">
        <f>Z8*Z4/1000</f>
        <v>38197.5</v>
      </c>
      <c r="AA9" s="47"/>
      <c r="AB9" s="69"/>
      <c r="AC9" s="40">
        <f t="shared" ref="AC9:AM9" si="33">AC8*AC4/1000</f>
        <v>35419.5</v>
      </c>
      <c r="AD9" s="40" t="e">
        <f t="shared" si="33"/>
        <v>#REF!</v>
      </c>
      <c r="AE9" s="40" t="e">
        <f t="shared" si="33"/>
        <v>#REF!</v>
      </c>
      <c r="AF9" s="40" t="e">
        <f t="shared" si="33"/>
        <v>#REF!</v>
      </c>
      <c r="AG9" s="40" t="e">
        <f t="shared" si="33"/>
        <v>#REF!</v>
      </c>
      <c r="AH9" s="40" t="e">
        <f t="shared" si="33"/>
        <v>#REF!</v>
      </c>
      <c r="AI9" s="40" t="e">
        <f t="shared" si="33"/>
        <v>#REF!</v>
      </c>
      <c r="AJ9" s="40" t="e">
        <f t="shared" si="33"/>
        <v>#REF!</v>
      </c>
      <c r="AK9" s="40" t="e">
        <f t="shared" si="33"/>
        <v>#REF!</v>
      </c>
      <c r="AL9" s="40" t="e">
        <f t="shared" si="33"/>
        <v>#REF!</v>
      </c>
      <c r="AM9" s="40">
        <f t="shared" si="33"/>
        <v>33540</v>
      </c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D9" s="38" t="s">
        <v>30</v>
      </c>
      <c r="CE9" s="37"/>
      <c r="CF9" s="37" t="s">
        <v>36</v>
      </c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 t="e">
        <f>DT8*DT4/1000</f>
        <v>#REF!</v>
      </c>
      <c r="DU9" s="40" t="e">
        <f>DU8*DU4/1000</f>
        <v>#REF!</v>
      </c>
      <c r="DV9" s="40" t="e">
        <f>DV8*DV4/1000</f>
        <v>#REF!</v>
      </c>
      <c r="DW9" s="40" t="e">
        <f>DW8*DW4/1000</f>
        <v>#REF!</v>
      </c>
      <c r="DX9" s="40">
        <v>33135</v>
      </c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12" t="e">
        <f>+#REF!+30</f>
        <v>#REF!</v>
      </c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</row>
    <row r="10" spans="1:319" ht="8.15" hidden="1" customHeight="1">
      <c r="A10" s="20"/>
      <c r="B10" s="21"/>
      <c r="C10" s="21"/>
      <c r="D10" s="22"/>
      <c r="E10" s="52"/>
      <c r="F10" s="52"/>
      <c r="G10" s="22"/>
      <c r="H10" s="52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10"/>
      <c r="Y10" s="10"/>
      <c r="Z10" s="35"/>
      <c r="AA10" s="10"/>
      <c r="AB10" s="24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D10" s="2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93"/>
      <c r="DE10" s="93"/>
      <c r="DF10" s="93"/>
      <c r="DG10" s="93"/>
      <c r="DH10" s="93"/>
      <c r="DI10" s="93"/>
      <c r="DJ10" s="93"/>
      <c r="DK10" s="93"/>
      <c r="DL10" s="93"/>
      <c r="DM10" s="93"/>
      <c r="DN10" s="93"/>
      <c r="DO10" s="93"/>
      <c r="DP10" s="93"/>
      <c r="DQ10" s="93"/>
      <c r="DR10" s="93"/>
      <c r="DS10" s="93"/>
      <c r="DT10" s="9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</row>
    <row r="11" spans="1:319" s="13" customFormat="1" ht="14">
      <c r="A11" s="54">
        <v>9</v>
      </c>
      <c r="B11" s="55"/>
      <c r="C11" s="55"/>
      <c r="D11" s="106" t="s">
        <v>37</v>
      </c>
      <c r="E11" s="55" t="s">
        <v>38</v>
      </c>
      <c r="F11" s="55" t="s">
        <v>39</v>
      </c>
      <c r="G11" s="54" t="s">
        <v>24</v>
      </c>
      <c r="H11" s="111" t="s">
        <v>37</v>
      </c>
      <c r="I11" s="56"/>
      <c r="J11" s="56"/>
      <c r="K11" s="56"/>
      <c r="L11" s="56"/>
      <c r="M11" s="56"/>
      <c r="N11" s="56"/>
      <c r="O11" s="56"/>
      <c r="P11" s="56">
        <v>1300</v>
      </c>
      <c r="Q11" s="56">
        <v>1300</v>
      </c>
      <c r="R11" s="56">
        <v>1350</v>
      </c>
      <c r="S11" s="56">
        <v>1350</v>
      </c>
      <c r="T11" s="56">
        <v>1350</v>
      </c>
      <c r="U11" s="56">
        <v>1350</v>
      </c>
      <c r="V11" s="56">
        <v>1500</v>
      </c>
      <c r="W11" s="57">
        <v>1525</v>
      </c>
      <c r="X11" s="56">
        <v>1525</v>
      </c>
      <c r="Y11" s="56">
        <v>1550</v>
      </c>
      <c r="Z11" s="57">
        <v>1627</v>
      </c>
      <c r="AA11" s="56">
        <v>1585</v>
      </c>
      <c r="AB11" s="58">
        <v>1574</v>
      </c>
      <c r="AC11" s="58">
        <v>1485</v>
      </c>
      <c r="AD11" s="58">
        <v>1444</v>
      </c>
      <c r="AE11" s="58">
        <v>1425</v>
      </c>
      <c r="AF11" s="58">
        <v>1425</v>
      </c>
      <c r="AG11" s="58">
        <v>1425</v>
      </c>
      <c r="AH11" s="58">
        <v>1425</v>
      </c>
      <c r="AI11" s="58">
        <f>(1350+1500)/2</f>
        <v>1425</v>
      </c>
      <c r="AJ11" s="58">
        <v>1425</v>
      </c>
      <c r="AK11" s="58">
        <v>1330</v>
      </c>
      <c r="AL11" s="58">
        <f>+SUM(EG11:EJ11)/4</f>
        <v>1287.5</v>
      </c>
      <c r="AM11" s="58">
        <f>+SUM(EK11:EN11)/4</f>
        <v>1313.75</v>
      </c>
      <c r="AN11" s="58">
        <f>+SUM(EO11:EQ11)/COUNT(EO11:EQ11)</f>
        <v>1440</v>
      </c>
      <c r="AO11" s="58">
        <f>+SUM(ES11:EV11)/COUNT(ES11:EV11)</f>
        <v>1440</v>
      </c>
      <c r="AP11" s="58">
        <f>+SUM(EW11:FA11)/COUNT(EW11:FA11)</f>
        <v>1433</v>
      </c>
      <c r="AQ11" s="58">
        <f>+SUM(FB11:FE11)/COUNT(FB11:FE11)</f>
        <v>1337.5</v>
      </c>
      <c r="AR11" s="58">
        <f>+SUM(FF11:FI11)/COUNT(FF11:FI11)</f>
        <v>1317.5</v>
      </c>
      <c r="AS11" s="58">
        <f>+SUM(FJ11:FN11)/COUNT(FJ11:FN11)</f>
        <v>1274</v>
      </c>
      <c r="AT11" s="58">
        <f>+SUM(FO11:FR11)/COUNT(FO11:FR11)</f>
        <v>1288.75</v>
      </c>
      <c r="AU11" s="58">
        <f>+SUM(FS11:FV11)/COUNT(FS11:FV11)</f>
        <v>1288.125</v>
      </c>
      <c r="AV11" s="102">
        <f>+SUM(FW11:FZ11)/COUNT(FW11:FZ11)</f>
        <v>1300</v>
      </c>
      <c r="AW11" s="102">
        <f>+SUM(GA11:GE11)/COUNT(GA11:GE11)</f>
        <v>1300</v>
      </c>
      <c r="AX11" s="102">
        <f>+SUM(GF11:GI11)/COUNT(GF11:GI11)</f>
        <v>1312.5</v>
      </c>
      <c r="AY11" s="102">
        <f>+SUM(GJ11:GL11)/COUNT(GJ11:GL11)</f>
        <v>1325</v>
      </c>
      <c r="AZ11" s="102">
        <f>+SUM(GM11:GP11)/COUNT(GM11:GP11)</f>
        <v>1320</v>
      </c>
      <c r="BA11" s="102">
        <f>+SUM(GQ11:GT11)/COUNT(GQ11:GT11)</f>
        <v>1323.75</v>
      </c>
      <c r="BB11" s="102">
        <f>+SUM(GU11:GY11)/COUNT(GU11:GY11)</f>
        <v>1346.6</v>
      </c>
      <c r="BC11" s="102">
        <f t="shared" ref="BC11:BC12" si="34">+SUM(GZ11:HC11)/COUNT(GZ11:HC11)</f>
        <v>1365</v>
      </c>
      <c r="BD11" s="102">
        <f t="shared" ref="BD11:BD12" si="35">+SUM(HD11:HG11)/COUNT(HD11:HG11)</f>
        <v>1365</v>
      </c>
      <c r="BE11" s="102">
        <f>+SUM(HH11:HL11)/COUNT(HH11:HL11)</f>
        <v>1404</v>
      </c>
      <c r="BF11" s="102">
        <f t="shared" ref="BF11:BF12" si="36">+SUM(HM11:HP11)/COUNT(HM11:HP11)</f>
        <v>1427.5</v>
      </c>
      <c r="BG11" s="102">
        <f t="shared" ref="BG11:BG12" si="37">+SUM(HQ11:HT11)/COUNT(HQ11:HT11)</f>
        <v>1440</v>
      </c>
      <c r="BH11" s="102">
        <f>+SUM(HU11:HY11)/COUNT(HU11:HY11)</f>
        <v>1440</v>
      </c>
      <c r="BI11" s="102">
        <f t="shared" ref="BI11:BI12" si="38">+SUM(HZ11:IC11)/COUNT(HZ11:IC11)</f>
        <v>1421.25</v>
      </c>
      <c r="BJ11" s="102">
        <f>+SUM(ID11:IG11)/COUNT(ID11:IG11)</f>
        <v>1368.75</v>
      </c>
      <c r="BK11" s="102">
        <f>+SUM(IH11:IK11)/COUNT(IH11:IK11)</f>
        <v>1350</v>
      </c>
      <c r="BL11" s="102">
        <f>+SUM(IL11:IO11)/COUNT(IL11:IO11)</f>
        <v>1360</v>
      </c>
      <c r="BM11" s="102">
        <f>+SUM(IP11:IS11)/COUNT(IP11:IS11)</f>
        <v>1360</v>
      </c>
      <c r="BN11" s="102">
        <f>+SUM(IT11:IX11)/COUNT(IT11:IX11)</f>
        <v>1360</v>
      </c>
      <c r="BO11" s="102">
        <f>+SUM(IY11:JB11)/COUNT(IY11:JB11)</f>
        <v>1360</v>
      </c>
      <c r="BP11" s="102">
        <f>+SUM(JC11:JG11)/COUNT(JC11:JG11)</f>
        <v>1324</v>
      </c>
      <c r="BQ11" s="102">
        <f>+SUM(JH11:JK11)/COUNT(JH11:JK11)</f>
        <v>1295</v>
      </c>
      <c r="BR11" s="102">
        <f>+SUM(JL11:JO11)/COUNT(JL11:JO11)</f>
        <v>1275</v>
      </c>
      <c r="BS11" s="102">
        <f>+SUM(JP11:JT11)/COUNT(JP11:JT11)</f>
        <v>1248</v>
      </c>
      <c r="BT11" s="102">
        <f>+SUM(JU11:JX11)/COUNT(JU11:JX11)</f>
        <v>1243.75</v>
      </c>
      <c r="BU11" s="102">
        <f>+SUM(JY11:KB11)/COUNT(JY11:KB11)</f>
        <v>1193.75</v>
      </c>
      <c r="BV11" s="102">
        <f>+SUM(KC11:KG11)/COUNT(KC11:KG11)</f>
        <v>1150</v>
      </c>
      <c r="BW11" s="102">
        <f>+SUM(KH11:KK11)/COUNT(KH11:KK11)</f>
        <v>1150</v>
      </c>
      <c r="BX11" s="102">
        <f>+SUM(KL11:KO11)/COUNT(KL11:KO11)</f>
        <v>1220</v>
      </c>
      <c r="BY11" s="102">
        <f>+SUM(KP11:KT11)/COUNT(KP11:KT11)</f>
        <v>1314</v>
      </c>
      <c r="BZ11" s="102">
        <f>+SUM(KU11:KX11)/COUNT(KU11:KX11)</f>
        <v>1358.75</v>
      </c>
      <c r="CA11" s="102">
        <f>+SUM(KY11:LB11)/COUNT(KY11:LB11)</f>
        <v>1307.5</v>
      </c>
      <c r="CB11" s="102">
        <f>+SUM(LC11:LG11)/COUNT(LC11:LG11)</f>
        <v>1277.5</v>
      </c>
      <c r="CD11" s="54" t="s">
        <v>37</v>
      </c>
      <c r="CE11" s="55" t="s">
        <v>38</v>
      </c>
      <c r="CF11" s="126" t="s">
        <v>37</v>
      </c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6">
        <f>+(1550+1670)/2</f>
        <v>1610</v>
      </c>
      <c r="DE11" s="56">
        <f>+(1550+1700)/2</f>
        <v>1625</v>
      </c>
      <c r="DF11" s="56">
        <f>+(1550+1650)/2</f>
        <v>1600</v>
      </c>
      <c r="DG11" s="56">
        <f>+(1550+1620)/2</f>
        <v>1585</v>
      </c>
      <c r="DH11" s="56">
        <f>+(1550+1650)/2</f>
        <v>1600</v>
      </c>
      <c r="DI11" s="56">
        <f>+(1550+1650)/2</f>
        <v>1600</v>
      </c>
      <c r="DJ11" s="56">
        <f>+(1550+1650)/2</f>
        <v>1600</v>
      </c>
      <c r="DK11" s="56">
        <f>+(1550+1680)/2</f>
        <v>1615</v>
      </c>
      <c r="DL11" s="56">
        <f>+(1550+1680)/2</f>
        <v>1615</v>
      </c>
      <c r="DM11" s="56">
        <f>+(1550+1620)/2</f>
        <v>1585</v>
      </c>
      <c r="DN11" s="56">
        <f>+(1550+1620)/2</f>
        <v>1585</v>
      </c>
      <c r="DO11" s="56">
        <f>+(1450+1520)/2</f>
        <v>1485</v>
      </c>
      <c r="DP11" s="56">
        <f>+(1350+1550)/2</f>
        <v>1450</v>
      </c>
      <c r="DQ11" s="56">
        <f>+(1350+1550)/2</f>
        <v>1450</v>
      </c>
      <c r="DR11" s="56">
        <f>+(1350+1550)/2</f>
        <v>1450</v>
      </c>
      <c r="DS11" s="56">
        <f>+(1350+1550)/2</f>
        <v>1450</v>
      </c>
      <c r="DT11" s="56">
        <v>1425</v>
      </c>
      <c r="DU11" s="58">
        <v>1425</v>
      </c>
      <c r="DV11" s="58">
        <v>1425</v>
      </c>
      <c r="DW11" s="58">
        <f>(1350+1500)/2</f>
        <v>1425</v>
      </c>
      <c r="DX11" s="58">
        <v>1350</v>
      </c>
      <c r="DY11" s="58">
        <v>1350</v>
      </c>
      <c r="DZ11" s="100">
        <f>+(1250+1450)/2</f>
        <v>1350</v>
      </c>
      <c r="EA11" s="56">
        <f>+(1250+1450)/2</f>
        <v>1350</v>
      </c>
      <c r="EB11" s="114">
        <f>+(1250+1450)/2</f>
        <v>1350</v>
      </c>
      <c r="EC11" s="114">
        <f>+(1250+1450)/2</f>
        <v>1350</v>
      </c>
      <c r="ED11" s="114">
        <f>+(1250+1450)/2</f>
        <v>1350</v>
      </c>
      <c r="EE11" s="114">
        <f>+(1250+1350)/2</f>
        <v>1300</v>
      </c>
      <c r="EF11" s="114">
        <f>+(1250+1350)/2</f>
        <v>1300</v>
      </c>
      <c r="EG11" s="56">
        <f>+(1250+1350)/2</f>
        <v>1300</v>
      </c>
      <c r="EH11" s="56">
        <f>+(1250+1350)/2</f>
        <v>1300</v>
      </c>
      <c r="EI11" s="56">
        <f>+(1250+1300)/2</f>
        <v>1275</v>
      </c>
      <c r="EJ11" s="56">
        <f>+(1250+1300)/2</f>
        <v>1275</v>
      </c>
      <c r="EK11" s="56">
        <f>+(1250+1300)/2</f>
        <v>1275</v>
      </c>
      <c r="EL11" s="56">
        <f>+(1250+1300)/2</f>
        <v>1275</v>
      </c>
      <c r="EM11" s="56">
        <f>+(1280+1350)/2</f>
        <v>1315</v>
      </c>
      <c r="EN11" s="56">
        <f>+(1350+1430)/2</f>
        <v>1390</v>
      </c>
      <c r="EO11" s="56">
        <f t="shared" ref="EO11:EX11" si="39">+(1350+1530)/2</f>
        <v>1440</v>
      </c>
      <c r="EP11" s="56">
        <f t="shared" si="39"/>
        <v>1440</v>
      </c>
      <c r="EQ11" s="56">
        <f t="shared" si="39"/>
        <v>1440</v>
      </c>
      <c r="ER11" s="56">
        <f t="shared" si="39"/>
        <v>1440</v>
      </c>
      <c r="ES11" s="56">
        <f t="shared" si="39"/>
        <v>1440</v>
      </c>
      <c r="ET11" s="56">
        <f t="shared" si="39"/>
        <v>1440</v>
      </c>
      <c r="EU11" s="56">
        <f t="shared" si="39"/>
        <v>1440</v>
      </c>
      <c r="EV11" s="56">
        <f t="shared" si="39"/>
        <v>1440</v>
      </c>
      <c r="EW11" s="56">
        <f t="shared" si="39"/>
        <v>1440</v>
      </c>
      <c r="EX11" s="56">
        <f t="shared" si="39"/>
        <v>1440</v>
      </c>
      <c r="EY11" s="100">
        <f>+(1350+1530)/2</f>
        <v>1440</v>
      </c>
      <c r="EZ11" s="100">
        <f>+(1350+1530)/2</f>
        <v>1440</v>
      </c>
      <c r="FA11" s="100">
        <f>+(1350+1460)/2</f>
        <v>1405</v>
      </c>
      <c r="FB11" s="100">
        <f>+(1350+1400)/2</f>
        <v>1375</v>
      </c>
      <c r="FC11" s="100">
        <f>+(1300+1350)/2</f>
        <v>1325</v>
      </c>
      <c r="FD11" s="100">
        <f>+(1300+1350)/2</f>
        <v>1325</v>
      </c>
      <c r="FE11" s="58">
        <f>+(1300+1350)/2</f>
        <v>1325</v>
      </c>
      <c r="FF11" s="58">
        <f>+(1300+1350)/2</f>
        <v>1325</v>
      </c>
      <c r="FG11" s="58">
        <f>+(1300+1350)/2</f>
        <v>1325</v>
      </c>
      <c r="FH11" s="58">
        <f>+(1270+1350)/2</f>
        <v>1310</v>
      </c>
      <c r="FI11" s="58">
        <f>+(1270+1350)/2</f>
        <v>1310</v>
      </c>
      <c r="FJ11" s="58">
        <f>+(1200+1300)/2</f>
        <v>1250</v>
      </c>
      <c r="FK11" s="58">
        <f>+(1200+1320)/2</f>
        <v>1260</v>
      </c>
      <c r="FL11" s="58">
        <f>+(1200+1320)/2</f>
        <v>1260</v>
      </c>
      <c r="FM11" s="102">
        <f>+(1250+1350)/2</f>
        <v>1300</v>
      </c>
      <c r="FN11" s="102">
        <f>+(1250+1350)/2</f>
        <v>1300</v>
      </c>
      <c r="FO11" s="102">
        <f>+(1250+1330)/2</f>
        <v>1290</v>
      </c>
      <c r="FP11" s="102">
        <f>+(1250+1330)/2</f>
        <v>1290</v>
      </c>
      <c r="FQ11" s="102">
        <f>+(1250+1330)/2</f>
        <v>1290</v>
      </c>
      <c r="FR11" s="102">
        <v>1285</v>
      </c>
      <c r="FS11" s="102">
        <v>1285</v>
      </c>
      <c r="FT11" s="102">
        <v>1287.5</v>
      </c>
      <c r="FU11" s="102">
        <v>1280</v>
      </c>
      <c r="FV11" s="102">
        <v>1300</v>
      </c>
      <c r="FW11" s="102">
        <v>1300</v>
      </c>
      <c r="FX11" s="102">
        <v>1300</v>
      </c>
      <c r="FY11" s="102">
        <v>1300</v>
      </c>
      <c r="FZ11" s="102">
        <v>1300</v>
      </c>
      <c r="GA11" s="102">
        <v>1300</v>
      </c>
      <c r="GB11" s="102">
        <v>1300</v>
      </c>
      <c r="GC11" s="102">
        <v>1300</v>
      </c>
      <c r="GD11" s="102">
        <v>1300</v>
      </c>
      <c r="GE11" s="102">
        <v>1300</v>
      </c>
      <c r="GF11" s="102">
        <v>1300</v>
      </c>
      <c r="GG11" s="102">
        <v>1300</v>
      </c>
      <c r="GH11" s="102">
        <v>1325</v>
      </c>
      <c r="GI11" s="102">
        <v>1325</v>
      </c>
      <c r="GJ11" s="102">
        <v>1325</v>
      </c>
      <c r="GK11" s="102">
        <v>1325</v>
      </c>
      <c r="GL11" s="102">
        <v>1325</v>
      </c>
      <c r="GM11" s="102">
        <v>1325</v>
      </c>
      <c r="GN11" s="102">
        <v>1325</v>
      </c>
      <c r="GO11" s="102">
        <v>1315</v>
      </c>
      <c r="GP11" s="102">
        <v>1315</v>
      </c>
      <c r="GQ11" s="102">
        <v>1325</v>
      </c>
      <c r="GR11" s="102">
        <v>1325</v>
      </c>
      <c r="GS11" s="102">
        <v>1325</v>
      </c>
      <c r="GT11" s="102">
        <v>1320</v>
      </c>
      <c r="GU11" s="102">
        <v>1333</v>
      </c>
      <c r="GV11" s="102">
        <v>1350</v>
      </c>
      <c r="GW11" s="102">
        <v>1350</v>
      </c>
      <c r="GX11" s="102">
        <v>1350</v>
      </c>
      <c r="GY11" s="102">
        <v>1350</v>
      </c>
      <c r="GZ11" s="102">
        <v>1365</v>
      </c>
      <c r="HA11" s="102">
        <v>1365</v>
      </c>
      <c r="HB11" s="102">
        <v>1365</v>
      </c>
      <c r="HC11" s="102">
        <v>1365</v>
      </c>
      <c r="HD11" s="102">
        <v>1365</v>
      </c>
      <c r="HE11" s="102">
        <v>1365</v>
      </c>
      <c r="HF11" s="102">
        <v>1365</v>
      </c>
      <c r="HG11" s="102">
        <v>1365</v>
      </c>
      <c r="HH11" s="102">
        <v>1400</v>
      </c>
      <c r="HI11" s="102">
        <v>1400</v>
      </c>
      <c r="HJ11" s="102">
        <v>1400</v>
      </c>
      <c r="HK11" s="102">
        <v>1410</v>
      </c>
      <c r="HL11" s="102">
        <v>1410</v>
      </c>
      <c r="HM11" s="102">
        <v>1430</v>
      </c>
      <c r="HN11" s="102">
        <v>1430</v>
      </c>
      <c r="HO11" s="102">
        <v>1425</v>
      </c>
      <c r="HP11" s="102">
        <v>1425</v>
      </c>
      <c r="HQ11" s="102">
        <v>1440</v>
      </c>
      <c r="HR11" s="102">
        <v>1440</v>
      </c>
      <c r="HS11" s="102">
        <v>1440</v>
      </c>
      <c r="HT11" s="102">
        <v>1440</v>
      </c>
      <c r="HU11" s="102">
        <v>1440</v>
      </c>
      <c r="HV11" s="102">
        <v>1440</v>
      </c>
      <c r="HW11" s="102">
        <v>1440</v>
      </c>
      <c r="HX11" s="102">
        <v>1440</v>
      </c>
      <c r="HY11" s="102">
        <v>1440</v>
      </c>
      <c r="HZ11" s="102">
        <v>1430</v>
      </c>
      <c r="IA11" s="102">
        <v>1430</v>
      </c>
      <c r="IB11" s="102">
        <v>1425</v>
      </c>
      <c r="IC11" s="102">
        <v>1400</v>
      </c>
      <c r="ID11" s="102">
        <v>1400</v>
      </c>
      <c r="IE11" s="102">
        <v>1375</v>
      </c>
      <c r="IF11" s="102">
        <v>1350</v>
      </c>
      <c r="IG11" s="102">
        <v>1350</v>
      </c>
      <c r="IH11" s="102">
        <v>1350</v>
      </c>
      <c r="II11" s="102">
        <v>1350</v>
      </c>
      <c r="IJ11" s="102">
        <v>1350</v>
      </c>
      <c r="IK11" s="102">
        <v>1350</v>
      </c>
      <c r="IL11" s="102">
        <v>1360</v>
      </c>
      <c r="IM11" s="102">
        <v>1360</v>
      </c>
      <c r="IN11" s="102">
        <v>1360</v>
      </c>
      <c r="IO11" s="102">
        <v>1360</v>
      </c>
      <c r="IP11" s="102">
        <v>1360</v>
      </c>
      <c r="IQ11" s="102">
        <v>1360</v>
      </c>
      <c r="IR11" s="102">
        <v>1360</v>
      </c>
      <c r="IS11" s="102">
        <v>1360</v>
      </c>
      <c r="IT11" s="102">
        <v>1360</v>
      </c>
      <c r="IU11" s="102">
        <v>1360</v>
      </c>
      <c r="IV11" s="102">
        <v>1360</v>
      </c>
      <c r="IW11" s="102">
        <v>1360</v>
      </c>
      <c r="IX11" s="102">
        <v>1360</v>
      </c>
      <c r="IY11" s="102">
        <v>1360</v>
      </c>
      <c r="IZ11" s="102">
        <v>1360</v>
      </c>
      <c r="JA11" s="102">
        <v>1360</v>
      </c>
      <c r="JB11" s="102">
        <v>1360</v>
      </c>
      <c r="JC11" s="102">
        <v>1360</v>
      </c>
      <c r="JD11" s="102">
        <v>1360</v>
      </c>
      <c r="JE11" s="102">
        <v>1300</v>
      </c>
      <c r="JF11" s="102">
        <v>1300</v>
      </c>
      <c r="JG11" s="102">
        <v>1300</v>
      </c>
      <c r="JH11" s="102">
        <v>1300</v>
      </c>
      <c r="JI11" s="102">
        <v>1300</v>
      </c>
      <c r="JJ11" s="102">
        <v>1290</v>
      </c>
      <c r="JK11" s="102">
        <v>1290</v>
      </c>
      <c r="JL11" s="102">
        <v>1290</v>
      </c>
      <c r="JM11" s="102">
        <v>1290</v>
      </c>
      <c r="JN11" s="102">
        <v>1260</v>
      </c>
      <c r="JO11" s="102">
        <v>1260</v>
      </c>
      <c r="JP11" s="102">
        <v>1240</v>
      </c>
      <c r="JQ11" s="102">
        <v>1250</v>
      </c>
      <c r="JR11" s="102">
        <v>1250</v>
      </c>
      <c r="JS11" s="102">
        <v>1250</v>
      </c>
      <c r="JT11" s="102">
        <v>1250</v>
      </c>
      <c r="JU11" s="102">
        <v>1250</v>
      </c>
      <c r="JV11" s="102">
        <v>1250</v>
      </c>
      <c r="JW11" s="102">
        <v>1250</v>
      </c>
      <c r="JX11" s="102">
        <v>1225</v>
      </c>
      <c r="JY11" s="102">
        <v>1225</v>
      </c>
      <c r="JZ11" s="102">
        <v>1200</v>
      </c>
      <c r="KA11" s="102">
        <v>1200</v>
      </c>
      <c r="KB11" s="102">
        <v>1150</v>
      </c>
      <c r="KC11" s="102">
        <v>1150</v>
      </c>
      <c r="KD11" s="102">
        <v>1150</v>
      </c>
      <c r="KE11" s="102">
        <v>1150</v>
      </c>
      <c r="KF11" s="102">
        <v>1150</v>
      </c>
      <c r="KG11" s="102">
        <v>1150</v>
      </c>
      <c r="KH11" s="102">
        <v>1150</v>
      </c>
      <c r="KI11" s="102">
        <v>1150</v>
      </c>
      <c r="KJ11" s="102">
        <v>1150</v>
      </c>
      <c r="KK11" s="102">
        <v>1150</v>
      </c>
      <c r="KL11" s="102">
        <v>1175</v>
      </c>
      <c r="KM11" s="102">
        <v>1185</v>
      </c>
      <c r="KN11" s="102">
        <v>1220</v>
      </c>
      <c r="KO11" s="102">
        <v>1300</v>
      </c>
      <c r="KP11" s="102">
        <v>1300</v>
      </c>
      <c r="KQ11" s="102">
        <v>1300</v>
      </c>
      <c r="KR11" s="102">
        <v>1315</v>
      </c>
      <c r="KS11" s="102">
        <v>1315</v>
      </c>
      <c r="KT11" s="102">
        <v>1340</v>
      </c>
      <c r="KU11" s="102">
        <v>1350</v>
      </c>
      <c r="KV11" s="102">
        <v>1370</v>
      </c>
      <c r="KW11" s="102">
        <v>1375</v>
      </c>
      <c r="KX11" s="102">
        <v>1340</v>
      </c>
      <c r="KY11" s="102">
        <v>1340</v>
      </c>
      <c r="KZ11" s="102">
        <v>1310</v>
      </c>
      <c r="LA11" s="102">
        <v>1290</v>
      </c>
      <c r="LB11" s="102">
        <v>1290</v>
      </c>
      <c r="LC11" s="102">
        <v>1290</v>
      </c>
      <c r="LD11" s="102">
        <v>1265</v>
      </c>
      <c r="LE11" s="102"/>
      <c r="LF11" s="102"/>
      <c r="LG11" s="102"/>
    </row>
    <row r="12" spans="1:319" s="13" customFormat="1" ht="14">
      <c r="A12" s="54">
        <v>9</v>
      </c>
      <c r="B12" s="55"/>
      <c r="C12" s="55"/>
      <c r="D12" s="54" t="s">
        <v>37</v>
      </c>
      <c r="E12" s="55" t="s">
        <v>38</v>
      </c>
      <c r="F12" s="55" t="s">
        <v>40</v>
      </c>
      <c r="G12" s="54" t="s">
        <v>24</v>
      </c>
      <c r="H12" s="55" t="s">
        <v>40</v>
      </c>
      <c r="I12" s="56"/>
      <c r="J12" s="56"/>
      <c r="K12" s="56"/>
      <c r="L12" s="56"/>
      <c r="M12" s="56"/>
      <c r="N12" s="56"/>
      <c r="O12" s="56"/>
      <c r="P12" s="56">
        <v>1400</v>
      </c>
      <c r="Q12" s="56">
        <v>1500</v>
      </c>
      <c r="R12" s="56">
        <v>1500</v>
      </c>
      <c r="S12" s="56">
        <v>1500</v>
      </c>
      <c r="T12" s="56">
        <v>1500</v>
      </c>
      <c r="U12" s="56">
        <v>1500</v>
      </c>
      <c r="V12" s="56">
        <v>1650</v>
      </c>
      <c r="W12" s="57">
        <v>1650</v>
      </c>
      <c r="X12" s="56">
        <v>1650</v>
      </c>
      <c r="Y12" s="56">
        <v>1650</v>
      </c>
      <c r="Z12" s="57">
        <v>1800</v>
      </c>
      <c r="AA12" s="56">
        <v>1700</v>
      </c>
      <c r="AB12" s="56">
        <v>1610</v>
      </c>
      <c r="AC12" s="58">
        <v>1520</v>
      </c>
      <c r="AD12" s="58">
        <v>1538</v>
      </c>
      <c r="AE12" s="58">
        <v>1550</v>
      </c>
      <c r="AF12" s="58">
        <v>1500</v>
      </c>
      <c r="AG12" s="58">
        <v>1500</v>
      </c>
      <c r="AH12" s="58">
        <v>1500</v>
      </c>
      <c r="AI12" s="58">
        <v>1500</v>
      </c>
      <c r="AJ12" s="58">
        <v>1500</v>
      </c>
      <c r="AK12" s="58">
        <v>1410</v>
      </c>
      <c r="AL12" s="58">
        <f>+SUM(EG12:EJ12)/4</f>
        <v>1325</v>
      </c>
      <c r="AM12" s="58">
        <f>+SUM(EK12:EN12)/4</f>
        <v>1345</v>
      </c>
      <c r="AN12" s="58">
        <f>+SUM(EO12:EQ12)/COUNT(EO12:EQ12)</f>
        <v>1530</v>
      </c>
      <c r="AO12" s="58">
        <f>+SUM(ES12:EV12)/COUNT(ES12:EV12)</f>
        <v>1530</v>
      </c>
      <c r="AP12" s="58">
        <f>+SUM(EW12:FA12)/COUNT(EW12:FA12)</f>
        <v>1516</v>
      </c>
      <c r="AQ12" s="58">
        <f>+SUM(FB12:FE12)/COUNT(FB12:FE12)</f>
        <v>1362.5</v>
      </c>
      <c r="AR12" s="58">
        <f>+SUM(FF12:FI12)/COUNT(FF12:FI12)</f>
        <v>1350</v>
      </c>
      <c r="AS12" s="58">
        <f>+SUM(FJ12:FN12)/COUNT(FJ12:FN12)</f>
        <v>1328</v>
      </c>
      <c r="AT12" s="58">
        <f>+SUM(FO12:FR12)/COUNT(FO12:FR12)</f>
        <v>1327.5</v>
      </c>
      <c r="AU12" s="58">
        <f>+SUM(FS12:FV12)/COUNT(FS12:FV12)</f>
        <v>1326.25</v>
      </c>
      <c r="AV12" s="102">
        <f>+SUM(FW12:FZ12)/COUNT(FW12:FZ12)</f>
        <v>1350</v>
      </c>
      <c r="AW12" s="102">
        <f>+SUM(GA12:GE12)/COUNT(GA12:GE12)</f>
        <v>1350</v>
      </c>
      <c r="AX12" s="102">
        <f>+SUM(GF12:GI12)/COUNT(GF12:GI12)</f>
        <v>1375</v>
      </c>
      <c r="AY12" s="102">
        <f>+SUM(GJ12:GL12)/COUNT(GJ12:GL12)</f>
        <v>1400</v>
      </c>
      <c r="AZ12" s="102">
        <f>+SUM(GM12:GP12)/COUNT(GM12:GP12)</f>
        <v>1390</v>
      </c>
      <c r="BA12" s="102">
        <f>+SUM(GQ12:GT12)/COUNT(GQ12:GT12)</f>
        <v>1397.5</v>
      </c>
      <c r="BB12" s="102">
        <f>+SUM(GU12:GY12)/COUNT(GU12:GY12)</f>
        <v>1399.2</v>
      </c>
      <c r="BC12" s="102">
        <f t="shared" si="34"/>
        <v>1455</v>
      </c>
      <c r="BD12" s="102">
        <f t="shared" si="35"/>
        <v>1455</v>
      </c>
      <c r="BE12" s="102">
        <f>+SUM(HH12:HL12)/COUNT(HH12:HL12)</f>
        <v>1504</v>
      </c>
      <c r="BF12" s="102">
        <f t="shared" si="36"/>
        <v>1550</v>
      </c>
      <c r="BG12" s="102">
        <f t="shared" si="37"/>
        <v>1580</v>
      </c>
      <c r="BH12" s="102">
        <f>+SUM(HU12:HY12)/COUNT(HU12:HY12)</f>
        <v>1580</v>
      </c>
      <c r="BI12" s="102">
        <f t="shared" si="38"/>
        <v>1555</v>
      </c>
      <c r="BJ12" s="102">
        <f>+SUM(ID12:IG12)/COUNT(ID12:IG12)</f>
        <v>1512.5</v>
      </c>
      <c r="BK12" s="102">
        <f>+SUM(IH12:IK12)/COUNT(IH12:IK12)</f>
        <v>1500</v>
      </c>
      <c r="BL12" s="102">
        <f>+SUM(IL12:IO12)/COUNT(IL12:IO12)</f>
        <v>1500</v>
      </c>
      <c r="BM12" s="102">
        <f>+SUM(IP12:IS12)/COUNT(IP12:IS12)</f>
        <v>1500</v>
      </c>
      <c r="BN12" s="102">
        <f>+SUM(IT12:IX12)/COUNT(IT12:IX12)</f>
        <v>1500</v>
      </c>
      <c r="BO12" s="102">
        <f t="shared" ref="BO12:BO14" si="40">+SUM(IY12:JB12)/COUNT(IY12:JB12)</f>
        <v>1500</v>
      </c>
      <c r="BP12" s="102">
        <f>+SUM(JC12:JG12)/COUNT(JC12:JG12)</f>
        <v>1440</v>
      </c>
      <c r="BQ12" s="102">
        <f t="shared" ref="BQ12:BQ14" si="41">+SUM(JH12:JK12)/COUNT(JH12:JK12)</f>
        <v>1390</v>
      </c>
      <c r="BR12" s="102">
        <f t="shared" ref="BR12:BR14" si="42">+SUM(JL12:JO12)/COUNT(JL12:JO12)</f>
        <v>1350</v>
      </c>
      <c r="BS12" s="102">
        <f t="shared" ref="BS12:BS14" si="43">+SUM(JP12:JT12)/COUNT(JP12:JT12)</f>
        <v>1344</v>
      </c>
      <c r="BT12" s="102">
        <f t="shared" ref="BT12:BT14" si="44">+SUM(JU12:JX12)/COUNT(JU12:JX12)</f>
        <v>1350</v>
      </c>
      <c r="BU12" s="102">
        <f t="shared" ref="BU12:BU14" si="45">+SUM(JY12:KB12)/COUNT(JY12:KB12)</f>
        <v>1300</v>
      </c>
      <c r="BV12" s="102">
        <f t="shared" ref="BV12:BV14" si="46">+SUM(KC12:KG12)/COUNT(KC12:KG12)</f>
        <v>1250</v>
      </c>
      <c r="BW12" s="102">
        <f t="shared" ref="BW12:BW14" si="47">+SUM(KH12:KK12)/COUNT(KH12:KK12)</f>
        <v>1250</v>
      </c>
      <c r="BX12" s="102">
        <f>+SUM(KL12:KO12)/COUNT(KL12:KO12)</f>
        <v>1312.5</v>
      </c>
      <c r="BY12" s="102">
        <f t="shared" ref="BY12:BY14" si="48">+SUM(KP12:KT12)/COUNT(KP12:KT12)</f>
        <v>1400</v>
      </c>
      <c r="BZ12" s="102">
        <f t="shared" ref="BZ12:BZ14" si="49">+SUM(KU12:KX12)/COUNT(KU12:KX12)</f>
        <v>1422.5</v>
      </c>
      <c r="CA12" s="102">
        <f t="shared" ref="CA12:CA14" si="50">+SUM(KY12:LB12)/COUNT(KY12:LB12)</f>
        <v>1367.5</v>
      </c>
      <c r="CB12" s="102">
        <f t="shared" ref="CB12:CB14" si="51">+SUM(LC12:LG12)/COUNT(LC12:LG12)</f>
        <v>1350</v>
      </c>
      <c r="CD12" s="54" t="s">
        <v>37</v>
      </c>
      <c r="CE12" s="55" t="s">
        <v>38</v>
      </c>
      <c r="CF12" s="126" t="s">
        <v>40</v>
      </c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6">
        <v>1670</v>
      </c>
      <c r="DE12" s="56">
        <v>1700</v>
      </c>
      <c r="DF12" s="56">
        <v>1650</v>
      </c>
      <c r="DG12" s="56">
        <v>1620</v>
      </c>
      <c r="DH12" s="56">
        <v>1650</v>
      </c>
      <c r="DI12" s="56">
        <v>1650</v>
      </c>
      <c r="DJ12" s="56">
        <v>1650</v>
      </c>
      <c r="DK12" s="56">
        <v>1680</v>
      </c>
      <c r="DL12" s="56">
        <v>1680</v>
      </c>
      <c r="DM12" s="56">
        <v>1620</v>
      </c>
      <c r="DN12" s="56">
        <v>1620</v>
      </c>
      <c r="DO12" s="56">
        <v>1520</v>
      </c>
      <c r="DP12" s="56">
        <v>1550</v>
      </c>
      <c r="DQ12" s="56">
        <v>1550</v>
      </c>
      <c r="DR12" s="56">
        <v>1550</v>
      </c>
      <c r="DS12" s="56">
        <v>1550</v>
      </c>
      <c r="DT12" s="56">
        <v>1500</v>
      </c>
      <c r="DU12" s="58">
        <v>1500</v>
      </c>
      <c r="DV12" s="58">
        <v>1500</v>
      </c>
      <c r="DW12" s="58">
        <v>1500</v>
      </c>
      <c r="DX12" s="58">
        <v>1450</v>
      </c>
      <c r="DY12" s="58">
        <v>1450</v>
      </c>
      <c r="DZ12" s="58">
        <v>1450</v>
      </c>
      <c r="EA12" s="58">
        <v>1450</v>
      </c>
      <c r="EB12" s="115">
        <v>1450</v>
      </c>
      <c r="EC12" s="115">
        <v>1450</v>
      </c>
      <c r="ED12" s="115">
        <v>1450</v>
      </c>
      <c r="EE12" s="115">
        <v>1350</v>
      </c>
      <c r="EF12" s="115">
        <v>1350</v>
      </c>
      <c r="EG12" s="58">
        <v>1350</v>
      </c>
      <c r="EH12" s="58">
        <v>1350</v>
      </c>
      <c r="EI12" s="58">
        <v>1300</v>
      </c>
      <c r="EJ12" s="58">
        <v>1300</v>
      </c>
      <c r="EK12" s="58">
        <v>1300</v>
      </c>
      <c r="EL12" s="58">
        <v>1300</v>
      </c>
      <c r="EM12" s="58">
        <v>1350</v>
      </c>
      <c r="EN12" s="58">
        <v>1430</v>
      </c>
      <c r="EO12" s="58">
        <v>1530</v>
      </c>
      <c r="EP12" s="58">
        <v>1530</v>
      </c>
      <c r="EQ12" s="58">
        <v>1530</v>
      </c>
      <c r="ER12" s="58">
        <v>1530</v>
      </c>
      <c r="ES12" s="58">
        <v>1530</v>
      </c>
      <c r="ET12" s="58">
        <v>1530</v>
      </c>
      <c r="EU12" s="58">
        <v>1530</v>
      </c>
      <c r="EV12" s="58">
        <v>1530</v>
      </c>
      <c r="EW12" s="58">
        <v>1530</v>
      </c>
      <c r="EX12" s="58">
        <v>1530</v>
      </c>
      <c r="EY12" s="58">
        <v>1530</v>
      </c>
      <c r="EZ12" s="58">
        <v>1530</v>
      </c>
      <c r="FA12" s="58">
        <v>1460</v>
      </c>
      <c r="FB12" s="58">
        <v>1400</v>
      </c>
      <c r="FC12" s="58">
        <v>1350</v>
      </c>
      <c r="FD12" s="58">
        <v>1350</v>
      </c>
      <c r="FE12" s="58">
        <v>1350</v>
      </c>
      <c r="FF12" s="58">
        <v>1350</v>
      </c>
      <c r="FG12" s="58">
        <v>1350</v>
      </c>
      <c r="FH12" s="58">
        <v>1350</v>
      </c>
      <c r="FI12" s="58">
        <v>1350</v>
      </c>
      <c r="FJ12" s="58">
        <v>1300</v>
      </c>
      <c r="FK12" s="58">
        <v>1320</v>
      </c>
      <c r="FL12" s="58">
        <v>1320</v>
      </c>
      <c r="FM12" s="102">
        <v>1350</v>
      </c>
      <c r="FN12" s="102">
        <v>1350</v>
      </c>
      <c r="FO12" s="102">
        <v>1330</v>
      </c>
      <c r="FP12" s="102">
        <v>1330</v>
      </c>
      <c r="FQ12" s="102">
        <v>1330</v>
      </c>
      <c r="FR12" s="102">
        <v>1320</v>
      </c>
      <c r="FS12" s="102">
        <v>1320</v>
      </c>
      <c r="FT12" s="102">
        <v>1325</v>
      </c>
      <c r="FU12" s="102">
        <v>1310</v>
      </c>
      <c r="FV12" s="102">
        <v>1350</v>
      </c>
      <c r="FW12" s="102">
        <v>1350</v>
      </c>
      <c r="FX12" s="102">
        <v>1350</v>
      </c>
      <c r="FY12" s="102">
        <v>1350</v>
      </c>
      <c r="FZ12" s="102">
        <v>1350</v>
      </c>
      <c r="GA12" s="102">
        <v>1350</v>
      </c>
      <c r="GB12" s="102">
        <v>1350</v>
      </c>
      <c r="GC12" s="102">
        <v>1350</v>
      </c>
      <c r="GD12" s="102">
        <v>1350</v>
      </c>
      <c r="GE12" s="102">
        <v>1350</v>
      </c>
      <c r="GF12" s="102">
        <v>1350</v>
      </c>
      <c r="GG12" s="102">
        <v>1350</v>
      </c>
      <c r="GH12" s="102">
        <v>1400</v>
      </c>
      <c r="GI12" s="102">
        <v>1400</v>
      </c>
      <c r="GJ12" s="102">
        <v>1400</v>
      </c>
      <c r="GK12" s="102">
        <v>1400</v>
      </c>
      <c r="GL12" s="102">
        <v>1400</v>
      </c>
      <c r="GM12" s="102">
        <v>1400</v>
      </c>
      <c r="GN12" s="102">
        <v>1400</v>
      </c>
      <c r="GO12" s="102">
        <v>1380</v>
      </c>
      <c r="GP12" s="102">
        <v>1380</v>
      </c>
      <c r="GQ12" s="102">
        <v>1400</v>
      </c>
      <c r="GR12" s="102">
        <v>1400</v>
      </c>
      <c r="GS12" s="102">
        <v>1400</v>
      </c>
      <c r="GT12" s="102">
        <v>1390</v>
      </c>
      <c r="GU12" s="102">
        <v>1396</v>
      </c>
      <c r="GV12" s="102">
        <v>1400</v>
      </c>
      <c r="GW12" s="102">
        <v>1400</v>
      </c>
      <c r="GX12" s="102">
        <v>1400</v>
      </c>
      <c r="GY12" s="102">
        <v>1400</v>
      </c>
      <c r="GZ12" s="102">
        <v>1455</v>
      </c>
      <c r="HA12" s="102">
        <v>1455</v>
      </c>
      <c r="HB12" s="102">
        <v>1455</v>
      </c>
      <c r="HC12" s="102">
        <v>1455</v>
      </c>
      <c r="HD12" s="102">
        <v>1455</v>
      </c>
      <c r="HE12" s="102">
        <v>1455</v>
      </c>
      <c r="HF12" s="102">
        <v>1455</v>
      </c>
      <c r="HG12" s="102">
        <v>1455</v>
      </c>
      <c r="HH12" s="102">
        <v>1500</v>
      </c>
      <c r="HI12" s="102">
        <v>1500</v>
      </c>
      <c r="HJ12" s="102">
        <v>1500</v>
      </c>
      <c r="HK12" s="102">
        <v>1510</v>
      </c>
      <c r="HL12" s="102">
        <v>1510</v>
      </c>
      <c r="HM12" s="102">
        <v>1550</v>
      </c>
      <c r="HN12" s="102">
        <v>1550</v>
      </c>
      <c r="HO12" s="102">
        <v>1550</v>
      </c>
      <c r="HP12" s="102">
        <v>1550</v>
      </c>
      <c r="HQ12" s="102">
        <v>1580</v>
      </c>
      <c r="HR12" s="102">
        <v>1580</v>
      </c>
      <c r="HS12" s="102">
        <v>1580</v>
      </c>
      <c r="HT12" s="102">
        <v>1580</v>
      </c>
      <c r="HU12" s="102">
        <v>1580</v>
      </c>
      <c r="HV12" s="102">
        <v>1580</v>
      </c>
      <c r="HW12" s="102">
        <v>1580</v>
      </c>
      <c r="HX12" s="102">
        <v>1580</v>
      </c>
      <c r="HY12" s="102">
        <v>1580</v>
      </c>
      <c r="HZ12" s="102">
        <v>1560</v>
      </c>
      <c r="IA12" s="102">
        <v>1560</v>
      </c>
      <c r="IB12" s="102">
        <v>1550</v>
      </c>
      <c r="IC12" s="102">
        <v>1550</v>
      </c>
      <c r="ID12" s="102">
        <v>1550</v>
      </c>
      <c r="IE12" s="102">
        <v>1500</v>
      </c>
      <c r="IF12" s="102">
        <v>1500</v>
      </c>
      <c r="IG12" s="102">
        <v>1500</v>
      </c>
      <c r="IH12" s="102">
        <v>1500</v>
      </c>
      <c r="II12" s="102">
        <v>1500</v>
      </c>
      <c r="IJ12" s="102">
        <v>1500</v>
      </c>
      <c r="IK12" s="102">
        <v>1500</v>
      </c>
      <c r="IL12" s="102">
        <v>1500</v>
      </c>
      <c r="IM12" s="102">
        <v>1500</v>
      </c>
      <c r="IN12" s="102">
        <v>1500</v>
      </c>
      <c r="IO12" s="102">
        <v>1500</v>
      </c>
      <c r="IP12" s="102">
        <v>1500</v>
      </c>
      <c r="IQ12" s="102">
        <v>1500</v>
      </c>
      <c r="IR12" s="102">
        <v>1500</v>
      </c>
      <c r="IS12" s="102">
        <v>1500</v>
      </c>
      <c r="IT12" s="102">
        <v>1500</v>
      </c>
      <c r="IU12" s="102">
        <v>1500</v>
      </c>
      <c r="IV12" s="102">
        <v>1500</v>
      </c>
      <c r="IW12" s="102">
        <v>1500</v>
      </c>
      <c r="IX12" s="102">
        <v>1500</v>
      </c>
      <c r="IY12" s="102">
        <v>1500</v>
      </c>
      <c r="IZ12" s="102">
        <v>1500</v>
      </c>
      <c r="JA12" s="102">
        <v>1500</v>
      </c>
      <c r="JB12" s="102">
        <v>1500</v>
      </c>
      <c r="JC12" s="102">
        <v>1500</v>
      </c>
      <c r="JD12" s="102">
        <v>1500</v>
      </c>
      <c r="JE12" s="102">
        <v>1400</v>
      </c>
      <c r="JF12" s="102">
        <v>1400</v>
      </c>
      <c r="JG12" s="102">
        <v>1400</v>
      </c>
      <c r="JH12" s="102">
        <v>1400</v>
      </c>
      <c r="JI12" s="102">
        <v>1400</v>
      </c>
      <c r="JJ12" s="102">
        <v>1380</v>
      </c>
      <c r="JK12" s="102">
        <v>1380</v>
      </c>
      <c r="JL12" s="102">
        <v>1380</v>
      </c>
      <c r="JM12" s="102">
        <v>1380</v>
      </c>
      <c r="JN12" s="102">
        <v>1320</v>
      </c>
      <c r="JO12" s="102">
        <v>1320</v>
      </c>
      <c r="JP12" s="102">
        <v>1320</v>
      </c>
      <c r="JQ12" s="102">
        <v>1350</v>
      </c>
      <c r="JR12" s="102">
        <v>1350</v>
      </c>
      <c r="JS12" s="102">
        <v>1350</v>
      </c>
      <c r="JT12" s="102">
        <v>1350</v>
      </c>
      <c r="JU12" s="102">
        <v>1350</v>
      </c>
      <c r="JV12" s="102">
        <v>1350</v>
      </c>
      <c r="JW12" s="102">
        <v>1350</v>
      </c>
      <c r="JX12" s="102">
        <v>1350</v>
      </c>
      <c r="JY12" s="102">
        <v>1350</v>
      </c>
      <c r="JZ12" s="102">
        <v>1300</v>
      </c>
      <c r="KA12" s="102">
        <v>1300</v>
      </c>
      <c r="KB12" s="102">
        <v>1250</v>
      </c>
      <c r="KC12" s="102">
        <v>1250</v>
      </c>
      <c r="KD12" s="102">
        <v>1250</v>
      </c>
      <c r="KE12" s="102">
        <v>1250</v>
      </c>
      <c r="KF12" s="102">
        <v>1250</v>
      </c>
      <c r="KG12" s="102">
        <v>1250</v>
      </c>
      <c r="KH12" s="102">
        <v>1250</v>
      </c>
      <c r="KI12" s="102">
        <v>1250</v>
      </c>
      <c r="KJ12" s="102">
        <v>1250</v>
      </c>
      <c r="KK12" s="102">
        <v>1250</v>
      </c>
      <c r="KL12" s="102">
        <v>1250</v>
      </c>
      <c r="KM12" s="102">
        <v>1270</v>
      </c>
      <c r="KN12" s="102">
        <v>1330</v>
      </c>
      <c r="KO12" s="102">
        <v>1400</v>
      </c>
      <c r="KP12" s="102">
        <v>1400</v>
      </c>
      <c r="KQ12" s="102">
        <v>1400</v>
      </c>
      <c r="KR12" s="102">
        <v>1400</v>
      </c>
      <c r="KS12" s="102">
        <v>1400</v>
      </c>
      <c r="KT12" s="102">
        <v>1400</v>
      </c>
      <c r="KU12" s="102">
        <v>1400</v>
      </c>
      <c r="KV12" s="102">
        <v>1440</v>
      </c>
      <c r="KW12" s="102">
        <v>1450</v>
      </c>
      <c r="KX12" s="102">
        <v>1400</v>
      </c>
      <c r="KY12" s="102">
        <v>1400</v>
      </c>
      <c r="KZ12" s="102">
        <v>1370</v>
      </c>
      <c r="LA12" s="102">
        <v>1350</v>
      </c>
      <c r="LB12" s="102">
        <v>1350</v>
      </c>
      <c r="LC12" s="102">
        <v>1350</v>
      </c>
      <c r="LD12" s="102">
        <v>1350</v>
      </c>
      <c r="LE12" s="102"/>
      <c r="LF12" s="102"/>
      <c r="LG12" s="102"/>
    </row>
    <row r="13" spans="1:319" ht="28" hidden="1">
      <c r="D13" s="54" t="s">
        <v>41</v>
      </c>
      <c r="E13" s="25"/>
      <c r="F13" s="59" t="s">
        <v>42</v>
      </c>
      <c r="G13" s="54" t="s">
        <v>24</v>
      </c>
      <c r="H13" s="110" t="s">
        <v>71</v>
      </c>
      <c r="I13" s="25"/>
      <c r="J13" s="25"/>
      <c r="K13" s="25"/>
      <c r="L13" s="25"/>
      <c r="M13" s="25"/>
      <c r="N13" s="25"/>
      <c r="O13" s="25"/>
      <c r="P13" s="25"/>
      <c r="Q13" s="25"/>
      <c r="R13" s="56">
        <v>1290</v>
      </c>
      <c r="S13" s="56">
        <v>1290</v>
      </c>
      <c r="T13" s="56">
        <v>1290</v>
      </c>
      <c r="U13" s="56">
        <v>1205</v>
      </c>
      <c r="V13" s="56">
        <v>1205</v>
      </c>
      <c r="W13" s="56">
        <v>1542</v>
      </c>
      <c r="X13" s="56">
        <v>1542</v>
      </c>
      <c r="Y13" s="56">
        <v>1542</v>
      </c>
      <c r="Z13" s="57">
        <v>1755</v>
      </c>
      <c r="AA13" s="56">
        <v>1755</v>
      </c>
      <c r="AB13" s="58">
        <v>1755</v>
      </c>
      <c r="AC13" s="58">
        <v>1755</v>
      </c>
      <c r="AD13" s="58">
        <v>1755</v>
      </c>
      <c r="AE13" s="58">
        <v>1718</v>
      </c>
      <c r="AF13" s="58">
        <v>1718</v>
      </c>
      <c r="AG13" s="58">
        <v>1718</v>
      </c>
      <c r="AH13" s="58">
        <v>1718</v>
      </c>
      <c r="AI13" s="58">
        <v>1718</v>
      </c>
      <c r="AJ13" s="58">
        <v>1718</v>
      </c>
      <c r="AK13" s="102">
        <v>1718</v>
      </c>
      <c r="AL13" s="58">
        <f>+SUM(EG13:EJ13)/4</f>
        <v>1640.75</v>
      </c>
      <c r="AM13" s="58">
        <f>+SUM(EK13:EN13)/4</f>
        <v>1615</v>
      </c>
      <c r="AN13" s="58">
        <f>+SUM(EO13:EQ13)/COUNT(EO13:EQ13)</f>
        <v>1615</v>
      </c>
      <c r="AO13" s="58"/>
      <c r="AP13" s="58"/>
      <c r="AQ13" s="58"/>
      <c r="AR13" s="58"/>
      <c r="AS13" s="58"/>
      <c r="AT13" s="58"/>
      <c r="AU13" s="58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 t="e">
        <f t="shared" si="40"/>
        <v>#DIV/0!</v>
      </c>
      <c r="BP13" s="102" t="e">
        <f t="shared" ref="BP13:BP14" si="52">+SUM(JC13:JG13)/COUNT(JC13:JG13)</f>
        <v>#DIV/0!</v>
      </c>
      <c r="BQ13" s="102" t="e">
        <f t="shared" si="41"/>
        <v>#DIV/0!</v>
      </c>
      <c r="BR13" s="102" t="e">
        <f t="shared" si="42"/>
        <v>#DIV/0!</v>
      </c>
      <c r="BS13" s="102" t="e">
        <f t="shared" si="43"/>
        <v>#DIV/0!</v>
      </c>
      <c r="BT13" s="102" t="e">
        <f t="shared" si="44"/>
        <v>#DIV/0!</v>
      </c>
      <c r="BU13" s="102" t="e">
        <f t="shared" si="45"/>
        <v>#DIV/0!</v>
      </c>
      <c r="BV13" s="102" t="e">
        <f t="shared" si="46"/>
        <v>#DIV/0!</v>
      </c>
      <c r="BW13" s="102" t="e">
        <f t="shared" si="47"/>
        <v>#DIV/0!</v>
      </c>
      <c r="BX13" s="102" t="e">
        <f t="shared" ref="BX13:BX14" si="53">+SUM(KL13:KO13)/COUNT(KL13:KO13)</f>
        <v>#DIV/0!</v>
      </c>
      <c r="BY13" s="102" t="e">
        <f t="shared" si="48"/>
        <v>#DIV/0!</v>
      </c>
      <c r="BZ13" s="102" t="e">
        <f t="shared" si="49"/>
        <v>#DIV/0!</v>
      </c>
      <c r="CA13" s="102" t="e">
        <f t="shared" si="50"/>
        <v>#DIV/0!</v>
      </c>
      <c r="CB13" s="102" t="e">
        <f t="shared" si="51"/>
        <v>#DIV/0!</v>
      </c>
      <c r="CD13" s="54" t="s">
        <v>41</v>
      </c>
      <c r="CE13" s="25"/>
      <c r="CF13" s="110" t="s">
        <v>71</v>
      </c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6">
        <v>1755</v>
      </c>
      <c r="DE13" s="56">
        <v>1755</v>
      </c>
      <c r="DF13" s="56">
        <v>1755</v>
      </c>
      <c r="DG13" s="56">
        <v>1755</v>
      </c>
      <c r="DH13" s="56">
        <v>1755</v>
      </c>
      <c r="DI13" s="56">
        <v>1755</v>
      </c>
      <c r="DJ13" s="56">
        <v>1755</v>
      </c>
      <c r="DK13" s="56">
        <v>1755</v>
      </c>
      <c r="DL13" s="56">
        <v>1755</v>
      </c>
      <c r="DM13" s="56">
        <v>1755</v>
      </c>
      <c r="DN13" s="56">
        <v>1755</v>
      </c>
      <c r="DO13" s="56">
        <v>1718</v>
      </c>
      <c r="DP13" s="56">
        <v>1718</v>
      </c>
      <c r="DQ13" s="56">
        <v>1718</v>
      </c>
      <c r="DR13" s="56">
        <v>1718</v>
      </c>
      <c r="DS13" s="56">
        <v>1718</v>
      </c>
      <c r="DT13" s="56">
        <v>1718</v>
      </c>
      <c r="DU13" s="58">
        <v>1718</v>
      </c>
      <c r="DV13" s="58">
        <v>1718</v>
      </c>
      <c r="DW13" s="58">
        <v>1718</v>
      </c>
      <c r="DX13" s="58">
        <v>1718</v>
      </c>
      <c r="DY13" s="58">
        <v>1718</v>
      </c>
      <c r="DZ13" s="58">
        <v>1718</v>
      </c>
      <c r="EA13" s="58">
        <v>1718</v>
      </c>
      <c r="EB13" s="58">
        <v>1718</v>
      </c>
      <c r="EC13" s="58">
        <v>1718</v>
      </c>
      <c r="ED13" s="58">
        <v>1718</v>
      </c>
      <c r="EE13" s="58">
        <v>1718</v>
      </c>
      <c r="EF13" s="58">
        <v>1718</v>
      </c>
      <c r="EG13" s="58">
        <v>1718</v>
      </c>
      <c r="EH13" s="58">
        <v>1615</v>
      </c>
      <c r="EI13" s="58">
        <v>1615</v>
      </c>
      <c r="EJ13" s="58">
        <v>1615</v>
      </c>
      <c r="EK13" s="58">
        <v>1615</v>
      </c>
      <c r="EL13" s="58">
        <v>1615</v>
      </c>
      <c r="EM13" s="58">
        <v>1615</v>
      </c>
      <c r="EN13" s="58">
        <v>1615</v>
      </c>
      <c r="EO13" s="58">
        <v>1615</v>
      </c>
      <c r="EP13" s="58">
        <v>1615</v>
      </c>
      <c r="EQ13" s="58">
        <v>1615</v>
      </c>
      <c r="ER13" s="58">
        <v>1615</v>
      </c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102"/>
      <c r="FN13" s="102"/>
      <c r="FO13" s="102"/>
      <c r="FP13" s="102"/>
      <c r="FQ13" s="102"/>
      <c r="FR13" s="102"/>
      <c r="FS13" s="102"/>
      <c r="FT13" s="102"/>
      <c r="FU13" s="102"/>
      <c r="FV13" s="102"/>
      <c r="FW13" s="102"/>
      <c r="FX13" s="102"/>
      <c r="FY13" s="102"/>
      <c r="FZ13" s="102"/>
      <c r="GA13" s="102"/>
      <c r="GB13" s="102"/>
      <c r="GC13" s="102"/>
      <c r="GD13" s="102"/>
      <c r="GE13" s="102"/>
      <c r="GF13" s="102"/>
      <c r="GG13" s="102"/>
      <c r="GH13" s="102"/>
      <c r="GI13" s="102"/>
      <c r="GJ13" s="102"/>
      <c r="GK13" s="102"/>
      <c r="GL13" s="102"/>
      <c r="GM13" s="102"/>
      <c r="GN13" s="102"/>
      <c r="GO13" s="102"/>
      <c r="GP13" s="102"/>
      <c r="GQ13" s="102"/>
      <c r="GR13" s="102"/>
      <c r="GS13" s="102"/>
      <c r="GT13" s="102"/>
      <c r="GU13" s="102"/>
      <c r="GV13" s="102"/>
      <c r="GW13" s="102"/>
      <c r="GX13" s="102"/>
      <c r="GY13" s="102"/>
      <c r="GZ13" s="102"/>
      <c r="HA13" s="102"/>
      <c r="HB13" s="102"/>
      <c r="HC13" s="102"/>
      <c r="HD13" s="102"/>
      <c r="HE13" s="102"/>
      <c r="HF13" s="102"/>
      <c r="HG13" s="102"/>
      <c r="HH13" s="102"/>
      <c r="HI13" s="102"/>
      <c r="HJ13" s="102"/>
      <c r="HK13" s="102"/>
      <c r="HL13" s="102"/>
      <c r="HM13" s="102"/>
      <c r="HN13" s="102"/>
      <c r="HO13" s="102"/>
      <c r="HP13" s="102"/>
      <c r="HQ13" s="102"/>
      <c r="HR13" s="102"/>
      <c r="HS13" s="102"/>
      <c r="HT13" s="102"/>
      <c r="HU13" s="102"/>
      <c r="HV13" s="102"/>
      <c r="HW13" s="102"/>
      <c r="HX13" s="102"/>
      <c r="HY13" s="102"/>
      <c r="HZ13" s="102"/>
      <c r="IA13" s="102"/>
      <c r="IB13" s="102"/>
      <c r="IC13" s="102"/>
      <c r="ID13" s="102"/>
      <c r="IE13" s="102"/>
      <c r="IF13" s="102"/>
      <c r="IG13" s="102"/>
      <c r="IH13" s="102"/>
      <c r="II13" s="102"/>
      <c r="IJ13" s="102"/>
      <c r="IK13" s="102"/>
      <c r="IL13" s="102"/>
      <c r="IM13" s="102"/>
      <c r="IN13" s="102"/>
      <c r="IO13" s="102"/>
      <c r="IP13" s="102"/>
      <c r="IQ13" s="102"/>
      <c r="IR13" s="102"/>
      <c r="IS13" s="102"/>
      <c r="IT13" s="102"/>
      <c r="IU13" s="102"/>
      <c r="IV13" s="102"/>
      <c r="IW13" s="102"/>
      <c r="IX13" s="102"/>
      <c r="IY13" s="102"/>
      <c r="IZ13" s="102"/>
      <c r="JA13" s="102"/>
      <c r="JB13" s="102"/>
      <c r="JC13" s="102"/>
      <c r="JD13" s="102"/>
      <c r="JE13" s="102"/>
      <c r="JF13" s="102"/>
      <c r="JG13" s="102"/>
      <c r="JH13" s="102"/>
      <c r="JI13" s="102"/>
      <c r="JJ13" s="102"/>
      <c r="JK13" s="102"/>
      <c r="JL13" s="102"/>
      <c r="JM13" s="102"/>
      <c r="JN13" s="102"/>
      <c r="JO13" s="102"/>
      <c r="JP13" s="102"/>
      <c r="JQ13" s="102"/>
      <c r="JR13" s="102"/>
      <c r="JS13" s="102"/>
      <c r="JT13" s="102"/>
      <c r="JU13" s="102"/>
      <c r="JV13" s="102"/>
      <c r="JW13" s="102"/>
      <c r="JX13" s="102"/>
      <c r="JY13" s="102"/>
      <c r="JZ13" s="102"/>
      <c r="KA13" s="102"/>
      <c r="KB13" s="102"/>
      <c r="KC13" s="102"/>
      <c r="KD13" s="102"/>
      <c r="KE13" s="102"/>
      <c r="KF13" s="102"/>
      <c r="KG13" s="102"/>
      <c r="KH13" s="102"/>
      <c r="KI13" s="102"/>
      <c r="KJ13" s="102"/>
      <c r="KK13" s="102"/>
      <c r="KL13" s="102"/>
      <c r="KM13" s="102"/>
      <c r="KN13" s="102"/>
      <c r="KO13" s="102"/>
      <c r="KP13" s="102"/>
      <c r="KQ13" s="102"/>
      <c r="KR13" s="102"/>
      <c r="KS13" s="102"/>
      <c r="KT13" s="102"/>
      <c r="KU13" s="102"/>
      <c r="KV13" s="102"/>
      <c r="KW13" s="102"/>
      <c r="KX13" s="102"/>
      <c r="KY13" s="102"/>
      <c r="KZ13" s="102"/>
      <c r="LA13" s="102"/>
      <c r="LB13" s="102"/>
      <c r="LC13" s="102"/>
      <c r="LD13" s="102"/>
      <c r="LE13" s="102"/>
      <c r="LF13" s="102"/>
      <c r="LG13" s="102"/>
    </row>
    <row r="14" spans="1:319" ht="14">
      <c r="D14" s="54" t="s">
        <v>41</v>
      </c>
      <c r="E14" s="25"/>
      <c r="F14" s="59" t="s">
        <v>130</v>
      </c>
      <c r="G14" s="54" t="s">
        <v>24</v>
      </c>
      <c r="H14" s="110" t="s">
        <v>130</v>
      </c>
      <c r="I14" s="25"/>
      <c r="J14" s="25"/>
      <c r="K14" s="25"/>
      <c r="L14" s="25"/>
      <c r="M14" s="25"/>
      <c r="N14" s="25"/>
      <c r="O14" s="25"/>
      <c r="P14" s="25"/>
      <c r="Q14" s="25"/>
      <c r="R14" s="56"/>
      <c r="S14" s="56">
        <v>1190</v>
      </c>
      <c r="T14" s="56">
        <v>1150</v>
      </c>
      <c r="U14" s="56">
        <v>1165</v>
      </c>
      <c r="V14" s="56">
        <v>1272.5</v>
      </c>
      <c r="W14" s="56">
        <v>1346</v>
      </c>
      <c r="X14" s="56">
        <v>1297.5</v>
      </c>
      <c r="Y14" s="56">
        <v>1316.6666666666667</v>
      </c>
      <c r="Z14" s="56">
        <v>1390</v>
      </c>
      <c r="AA14" s="56">
        <v>1220</v>
      </c>
      <c r="AB14" s="56">
        <v>1270</v>
      </c>
      <c r="AC14" s="56">
        <v>1190</v>
      </c>
      <c r="AD14" s="56">
        <v>1190</v>
      </c>
      <c r="AE14" s="56">
        <v>1130</v>
      </c>
      <c r="AF14" s="56">
        <v>1100</v>
      </c>
      <c r="AG14" s="56">
        <v>1100</v>
      </c>
      <c r="AH14" s="56">
        <v>1070</v>
      </c>
      <c r="AI14" s="56">
        <v>1040</v>
      </c>
      <c r="AJ14" s="56">
        <v>1040</v>
      </c>
      <c r="AK14" s="56">
        <f>+SUM(EC14:EF14)/4</f>
        <v>977.5</v>
      </c>
      <c r="AL14" s="58">
        <f>+SUM(EG14:EJ14)/4</f>
        <v>1000</v>
      </c>
      <c r="AM14" s="58">
        <f>+SUM(EK14:EN14)/4</f>
        <v>1045</v>
      </c>
      <c r="AN14" s="58">
        <f>+SUM(EO14:EQ14)/COUNT(EO14:EQ14)</f>
        <v>1020</v>
      </c>
      <c r="AO14" s="58">
        <f>+SUM(ES14:EV14)/COUNT(ES14:EV14)</f>
        <v>1055</v>
      </c>
      <c r="AP14" s="58">
        <f>+SUM(EW14:FA14)/COUNT(EW14:FA14)</f>
        <v>974</v>
      </c>
      <c r="AQ14" s="58">
        <f>+SUM(FB14:FE14)/COUNT(FB14:FE14)</f>
        <v>895</v>
      </c>
      <c r="AR14" s="58">
        <f>+SUM(FF14:FI14)/COUNT(FF14:FI14)</f>
        <v>903</v>
      </c>
      <c r="AS14" s="58">
        <f>+SUM(FJ14:FN14)/COUNT(FJ14:FN14)</f>
        <v>918</v>
      </c>
      <c r="AT14" s="58">
        <f>+SUM(FO14:FR14)/COUNT(FO14:FR14)</f>
        <v>930</v>
      </c>
      <c r="AU14" s="58">
        <f>+SUM(FS14:FV14)/COUNT(FS14:FV14)</f>
        <v>922.5</v>
      </c>
      <c r="AV14" s="102">
        <f>+SUM(FW14:FZ14)/COUNT(FW14:FZ14)</f>
        <v>900</v>
      </c>
      <c r="AW14" s="102">
        <f>+SUM(GA14:GE14)/COUNT(GA14:GE14)</f>
        <v>900</v>
      </c>
      <c r="AX14" s="102">
        <f>+SUM(GF14:GI14)/COUNT(GF14:GI14)</f>
        <v>930</v>
      </c>
      <c r="AY14" s="102">
        <f>+SUM(GJ14:GL14)/COUNT(GJ14:GL14)</f>
        <v>943.33333333333337</v>
      </c>
      <c r="AZ14" s="102">
        <f>+SUM(GM14:GP14)/COUNT(GM14:GP14)</f>
        <v>940</v>
      </c>
      <c r="BA14" s="102">
        <f>+SUM(GQ14:GT14)/COUNT(GQ14:GT14)</f>
        <v>940</v>
      </c>
      <c r="BB14" s="102">
        <f>+SUM(GU14:GY14)/COUNT(GU14:GY14)</f>
        <v>942</v>
      </c>
      <c r="BC14" s="102">
        <f>+SUM(GZ14:HC14)/COUNT(GZ14:HC14)</f>
        <v>950</v>
      </c>
      <c r="BD14" s="102">
        <f>+SUM(HD14:HG14)/COUNT(HD14:HG14)</f>
        <v>947.5</v>
      </c>
      <c r="BE14" s="102">
        <f>+SUM(HH14:HL14)/COUNT(HH14:HL14)</f>
        <v>930</v>
      </c>
      <c r="BF14" s="102">
        <f>+SUM(HM14:HP14)/COUNT(HM14:HP14)</f>
        <v>880</v>
      </c>
      <c r="BG14" s="102">
        <f>+SUM(HQ14:HT14)/COUNT(HQ14:HT14)</f>
        <v>862.5</v>
      </c>
      <c r="BH14" s="102">
        <f>+SUM(HU14:HY14)/COUNT(HU14:HY14)</f>
        <v>852</v>
      </c>
      <c r="BI14" s="102">
        <f>+SUM(HZ14:IC14)/COUNT(HZ14:IC14)</f>
        <v>830</v>
      </c>
      <c r="BJ14" s="102">
        <f>+SUM(ID14:IG14)/COUNT(ID14:IG14)</f>
        <v>827.5</v>
      </c>
      <c r="BK14" s="102">
        <f>+SUM(IH14:IK14)/COUNT(IH14:IK14)</f>
        <v>840</v>
      </c>
      <c r="BL14" s="102">
        <f>+SUM(IL14:IO14)/COUNT(IL14:IO14)</f>
        <v>822.5</v>
      </c>
      <c r="BM14" s="102">
        <f>+SUM(IP14:IS14)/COUNT(IP14:IS14)</f>
        <v>765</v>
      </c>
      <c r="BN14" s="102">
        <f>+SUM(IT14:IX14)/COUNT(IT14:IX14)</f>
        <v>782</v>
      </c>
      <c r="BO14" s="102">
        <f t="shared" si="40"/>
        <v>807.5</v>
      </c>
      <c r="BP14" s="102">
        <f t="shared" si="52"/>
        <v>802</v>
      </c>
      <c r="BQ14" s="102">
        <f t="shared" si="41"/>
        <v>795</v>
      </c>
      <c r="BR14" s="102">
        <f t="shared" si="42"/>
        <v>782.5</v>
      </c>
      <c r="BS14" s="102">
        <f t="shared" si="43"/>
        <v>772</v>
      </c>
      <c r="BT14" s="102">
        <f t="shared" si="44"/>
        <v>770</v>
      </c>
      <c r="BU14" s="102">
        <f t="shared" si="45"/>
        <v>772.5</v>
      </c>
      <c r="BV14" s="102">
        <f t="shared" si="46"/>
        <v>805</v>
      </c>
      <c r="BW14" s="102">
        <f t="shared" si="47"/>
        <v>840</v>
      </c>
      <c r="BX14" s="102">
        <f t="shared" si="53"/>
        <v>1108.75</v>
      </c>
      <c r="BY14" s="102">
        <f t="shared" si="48"/>
        <v>1194</v>
      </c>
      <c r="BZ14" s="102">
        <f t="shared" si="49"/>
        <v>1207.5</v>
      </c>
      <c r="CA14" s="102">
        <f t="shared" si="50"/>
        <v>1102.5</v>
      </c>
      <c r="CB14" s="102">
        <f t="shared" si="51"/>
        <v>975</v>
      </c>
      <c r="CC14" s="51"/>
      <c r="CD14" s="54" t="s">
        <v>41</v>
      </c>
      <c r="CE14" s="25"/>
      <c r="CF14" s="127" t="s">
        <v>130</v>
      </c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6">
        <f>+(1400+1430)/2</f>
        <v>1415</v>
      </c>
      <c r="DE14" s="56">
        <f>+(1380+1410)/2</f>
        <v>1395</v>
      </c>
      <c r="DF14" s="56">
        <f>+(1360+1390)/2</f>
        <v>1375</v>
      </c>
      <c r="DG14" s="56">
        <f>+(1320+1350)/2</f>
        <v>1335</v>
      </c>
      <c r="DH14" s="56">
        <f>+(1230+1270)/2</f>
        <v>1250</v>
      </c>
      <c r="DI14" s="56">
        <f>+(1210+1250)/2</f>
        <v>1230</v>
      </c>
      <c r="DJ14" s="56">
        <f>+(1200+1240)/2</f>
        <v>1220</v>
      </c>
      <c r="DK14" s="56">
        <f>+(1230+1270)/2</f>
        <v>1250</v>
      </c>
      <c r="DL14" s="56">
        <f>+(1230+1270)/2</f>
        <v>1250</v>
      </c>
      <c r="DM14" s="56">
        <f>+(1200+1240)/2</f>
        <v>1220</v>
      </c>
      <c r="DN14" s="56">
        <f>+(1170+1210)/2</f>
        <v>1190</v>
      </c>
      <c r="DO14" s="56">
        <f>+(1140+1180)/2</f>
        <v>1160</v>
      </c>
      <c r="DP14" s="56">
        <f>+(1140+1180)/2</f>
        <v>1160</v>
      </c>
      <c r="DQ14" s="56">
        <f>+(1140+1180)/2</f>
        <v>1160</v>
      </c>
      <c r="DR14" s="56">
        <f>+(1110+1150)/2</f>
        <v>1130</v>
      </c>
      <c r="DS14" s="56">
        <f>+(1110+1150)/2</f>
        <v>1130</v>
      </c>
      <c r="DT14" s="56">
        <v>1100</v>
      </c>
      <c r="DU14" s="56">
        <v>1100</v>
      </c>
      <c r="DV14" s="56">
        <v>1070</v>
      </c>
      <c r="DW14" s="56">
        <v>1040</v>
      </c>
      <c r="DX14" s="56">
        <v>995</v>
      </c>
      <c r="DY14" s="56">
        <v>980</v>
      </c>
      <c r="DZ14" s="56">
        <f>+(960+1000)/2</f>
        <v>980</v>
      </c>
      <c r="EA14" s="56">
        <f>+(960+1000)/2</f>
        <v>980</v>
      </c>
      <c r="EB14" s="56">
        <f>+(940+1000)/2</f>
        <v>970</v>
      </c>
      <c r="EC14" s="56">
        <f>+(940+1000)/2</f>
        <v>970</v>
      </c>
      <c r="ED14" s="56">
        <f>+(940+1000)/2</f>
        <v>970</v>
      </c>
      <c r="EE14" s="56">
        <f>+(960+1000)/2</f>
        <v>980</v>
      </c>
      <c r="EF14" s="56">
        <f>+(970+1010)/2</f>
        <v>990</v>
      </c>
      <c r="EG14" s="56">
        <v>970</v>
      </c>
      <c r="EH14" s="56">
        <v>980</v>
      </c>
      <c r="EI14" s="114">
        <v>990</v>
      </c>
      <c r="EJ14" s="114">
        <v>1060</v>
      </c>
      <c r="EK14" s="114">
        <v>1070</v>
      </c>
      <c r="EL14" s="114">
        <v>1070</v>
      </c>
      <c r="EM14" s="118">
        <v>1020</v>
      </c>
      <c r="EN14" s="118">
        <v>1020</v>
      </c>
      <c r="EO14" s="118">
        <v>1020</v>
      </c>
      <c r="EP14" s="118">
        <v>1020</v>
      </c>
      <c r="EQ14" s="118">
        <v>1020</v>
      </c>
      <c r="ER14" s="118">
        <v>1020</v>
      </c>
      <c r="ES14" s="118">
        <v>1050</v>
      </c>
      <c r="ET14" s="118">
        <v>1070</v>
      </c>
      <c r="EU14" s="118">
        <v>1050</v>
      </c>
      <c r="EV14" s="118">
        <v>1050</v>
      </c>
      <c r="EW14" s="118">
        <v>1020</v>
      </c>
      <c r="EX14" s="118">
        <v>1000</v>
      </c>
      <c r="EY14" s="118">
        <v>980</v>
      </c>
      <c r="EZ14" s="118">
        <v>960</v>
      </c>
      <c r="FA14" s="118">
        <v>910</v>
      </c>
      <c r="FB14" s="118">
        <v>910</v>
      </c>
      <c r="FC14" s="118">
        <v>890</v>
      </c>
      <c r="FD14" s="118">
        <v>890</v>
      </c>
      <c r="FE14" s="118">
        <v>890</v>
      </c>
      <c r="FF14" s="118">
        <v>890</v>
      </c>
      <c r="FG14" s="118">
        <v>882</v>
      </c>
      <c r="FH14" s="118">
        <v>920</v>
      </c>
      <c r="FI14" s="118">
        <v>920</v>
      </c>
      <c r="FJ14" s="118">
        <v>940</v>
      </c>
      <c r="FK14" s="118">
        <v>920</v>
      </c>
      <c r="FL14" s="118">
        <v>910</v>
      </c>
      <c r="FM14" s="118">
        <v>910</v>
      </c>
      <c r="FN14" s="118">
        <v>910</v>
      </c>
      <c r="FO14" s="118">
        <v>910</v>
      </c>
      <c r="FP14" s="118">
        <v>930</v>
      </c>
      <c r="FQ14" s="118">
        <v>940</v>
      </c>
      <c r="FR14" s="118">
        <v>940</v>
      </c>
      <c r="FS14" s="118">
        <v>940</v>
      </c>
      <c r="FT14" s="118">
        <v>930</v>
      </c>
      <c r="FU14" s="118">
        <v>920</v>
      </c>
      <c r="FV14" s="118">
        <v>900</v>
      </c>
      <c r="FW14" s="118">
        <v>900</v>
      </c>
      <c r="FX14" s="118">
        <v>900</v>
      </c>
      <c r="FY14" s="118">
        <v>900</v>
      </c>
      <c r="FZ14" s="118">
        <v>900</v>
      </c>
      <c r="GA14" s="118">
        <v>900</v>
      </c>
      <c r="GB14" s="118">
        <v>900</v>
      </c>
      <c r="GC14" s="118">
        <v>900</v>
      </c>
      <c r="GD14" s="118">
        <v>900</v>
      </c>
      <c r="GE14" s="118">
        <v>900</v>
      </c>
      <c r="GF14" s="118">
        <v>900</v>
      </c>
      <c r="GG14" s="118">
        <v>940</v>
      </c>
      <c r="GH14" s="118">
        <v>940</v>
      </c>
      <c r="GI14" s="118">
        <v>940</v>
      </c>
      <c r="GJ14" s="118">
        <v>950</v>
      </c>
      <c r="GK14" s="118">
        <v>940</v>
      </c>
      <c r="GL14" s="118">
        <v>940</v>
      </c>
      <c r="GM14" s="118">
        <v>940</v>
      </c>
      <c r="GN14" s="118">
        <v>940</v>
      </c>
      <c r="GO14" s="118">
        <v>940</v>
      </c>
      <c r="GP14" s="118">
        <v>940</v>
      </c>
      <c r="GQ14" s="118">
        <v>940</v>
      </c>
      <c r="GR14" s="118">
        <v>940</v>
      </c>
      <c r="GS14" s="118">
        <v>940</v>
      </c>
      <c r="GT14" s="118">
        <v>940</v>
      </c>
      <c r="GU14" s="118">
        <v>940</v>
      </c>
      <c r="GV14" s="118">
        <v>940</v>
      </c>
      <c r="GW14" s="118">
        <v>940</v>
      </c>
      <c r="GX14" s="118">
        <v>940</v>
      </c>
      <c r="GY14" s="118">
        <v>950</v>
      </c>
      <c r="GZ14" s="118">
        <v>950</v>
      </c>
      <c r="HA14" s="118">
        <v>950</v>
      </c>
      <c r="HB14" s="118">
        <v>950</v>
      </c>
      <c r="HC14" s="118">
        <v>950</v>
      </c>
      <c r="HD14" s="118">
        <v>950</v>
      </c>
      <c r="HE14" s="118">
        <v>950</v>
      </c>
      <c r="HF14" s="118">
        <v>950</v>
      </c>
      <c r="HG14" s="118">
        <v>940</v>
      </c>
      <c r="HH14" s="118">
        <v>940</v>
      </c>
      <c r="HI14" s="118">
        <v>940</v>
      </c>
      <c r="HJ14" s="118">
        <v>940</v>
      </c>
      <c r="HK14" s="118">
        <v>930</v>
      </c>
      <c r="HL14" s="118">
        <v>900</v>
      </c>
      <c r="HM14" s="118">
        <v>900</v>
      </c>
      <c r="HN14" s="118">
        <v>890</v>
      </c>
      <c r="HO14" s="118">
        <v>870</v>
      </c>
      <c r="HP14" s="118">
        <v>860</v>
      </c>
      <c r="HQ14" s="118">
        <v>860</v>
      </c>
      <c r="HR14" s="118">
        <v>860</v>
      </c>
      <c r="HS14" s="118">
        <v>870</v>
      </c>
      <c r="HT14" s="118">
        <v>860</v>
      </c>
      <c r="HU14" s="118">
        <v>860</v>
      </c>
      <c r="HV14" s="118">
        <v>860</v>
      </c>
      <c r="HW14" s="118">
        <v>860</v>
      </c>
      <c r="HX14" s="118">
        <v>840</v>
      </c>
      <c r="HY14" s="118">
        <v>840</v>
      </c>
      <c r="HZ14" s="118">
        <v>840</v>
      </c>
      <c r="IA14" s="118">
        <v>830</v>
      </c>
      <c r="IB14" s="118">
        <v>830</v>
      </c>
      <c r="IC14" s="118">
        <v>820</v>
      </c>
      <c r="ID14" s="118">
        <v>820</v>
      </c>
      <c r="IE14" s="118">
        <v>820</v>
      </c>
      <c r="IF14" s="118">
        <v>820</v>
      </c>
      <c r="IG14" s="118">
        <v>850</v>
      </c>
      <c r="IH14" s="118">
        <v>840</v>
      </c>
      <c r="II14" s="118">
        <v>840</v>
      </c>
      <c r="IJ14" s="118">
        <v>840</v>
      </c>
      <c r="IK14" s="118">
        <v>840</v>
      </c>
      <c r="IL14" s="118">
        <v>840</v>
      </c>
      <c r="IM14" s="118">
        <v>830</v>
      </c>
      <c r="IN14" s="118">
        <v>810</v>
      </c>
      <c r="IO14" s="118">
        <v>810</v>
      </c>
      <c r="IP14" s="118">
        <v>800</v>
      </c>
      <c r="IQ14" s="118">
        <v>750</v>
      </c>
      <c r="IR14" s="118">
        <v>750</v>
      </c>
      <c r="IS14" s="118">
        <v>760</v>
      </c>
      <c r="IT14" s="118">
        <v>760</v>
      </c>
      <c r="IU14" s="118">
        <v>760</v>
      </c>
      <c r="IV14" s="118">
        <v>800</v>
      </c>
      <c r="IW14" s="118">
        <v>800</v>
      </c>
      <c r="IX14" s="118">
        <v>790</v>
      </c>
      <c r="IY14" s="118">
        <v>800</v>
      </c>
      <c r="IZ14" s="118">
        <v>790</v>
      </c>
      <c r="JA14" s="118">
        <v>820</v>
      </c>
      <c r="JB14" s="118">
        <v>820</v>
      </c>
      <c r="JC14" s="118">
        <v>820</v>
      </c>
      <c r="JD14" s="118">
        <v>820</v>
      </c>
      <c r="JE14" s="118">
        <v>790</v>
      </c>
      <c r="JF14" s="118">
        <v>790</v>
      </c>
      <c r="JG14" s="118">
        <v>790</v>
      </c>
      <c r="JH14" s="118">
        <v>800</v>
      </c>
      <c r="JI14" s="118">
        <v>790</v>
      </c>
      <c r="JJ14" s="118">
        <v>790</v>
      </c>
      <c r="JK14" s="118">
        <v>800</v>
      </c>
      <c r="JL14" s="118">
        <v>790</v>
      </c>
      <c r="JM14" s="118">
        <v>780</v>
      </c>
      <c r="JN14" s="118">
        <v>780</v>
      </c>
      <c r="JO14" s="118">
        <v>780</v>
      </c>
      <c r="JP14" s="118">
        <v>780</v>
      </c>
      <c r="JQ14" s="118">
        <v>780</v>
      </c>
      <c r="JR14" s="118">
        <v>770</v>
      </c>
      <c r="JS14" s="118">
        <v>760</v>
      </c>
      <c r="JT14" s="118">
        <v>770</v>
      </c>
      <c r="JU14" s="118">
        <v>770</v>
      </c>
      <c r="JV14" s="118">
        <v>770</v>
      </c>
      <c r="JW14" s="118">
        <v>770</v>
      </c>
      <c r="JX14" s="118">
        <v>770</v>
      </c>
      <c r="JY14" s="118">
        <v>770</v>
      </c>
      <c r="JZ14" s="118">
        <v>770</v>
      </c>
      <c r="KA14" s="118">
        <v>770</v>
      </c>
      <c r="KB14" s="118">
        <v>780</v>
      </c>
      <c r="KC14" s="118">
        <v>795</v>
      </c>
      <c r="KD14" s="118">
        <v>795</v>
      </c>
      <c r="KE14" s="118">
        <v>795</v>
      </c>
      <c r="KF14" s="118">
        <v>820</v>
      </c>
      <c r="KG14" s="118">
        <v>820</v>
      </c>
      <c r="KH14" s="118">
        <v>840</v>
      </c>
      <c r="KI14" s="118">
        <v>840</v>
      </c>
      <c r="KJ14" s="118">
        <v>840</v>
      </c>
      <c r="KK14" s="118">
        <v>840</v>
      </c>
      <c r="KL14" s="118">
        <f>(900+970)/2</f>
        <v>935</v>
      </c>
      <c r="KM14" s="118">
        <v>1080</v>
      </c>
      <c r="KN14" s="118">
        <v>1280</v>
      </c>
      <c r="KO14" s="118">
        <v>1140</v>
      </c>
      <c r="KP14" s="118">
        <v>1140</v>
      </c>
      <c r="KQ14" s="118">
        <v>1200</v>
      </c>
      <c r="KR14" s="118">
        <v>1200</v>
      </c>
      <c r="KS14" s="118">
        <v>1200</v>
      </c>
      <c r="KT14" s="118">
        <v>1230</v>
      </c>
      <c r="KU14" s="118">
        <v>1250</v>
      </c>
      <c r="KV14" s="118">
        <v>1230</v>
      </c>
      <c r="KW14" s="118">
        <v>1190</v>
      </c>
      <c r="KX14" s="118">
        <v>1160</v>
      </c>
      <c r="KY14" s="118">
        <v>1140</v>
      </c>
      <c r="KZ14" s="118">
        <v>1140</v>
      </c>
      <c r="LA14" s="118">
        <v>1090</v>
      </c>
      <c r="LB14" s="118">
        <v>1040</v>
      </c>
      <c r="LC14" s="118">
        <v>990</v>
      </c>
      <c r="LD14" s="118">
        <v>960</v>
      </c>
      <c r="LE14" s="118"/>
      <c r="LF14" s="118"/>
      <c r="LG14" s="118"/>
    </row>
    <row r="15" spans="1:319" ht="14" hidden="1">
      <c r="F15" s="109" t="s">
        <v>77</v>
      </c>
      <c r="H15" s="1" t="s">
        <v>70</v>
      </c>
      <c r="AM15" s="51"/>
      <c r="CC15" s="13"/>
      <c r="CF15" s="128" t="s">
        <v>88</v>
      </c>
      <c r="DD15" s="56"/>
      <c r="DE15" s="56"/>
      <c r="DF15" s="56"/>
      <c r="DG15" s="56"/>
      <c r="DH15" s="56"/>
      <c r="DI15" s="56"/>
      <c r="DJ15" s="56"/>
      <c r="DK15" s="107">
        <v>2502.2399999999998</v>
      </c>
      <c r="DL15" s="107">
        <v>2502.2399999999998</v>
      </c>
      <c r="DM15" s="56">
        <v>2502.2399999999998</v>
      </c>
      <c r="DN15" s="56">
        <v>2259.7399999999998</v>
      </c>
      <c r="DO15" s="56">
        <v>2259.7399999999998</v>
      </c>
      <c r="DP15" s="56">
        <v>2259.7399999999998</v>
      </c>
      <c r="DQ15" s="107">
        <v>1918.02</v>
      </c>
      <c r="DR15" s="107">
        <v>1918.02</v>
      </c>
      <c r="DS15" s="107">
        <v>1918.02</v>
      </c>
      <c r="DT15" s="107">
        <v>1587.33</v>
      </c>
      <c r="DU15" s="56">
        <v>1587.33</v>
      </c>
      <c r="DV15" s="56">
        <v>1587.33</v>
      </c>
      <c r="DW15" s="56">
        <v>1587.33</v>
      </c>
      <c r="DX15" s="56">
        <v>1587.33</v>
      </c>
      <c r="DY15" s="107">
        <v>1587.33</v>
      </c>
      <c r="DZ15" s="107">
        <v>1587.33</v>
      </c>
      <c r="EA15" s="107">
        <v>1587.33</v>
      </c>
      <c r="EB15" s="107">
        <v>1477.1</v>
      </c>
      <c r="EC15" s="56">
        <v>1477.1</v>
      </c>
      <c r="ED15" s="56">
        <v>1477.1</v>
      </c>
      <c r="EE15" s="56">
        <v>1477.1</v>
      </c>
      <c r="EF15" s="56">
        <v>1477.1</v>
      </c>
      <c r="EG15" s="56">
        <v>1543.23</v>
      </c>
      <c r="EH15" s="56">
        <v>1543.2339999999999</v>
      </c>
      <c r="EI15" s="56">
        <v>1543.2339999999999</v>
      </c>
      <c r="EJ15" s="56">
        <v>1543.2339999999999</v>
      </c>
      <c r="EK15" s="56">
        <v>1543.2339999999999</v>
      </c>
      <c r="EL15" s="56">
        <v>1543.2339999999999</v>
      </c>
      <c r="EM15" s="10">
        <v>1543.2339999999999</v>
      </c>
      <c r="EN15" s="10">
        <v>1543.2339999999999</v>
      </c>
      <c r="EO15" s="10">
        <v>1543.2339999999999</v>
      </c>
      <c r="EP15" s="10">
        <v>1543.2339999999999</v>
      </c>
      <c r="EQ15" s="10">
        <v>1543.2339999999999</v>
      </c>
      <c r="ER15" s="10">
        <v>1543.2339999999999</v>
      </c>
      <c r="ES15" s="10">
        <v>1543.2339999999999</v>
      </c>
      <c r="ET15" s="10">
        <v>1543.2339999999999</v>
      </c>
      <c r="EU15" s="10">
        <v>1543.2339999999999</v>
      </c>
      <c r="EV15" s="10">
        <v>1543.2339999999999</v>
      </c>
      <c r="EW15" s="10">
        <v>1543.2339999999999</v>
      </c>
      <c r="EX15" s="10">
        <v>1543.2339999999999</v>
      </c>
      <c r="EY15" s="75">
        <v>1543.2339999999999</v>
      </c>
      <c r="EZ15" s="75">
        <v>1521.1880000000001</v>
      </c>
      <c r="FA15" s="75">
        <v>1521.1880000000001</v>
      </c>
      <c r="FB15" s="75">
        <v>1521.1880000000001</v>
      </c>
      <c r="FC15" s="75">
        <v>1521.1880000000001</v>
      </c>
      <c r="FD15" s="75">
        <v>1521.1880000000001</v>
      </c>
      <c r="FE15" s="75">
        <v>1521.1880000000001</v>
      </c>
      <c r="FF15" s="75">
        <v>1521.1880000000001</v>
      </c>
      <c r="FG15" s="75">
        <v>1521.1880000000001</v>
      </c>
      <c r="FH15" s="75">
        <v>1521.1880000000001</v>
      </c>
      <c r="FI15" s="75">
        <v>1521.1880000000001</v>
      </c>
      <c r="FJ15" s="75">
        <v>1521.1880000000001</v>
      </c>
      <c r="FK15" s="75">
        <v>1521.1880000000001</v>
      </c>
      <c r="FL15" s="75">
        <v>1521.1880000000001</v>
      </c>
      <c r="FM15" s="75">
        <v>1521.1880000000001</v>
      </c>
      <c r="FN15" s="75">
        <v>1521.1880000000001</v>
      </c>
      <c r="FO15" s="75">
        <v>1521.1880000000001</v>
      </c>
      <c r="FP15" s="75">
        <v>1521.1880000000001</v>
      </c>
      <c r="FQ15" s="75">
        <v>1521.1880000000001</v>
      </c>
      <c r="FR15" s="75">
        <v>1521.1880000000001</v>
      </c>
      <c r="FS15" s="75">
        <v>1521.1880000000001</v>
      </c>
      <c r="FT15" s="75">
        <v>1521.1880000000001</v>
      </c>
      <c r="FU15" s="75">
        <v>1521.1880000000001</v>
      </c>
      <c r="FV15" s="75">
        <v>1521.1880000000001</v>
      </c>
      <c r="FW15" s="75">
        <v>1521.1880000000001</v>
      </c>
      <c r="FX15" s="75">
        <v>1521.1880000000001</v>
      </c>
      <c r="FY15" s="75">
        <v>1521.1880000000001</v>
      </c>
      <c r="FZ15" s="75">
        <v>1521.1880000000001</v>
      </c>
      <c r="GA15" s="75">
        <v>1521.1880000000001</v>
      </c>
      <c r="GB15" s="75">
        <v>1521.1880000000001</v>
      </c>
      <c r="GC15" s="75">
        <v>1521.1880000000001</v>
      </c>
      <c r="GD15" s="75">
        <v>1521.1880000000001</v>
      </c>
      <c r="GE15" s="75">
        <v>1521.1880000000001</v>
      </c>
      <c r="GF15" s="75">
        <v>1521.1880000000001</v>
      </c>
      <c r="GG15" s="75">
        <v>1521.1880000000001</v>
      </c>
      <c r="GH15" s="75">
        <v>1521.1880000000001</v>
      </c>
      <c r="GI15" s="75">
        <v>1521.1880000000001</v>
      </c>
      <c r="GJ15" s="75">
        <v>1521.1880000000001</v>
      </c>
      <c r="GK15" s="75">
        <v>1521.1880000000001</v>
      </c>
      <c r="GL15" s="75">
        <v>1521.1880000000001</v>
      </c>
      <c r="GM15" s="75">
        <v>1521.1880000000001</v>
      </c>
      <c r="GN15" s="75">
        <v>1521.1880000000001</v>
      </c>
      <c r="GO15" s="75">
        <v>1521.1880000000001</v>
      </c>
      <c r="GP15" s="75">
        <v>1521.1880000000001</v>
      </c>
      <c r="GQ15" s="75">
        <v>1521.1880000000001</v>
      </c>
      <c r="GR15" s="75">
        <v>1521.1880000000001</v>
      </c>
      <c r="GS15" s="75">
        <v>1521.1880000000001</v>
      </c>
      <c r="GT15" s="75">
        <v>1521.1880000000001</v>
      </c>
      <c r="GU15" s="75"/>
      <c r="GV15" s="75"/>
      <c r="GW15" s="75"/>
      <c r="GX15" s="75"/>
      <c r="GY15" s="75"/>
      <c r="GZ15" s="75"/>
      <c r="HA15" s="75"/>
      <c r="HB15" s="75"/>
      <c r="HC15" s="75"/>
      <c r="HD15" s="75"/>
      <c r="HE15" s="75"/>
      <c r="HF15" s="75"/>
      <c r="HG15" s="75"/>
      <c r="HH15" s="75"/>
      <c r="HI15" s="75"/>
      <c r="HJ15" s="75"/>
      <c r="HK15" s="75"/>
      <c r="HL15" s="75"/>
      <c r="HM15" s="75"/>
      <c r="HN15" s="75"/>
      <c r="HO15" s="75"/>
      <c r="HP15" s="75"/>
      <c r="HQ15" s="75"/>
      <c r="HR15" s="75"/>
      <c r="HS15" s="75"/>
      <c r="HT15" s="75"/>
      <c r="HU15" s="75"/>
      <c r="HV15" s="75"/>
      <c r="HW15" s="75"/>
      <c r="HX15" s="75"/>
      <c r="HY15" s="75"/>
      <c r="HZ15" s="75"/>
      <c r="IA15" s="75"/>
      <c r="IB15" s="75"/>
      <c r="IC15" s="75"/>
      <c r="ID15" s="75"/>
      <c r="IE15" s="75"/>
      <c r="IF15" s="75"/>
      <c r="IG15" s="75"/>
      <c r="IH15" s="75"/>
      <c r="II15" s="75"/>
      <c r="IJ15" s="75"/>
      <c r="IK15" s="75"/>
      <c r="IL15" s="75"/>
      <c r="IM15" s="75"/>
      <c r="IN15" s="75"/>
      <c r="IO15" s="75"/>
      <c r="IP15" s="75"/>
      <c r="IQ15" s="75"/>
      <c r="IR15" s="75"/>
      <c r="IS15" s="75"/>
      <c r="IT15" s="75"/>
      <c r="IU15" s="75"/>
      <c r="IV15" s="75"/>
      <c r="IW15" s="75"/>
      <c r="IX15" s="75"/>
      <c r="IY15" s="75"/>
      <c r="IZ15" s="75"/>
      <c r="JA15" s="75"/>
      <c r="JB15" s="75"/>
      <c r="JC15" s="75"/>
      <c r="JD15" s="75"/>
      <c r="JE15" s="75"/>
      <c r="JF15" s="75"/>
      <c r="JG15" s="75"/>
      <c r="JH15" s="75"/>
      <c r="JI15" s="75"/>
      <c r="JJ15" s="75"/>
      <c r="JK15" s="75"/>
      <c r="JL15" s="75"/>
      <c r="JM15" s="75"/>
      <c r="JN15" s="75"/>
      <c r="JO15" s="75"/>
      <c r="JP15" s="75"/>
      <c r="JQ15" s="75"/>
      <c r="JR15" s="75"/>
      <c r="JS15" s="75"/>
      <c r="JT15" s="75"/>
      <c r="JU15" s="75"/>
      <c r="JV15" s="75"/>
      <c r="JW15" s="75"/>
      <c r="JX15" s="75"/>
      <c r="JY15" s="75"/>
      <c r="JZ15" s="75"/>
      <c r="KA15" s="75"/>
      <c r="KB15" s="75"/>
      <c r="KC15" s="75"/>
      <c r="KD15" s="75"/>
      <c r="KE15" s="75"/>
      <c r="KF15" s="75"/>
      <c r="KG15" s="75"/>
      <c r="KH15" s="75"/>
      <c r="KI15" s="75"/>
      <c r="KJ15" s="75"/>
      <c r="KK15" s="75"/>
      <c r="KL15" s="75"/>
      <c r="KM15" s="75"/>
      <c r="KN15" s="75"/>
      <c r="KO15" s="75"/>
      <c r="KP15" s="75"/>
      <c r="KQ15" s="75"/>
      <c r="KR15" s="75"/>
      <c r="KS15" s="75"/>
      <c r="KT15" s="75"/>
      <c r="KU15" s="75"/>
      <c r="KV15" s="75"/>
      <c r="KW15" s="75"/>
      <c r="KX15" s="75"/>
      <c r="KY15" s="75"/>
      <c r="KZ15" s="75"/>
      <c r="LA15" s="75"/>
      <c r="LB15" s="75"/>
      <c r="LC15" s="75"/>
      <c r="LD15" s="75"/>
      <c r="LE15" s="75"/>
      <c r="LF15" s="75"/>
      <c r="LG15" s="75"/>
    </row>
    <row r="16" spans="1:319" ht="14">
      <c r="F16" s="59" t="s">
        <v>84</v>
      </c>
      <c r="H16" s="59" t="s">
        <v>84</v>
      </c>
      <c r="U16" s="41">
        <f>U14</f>
        <v>1165</v>
      </c>
      <c r="V16" s="41">
        <f t="shared" ref="V16:AM16" si="54">V14</f>
        <v>1272.5</v>
      </c>
      <c r="W16" s="41">
        <f t="shared" si="54"/>
        <v>1346</v>
      </c>
      <c r="X16" s="41">
        <f t="shared" si="54"/>
        <v>1297.5</v>
      </c>
      <c r="Y16" s="41">
        <f t="shared" si="54"/>
        <v>1316.6666666666667</v>
      </c>
      <c r="Z16" s="41">
        <f t="shared" si="54"/>
        <v>1390</v>
      </c>
      <c r="AA16" s="41">
        <f t="shared" si="54"/>
        <v>1220</v>
      </c>
      <c r="AB16" s="41">
        <f t="shared" si="54"/>
        <v>1270</v>
      </c>
      <c r="AC16" s="41">
        <f t="shared" si="54"/>
        <v>1190</v>
      </c>
      <c r="AD16" s="41">
        <f t="shared" si="54"/>
        <v>1190</v>
      </c>
      <c r="AE16" s="41">
        <f t="shared" si="54"/>
        <v>1130</v>
      </c>
      <c r="AF16" s="41">
        <f t="shared" si="54"/>
        <v>1100</v>
      </c>
      <c r="AG16" s="41">
        <f t="shared" si="54"/>
        <v>1100</v>
      </c>
      <c r="AH16" s="41">
        <f t="shared" si="54"/>
        <v>1070</v>
      </c>
      <c r="AI16" s="41">
        <f t="shared" si="54"/>
        <v>1040</v>
      </c>
      <c r="AJ16" s="41">
        <f t="shared" si="54"/>
        <v>1040</v>
      </c>
      <c r="AK16" s="41">
        <f t="shared" si="54"/>
        <v>977.5</v>
      </c>
      <c r="AL16" s="41">
        <f t="shared" si="54"/>
        <v>1000</v>
      </c>
      <c r="AM16" s="41">
        <f t="shared" si="54"/>
        <v>1045</v>
      </c>
      <c r="AN16" s="41">
        <f t="shared" ref="AN16:AV16" si="55">AN14</f>
        <v>1020</v>
      </c>
      <c r="AO16" s="41">
        <f t="shared" si="55"/>
        <v>1055</v>
      </c>
      <c r="AP16" s="41">
        <f t="shared" si="55"/>
        <v>974</v>
      </c>
      <c r="AQ16" s="41">
        <f t="shared" si="55"/>
        <v>895</v>
      </c>
      <c r="AR16" s="41">
        <f t="shared" si="55"/>
        <v>903</v>
      </c>
      <c r="AS16" s="41">
        <f t="shared" si="55"/>
        <v>918</v>
      </c>
      <c r="AT16" s="41">
        <f t="shared" si="55"/>
        <v>930</v>
      </c>
      <c r="AU16" s="41">
        <f t="shared" si="55"/>
        <v>922.5</v>
      </c>
      <c r="AV16" s="41">
        <f t="shared" si="55"/>
        <v>900</v>
      </c>
      <c r="AW16" s="41">
        <f t="shared" ref="AW16:AX16" si="56">AW14</f>
        <v>900</v>
      </c>
      <c r="AX16" s="41">
        <f t="shared" si="56"/>
        <v>930</v>
      </c>
      <c r="AY16" s="41">
        <f t="shared" ref="AY16:AZ16" si="57">AY14</f>
        <v>943.33333333333337</v>
      </c>
      <c r="AZ16" s="41">
        <f t="shared" si="57"/>
        <v>940</v>
      </c>
      <c r="BA16" s="41">
        <f t="shared" ref="BA16:BB16" si="58">BA14</f>
        <v>940</v>
      </c>
      <c r="BB16" s="41">
        <f t="shared" si="58"/>
        <v>942</v>
      </c>
      <c r="BC16" s="41">
        <f t="shared" ref="BC16:BD16" si="59">BC14</f>
        <v>950</v>
      </c>
      <c r="BD16" s="41">
        <f t="shared" si="59"/>
        <v>947.5</v>
      </c>
      <c r="BE16" s="41">
        <f t="shared" ref="BE16:BF16" si="60">BE14</f>
        <v>930</v>
      </c>
      <c r="BF16" s="41">
        <f t="shared" si="60"/>
        <v>880</v>
      </c>
      <c r="BG16" s="41">
        <f t="shared" ref="BG16:BH16" si="61">BG14</f>
        <v>862.5</v>
      </c>
      <c r="BH16" s="41">
        <f t="shared" si="61"/>
        <v>852</v>
      </c>
      <c r="BI16" s="41">
        <f t="shared" ref="BI16:BJ16" si="62">BI14</f>
        <v>830</v>
      </c>
      <c r="BJ16" s="41">
        <f t="shared" si="62"/>
        <v>827.5</v>
      </c>
      <c r="BK16" s="41">
        <f t="shared" ref="BK16:BL16" si="63">BK14</f>
        <v>840</v>
      </c>
      <c r="BL16" s="41">
        <f t="shared" si="63"/>
        <v>822.5</v>
      </c>
      <c r="BM16" s="41">
        <f t="shared" ref="BM16:BN16" si="64">BM14</f>
        <v>765</v>
      </c>
      <c r="BN16" s="41">
        <f t="shared" si="64"/>
        <v>782</v>
      </c>
      <c r="BO16" s="41">
        <f t="shared" ref="BO16:BP16" si="65">BO14</f>
        <v>807.5</v>
      </c>
      <c r="BP16" s="41">
        <f t="shared" si="65"/>
        <v>802</v>
      </c>
      <c r="BQ16" s="41">
        <f t="shared" ref="BQ16:BR16" si="66">BQ14</f>
        <v>795</v>
      </c>
      <c r="BR16" s="41">
        <f t="shared" si="66"/>
        <v>782.5</v>
      </c>
      <c r="BS16" s="41">
        <f t="shared" ref="BS16:BT16" si="67">BS14</f>
        <v>772</v>
      </c>
      <c r="BT16" s="41">
        <f t="shared" si="67"/>
        <v>770</v>
      </c>
      <c r="BU16" s="41">
        <f t="shared" ref="BU16:BV16" si="68">BU14</f>
        <v>772.5</v>
      </c>
      <c r="BV16" s="41">
        <f t="shared" si="68"/>
        <v>805</v>
      </c>
      <c r="BW16" s="41">
        <f t="shared" ref="BW16:BX16" si="69">BW14</f>
        <v>840</v>
      </c>
      <c r="BX16" s="41">
        <f t="shared" si="69"/>
        <v>1108.75</v>
      </c>
      <c r="BY16" s="41">
        <f t="shared" ref="BY16:BZ16" si="70">BY14</f>
        <v>1194</v>
      </c>
      <c r="BZ16" s="41">
        <f t="shared" si="70"/>
        <v>1207.5</v>
      </c>
      <c r="CA16" s="41">
        <f t="shared" ref="CA16:CB16" si="71">CA14</f>
        <v>1102.5</v>
      </c>
      <c r="CB16" s="41">
        <f t="shared" si="71"/>
        <v>975</v>
      </c>
      <c r="CC16" s="13"/>
      <c r="CF16" s="1" t="s">
        <v>78</v>
      </c>
      <c r="DR16" s="41">
        <f>DR15+222</f>
        <v>2140.02</v>
      </c>
      <c r="DS16" s="41">
        <f t="shared" ref="DS16:EJ16" si="72">DS15-222</f>
        <v>1696.02</v>
      </c>
      <c r="DT16" s="41">
        <f t="shared" si="72"/>
        <v>1365.33</v>
      </c>
      <c r="DU16" s="41">
        <f t="shared" si="72"/>
        <v>1365.33</v>
      </c>
      <c r="DV16" s="41">
        <f t="shared" si="72"/>
        <v>1365.33</v>
      </c>
      <c r="DW16" s="41">
        <f t="shared" si="72"/>
        <v>1365.33</v>
      </c>
      <c r="DX16" s="41">
        <f t="shared" si="72"/>
        <v>1365.33</v>
      </c>
      <c r="DY16" s="41">
        <f t="shared" si="72"/>
        <v>1365.33</v>
      </c>
      <c r="DZ16" s="41">
        <f t="shared" si="72"/>
        <v>1365.33</v>
      </c>
      <c r="EA16" s="41">
        <f t="shared" si="72"/>
        <v>1365.33</v>
      </c>
      <c r="EB16" s="41">
        <f t="shared" si="72"/>
        <v>1255.0999999999999</v>
      </c>
      <c r="EC16" s="41">
        <f t="shared" si="72"/>
        <v>1255.0999999999999</v>
      </c>
      <c r="ED16" s="41">
        <f t="shared" si="72"/>
        <v>1255.0999999999999</v>
      </c>
      <c r="EE16" s="41">
        <f t="shared" si="72"/>
        <v>1255.0999999999999</v>
      </c>
      <c r="EF16" s="41">
        <f t="shared" si="72"/>
        <v>1255.0999999999999</v>
      </c>
      <c r="EG16" s="41">
        <f t="shared" si="72"/>
        <v>1321.23</v>
      </c>
      <c r="EH16" s="41">
        <f t="shared" si="72"/>
        <v>1321.2339999999999</v>
      </c>
      <c r="EI16" s="41">
        <f t="shared" si="72"/>
        <v>1321.2339999999999</v>
      </c>
      <c r="EJ16" s="41">
        <f t="shared" si="72"/>
        <v>1321.2339999999999</v>
      </c>
      <c r="EK16" s="41">
        <f t="shared" ref="EK16:EX16" si="73">EK15-222</f>
        <v>1321.2339999999999</v>
      </c>
      <c r="EL16" s="41">
        <f t="shared" si="73"/>
        <v>1321.2339999999999</v>
      </c>
      <c r="EM16" s="41">
        <f t="shared" si="73"/>
        <v>1321.2339999999999</v>
      </c>
      <c r="EN16" s="41">
        <f t="shared" si="73"/>
        <v>1321.2339999999999</v>
      </c>
      <c r="EO16" s="41">
        <f t="shared" si="73"/>
        <v>1321.2339999999999</v>
      </c>
      <c r="EP16" s="41">
        <f t="shared" si="73"/>
        <v>1321.2339999999999</v>
      </c>
      <c r="EQ16" s="41">
        <f t="shared" si="73"/>
        <v>1321.2339999999999</v>
      </c>
      <c r="ER16" s="41">
        <f t="shared" si="73"/>
        <v>1321.2339999999999</v>
      </c>
      <c r="ES16" s="41">
        <f t="shared" si="73"/>
        <v>1321.2339999999999</v>
      </c>
      <c r="ET16" s="41">
        <f t="shared" si="73"/>
        <v>1321.2339999999999</v>
      </c>
      <c r="EU16" s="41">
        <f t="shared" si="73"/>
        <v>1321.2339999999999</v>
      </c>
      <c r="EV16" s="41">
        <f t="shared" si="73"/>
        <v>1321.2339999999999</v>
      </c>
      <c r="EW16" s="41">
        <f t="shared" si="73"/>
        <v>1321.2339999999999</v>
      </c>
      <c r="EX16" s="41">
        <f t="shared" si="73"/>
        <v>1321.2339999999999</v>
      </c>
      <c r="EY16" s="41">
        <f t="shared" ref="EY16:FE16" si="74">EY15-222</f>
        <v>1321.2339999999999</v>
      </c>
      <c r="EZ16" s="41">
        <f t="shared" si="74"/>
        <v>1299.1880000000001</v>
      </c>
      <c r="FA16" s="41">
        <f t="shared" si="74"/>
        <v>1299.1880000000001</v>
      </c>
      <c r="FB16" s="41">
        <f t="shared" si="74"/>
        <v>1299.1880000000001</v>
      </c>
      <c r="FC16" s="41">
        <f t="shared" si="74"/>
        <v>1299.1880000000001</v>
      </c>
      <c r="FD16" s="41">
        <f t="shared" si="74"/>
        <v>1299.1880000000001</v>
      </c>
      <c r="FE16" s="41">
        <f t="shared" si="74"/>
        <v>1299.1880000000001</v>
      </c>
      <c r="FF16" s="41">
        <f t="shared" ref="FF16:FK16" si="75">FF15-222</f>
        <v>1299.1880000000001</v>
      </c>
      <c r="FG16" s="41">
        <f t="shared" si="75"/>
        <v>1299.1880000000001</v>
      </c>
      <c r="FH16" s="41">
        <f t="shared" si="75"/>
        <v>1299.1880000000001</v>
      </c>
      <c r="FI16" s="41">
        <f t="shared" si="75"/>
        <v>1299.1880000000001</v>
      </c>
      <c r="FJ16" s="41">
        <f t="shared" si="75"/>
        <v>1299.1880000000001</v>
      </c>
      <c r="FK16" s="41">
        <f t="shared" si="75"/>
        <v>1299.1880000000001</v>
      </c>
      <c r="FL16" s="41">
        <f>FL15-222</f>
        <v>1299.1880000000001</v>
      </c>
      <c r="FM16" s="41">
        <f t="shared" ref="FM16:FR16" si="76">FM15-222</f>
        <v>1299.1880000000001</v>
      </c>
      <c r="FN16" s="41">
        <f t="shared" si="76"/>
        <v>1299.1880000000001</v>
      </c>
      <c r="FO16" s="41">
        <f t="shared" si="76"/>
        <v>1299.1880000000001</v>
      </c>
      <c r="FP16" s="41">
        <f t="shared" si="76"/>
        <v>1299.1880000000001</v>
      </c>
      <c r="FQ16" s="41">
        <f t="shared" si="76"/>
        <v>1299.1880000000001</v>
      </c>
      <c r="FR16" s="41">
        <f t="shared" si="76"/>
        <v>1299.1880000000001</v>
      </c>
      <c r="FS16" s="41">
        <f t="shared" ref="FS16:FX16" si="77">FS15-222</f>
        <v>1299.1880000000001</v>
      </c>
      <c r="FT16" s="41">
        <f t="shared" si="77"/>
        <v>1299.1880000000001</v>
      </c>
      <c r="FU16" s="41">
        <f t="shared" si="77"/>
        <v>1299.1880000000001</v>
      </c>
      <c r="FV16" s="41">
        <f t="shared" si="77"/>
        <v>1299.1880000000001</v>
      </c>
      <c r="FW16" s="41">
        <f t="shared" si="77"/>
        <v>1299.1880000000001</v>
      </c>
      <c r="FX16" s="41">
        <f t="shared" si="77"/>
        <v>1299.1880000000001</v>
      </c>
      <c r="FY16" s="41">
        <f t="shared" ref="FY16:FZ16" si="78">FY15-222</f>
        <v>1299.1880000000001</v>
      </c>
      <c r="FZ16" s="41">
        <f t="shared" si="78"/>
        <v>1299.1880000000001</v>
      </c>
      <c r="GA16" s="41">
        <f t="shared" ref="GA16:GB16" si="79">GA15-222</f>
        <v>1299.1880000000001</v>
      </c>
      <c r="GB16" s="41">
        <f t="shared" si="79"/>
        <v>1299.1880000000001</v>
      </c>
      <c r="GC16" s="41">
        <f t="shared" ref="GC16:GD16" si="80">GC15-222</f>
        <v>1299.1880000000001</v>
      </c>
      <c r="GD16" s="41">
        <f t="shared" si="80"/>
        <v>1299.1880000000001</v>
      </c>
      <c r="GE16" s="41">
        <f t="shared" ref="GE16:GF16" si="81">GE15-222</f>
        <v>1299.1880000000001</v>
      </c>
      <c r="GF16" s="41">
        <f t="shared" si="81"/>
        <v>1299.1880000000001</v>
      </c>
      <c r="GG16" s="41">
        <f t="shared" ref="GG16:GH16" si="82">GG15-222</f>
        <v>1299.1880000000001</v>
      </c>
      <c r="GH16" s="41">
        <f t="shared" si="82"/>
        <v>1299.1880000000001</v>
      </c>
      <c r="GI16" s="41">
        <f t="shared" ref="GI16:GJ16" si="83">GI15-222</f>
        <v>1299.1880000000001</v>
      </c>
      <c r="GJ16" s="41">
        <f t="shared" si="83"/>
        <v>1299.1880000000001</v>
      </c>
      <c r="GK16" s="41">
        <f t="shared" ref="GK16:GM16" si="84">GK15-222</f>
        <v>1299.1880000000001</v>
      </c>
      <c r="GL16" s="41">
        <f t="shared" si="84"/>
        <v>1299.1880000000001</v>
      </c>
      <c r="GM16" s="41">
        <f t="shared" si="84"/>
        <v>1299.1880000000001</v>
      </c>
      <c r="GN16" s="41">
        <f t="shared" ref="GN16:GO16" si="85">GN15-222</f>
        <v>1299.1880000000001</v>
      </c>
      <c r="GO16" s="41">
        <f t="shared" si="85"/>
        <v>1299.1880000000001</v>
      </c>
      <c r="GP16" s="41">
        <f t="shared" ref="GP16:GQ16" si="86">GP15-222</f>
        <v>1299.1880000000001</v>
      </c>
      <c r="GQ16" s="41">
        <f t="shared" si="86"/>
        <v>1299.1880000000001</v>
      </c>
      <c r="GR16" s="41">
        <f t="shared" ref="GR16:GS16" si="87">GR15-222</f>
        <v>1299.1880000000001</v>
      </c>
      <c r="GS16" s="41">
        <f t="shared" si="87"/>
        <v>1299.1880000000001</v>
      </c>
      <c r="GT16" s="41">
        <f>GT15-222</f>
        <v>1299.1880000000001</v>
      </c>
      <c r="GU16" s="41">
        <f t="shared" ref="GU16:GV16" si="88">GU15-222</f>
        <v>-222</v>
      </c>
      <c r="GV16" s="41">
        <f t="shared" si="88"/>
        <v>-222</v>
      </c>
      <c r="GW16" s="41">
        <f t="shared" ref="GW16:GX16" si="89">GW15-222</f>
        <v>-222</v>
      </c>
      <c r="GX16" s="41">
        <f t="shared" si="89"/>
        <v>-222</v>
      </c>
      <c r="GY16" s="41">
        <f t="shared" ref="GY16:GZ16" si="90">GY15-222</f>
        <v>-222</v>
      </c>
      <c r="GZ16" s="41">
        <f t="shared" si="90"/>
        <v>-222</v>
      </c>
      <c r="HA16" s="41">
        <f t="shared" ref="HA16:HB16" si="91">HA15-222</f>
        <v>-222</v>
      </c>
      <c r="HB16" s="41">
        <f t="shared" si="91"/>
        <v>-222</v>
      </c>
      <c r="HC16" s="41">
        <f t="shared" ref="HC16:HD16" si="92">HC15-222</f>
        <v>-222</v>
      </c>
      <c r="HD16" s="41">
        <f t="shared" si="92"/>
        <v>-222</v>
      </c>
      <c r="HE16" s="41">
        <f t="shared" ref="HE16:HF16" si="93">HE15-222</f>
        <v>-222</v>
      </c>
      <c r="HF16" s="41">
        <f t="shared" si="93"/>
        <v>-222</v>
      </c>
      <c r="HG16" s="41">
        <f t="shared" ref="HG16:HH16" si="94">HG15-222</f>
        <v>-222</v>
      </c>
      <c r="HH16" s="41">
        <f t="shared" si="94"/>
        <v>-222</v>
      </c>
      <c r="HI16" s="41">
        <f t="shared" ref="HI16:HJ16" si="95">HI15-222</f>
        <v>-222</v>
      </c>
      <c r="HJ16" s="41">
        <f t="shared" si="95"/>
        <v>-222</v>
      </c>
      <c r="HK16" s="41">
        <f t="shared" ref="HK16:HL16" si="96">HK15-222</f>
        <v>-222</v>
      </c>
      <c r="HL16" s="41">
        <f t="shared" si="96"/>
        <v>-222</v>
      </c>
      <c r="HM16" s="41">
        <f t="shared" ref="HM16:HN16" si="97">HM15-222</f>
        <v>-222</v>
      </c>
      <c r="HN16" s="41">
        <f t="shared" si="97"/>
        <v>-222</v>
      </c>
      <c r="HO16" s="41">
        <f t="shared" ref="HO16:HP16" si="98">HO15-222</f>
        <v>-222</v>
      </c>
      <c r="HP16" s="41">
        <f t="shared" si="98"/>
        <v>-222</v>
      </c>
      <c r="HQ16" s="41">
        <f t="shared" ref="HQ16:HR16" si="99">HQ15-222</f>
        <v>-222</v>
      </c>
      <c r="HR16" s="41">
        <f t="shared" si="99"/>
        <v>-222</v>
      </c>
      <c r="HS16" s="41">
        <f t="shared" ref="HS16:HT16" si="100">HS15-222</f>
        <v>-222</v>
      </c>
      <c r="HT16" s="41">
        <f t="shared" si="100"/>
        <v>-222</v>
      </c>
      <c r="HU16" s="41">
        <f t="shared" ref="HU16:HY16" si="101">HU15-222</f>
        <v>-222</v>
      </c>
      <c r="HV16" s="41">
        <f t="shared" si="101"/>
        <v>-222</v>
      </c>
      <c r="HW16" s="41">
        <f t="shared" si="101"/>
        <v>-222</v>
      </c>
      <c r="HX16" s="41">
        <f t="shared" si="101"/>
        <v>-222</v>
      </c>
      <c r="HY16" s="41">
        <f t="shared" si="101"/>
        <v>-222</v>
      </c>
      <c r="HZ16" s="41">
        <f t="shared" ref="HZ16:IC16" si="102">HZ15-222</f>
        <v>-222</v>
      </c>
      <c r="IA16" s="41">
        <f t="shared" si="102"/>
        <v>-222</v>
      </c>
      <c r="IB16" s="41">
        <f t="shared" si="102"/>
        <v>-222</v>
      </c>
      <c r="IC16" s="41">
        <f t="shared" si="102"/>
        <v>-222</v>
      </c>
      <c r="ID16" s="41">
        <f t="shared" ref="ID16:IE16" si="103">ID15-222</f>
        <v>-222</v>
      </c>
      <c r="IE16" s="41">
        <f t="shared" si="103"/>
        <v>-222</v>
      </c>
      <c r="IF16" s="41">
        <f t="shared" ref="IF16:IG16" si="104">IF15-222</f>
        <v>-222</v>
      </c>
      <c r="IG16" s="41">
        <f t="shared" si="104"/>
        <v>-222</v>
      </c>
      <c r="IH16" s="41">
        <f t="shared" ref="IH16:IJ16" si="105">IH15-222</f>
        <v>-222</v>
      </c>
      <c r="II16" s="41">
        <f t="shared" si="105"/>
        <v>-222</v>
      </c>
      <c r="IJ16" s="41">
        <f t="shared" si="105"/>
        <v>-222</v>
      </c>
      <c r="IK16" s="41">
        <f t="shared" ref="IK16:IL16" si="106">IK15-222</f>
        <v>-222</v>
      </c>
      <c r="IL16" s="41">
        <f t="shared" si="106"/>
        <v>-222</v>
      </c>
      <c r="IM16" s="41">
        <f t="shared" ref="IM16:IO16" si="107">IM15-222</f>
        <v>-222</v>
      </c>
      <c r="IN16" s="41">
        <f t="shared" si="107"/>
        <v>-222</v>
      </c>
      <c r="IO16" s="41">
        <f t="shared" si="107"/>
        <v>-222</v>
      </c>
      <c r="IP16" s="41">
        <f t="shared" ref="IP16:IS16" si="108">IP15-222</f>
        <v>-222</v>
      </c>
      <c r="IQ16" s="41">
        <f t="shared" si="108"/>
        <v>-222</v>
      </c>
      <c r="IR16" s="41">
        <f t="shared" si="108"/>
        <v>-222</v>
      </c>
      <c r="IS16" s="41">
        <f t="shared" si="108"/>
        <v>-222</v>
      </c>
      <c r="IT16" s="41">
        <f t="shared" ref="IT16:IX16" si="109">IT15-222</f>
        <v>-222</v>
      </c>
      <c r="IU16" s="41">
        <f t="shared" si="109"/>
        <v>-222</v>
      </c>
      <c r="IV16" s="41">
        <f t="shared" si="109"/>
        <v>-222</v>
      </c>
      <c r="IW16" s="41">
        <f t="shared" si="109"/>
        <v>-222</v>
      </c>
      <c r="IX16" s="41">
        <f t="shared" si="109"/>
        <v>-222</v>
      </c>
      <c r="IY16" s="41">
        <f t="shared" ref="IY16:JB16" si="110">IY15-222</f>
        <v>-222</v>
      </c>
      <c r="IZ16" s="41">
        <f t="shared" si="110"/>
        <v>-222</v>
      </c>
      <c r="JA16" s="41">
        <f t="shared" si="110"/>
        <v>-222</v>
      </c>
      <c r="JB16" s="41">
        <f t="shared" si="110"/>
        <v>-222</v>
      </c>
      <c r="JC16" s="41">
        <f t="shared" ref="JC16:JG16" si="111">JC15-222</f>
        <v>-222</v>
      </c>
      <c r="JD16" s="41">
        <f t="shared" si="111"/>
        <v>-222</v>
      </c>
      <c r="JE16" s="41">
        <f t="shared" si="111"/>
        <v>-222</v>
      </c>
      <c r="JF16" s="41">
        <f t="shared" si="111"/>
        <v>-222</v>
      </c>
      <c r="JG16" s="41">
        <f t="shared" si="111"/>
        <v>-222</v>
      </c>
      <c r="JH16" s="41">
        <f t="shared" ref="JH16:JK16" si="112">JH15-222</f>
        <v>-222</v>
      </c>
      <c r="JI16" s="41">
        <f t="shared" si="112"/>
        <v>-222</v>
      </c>
      <c r="JJ16" s="41">
        <f t="shared" si="112"/>
        <v>-222</v>
      </c>
      <c r="JK16" s="41">
        <f t="shared" si="112"/>
        <v>-222</v>
      </c>
      <c r="JL16" s="41">
        <f t="shared" ref="JL16:JO16" si="113">JL15-222</f>
        <v>-222</v>
      </c>
      <c r="JM16" s="41">
        <f t="shared" si="113"/>
        <v>-222</v>
      </c>
      <c r="JN16" s="41">
        <f t="shared" si="113"/>
        <v>-222</v>
      </c>
      <c r="JO16" s="41">
        <f t="shared" si="113"/>
        <v>-222</v>
      </c>
      <c r="JP16" s="41">
        <f t="shared" ref="JP16:JT16" si="114">JP15-222</f>
        <v>-222</v>
      </c>
      <c r="JQ16" s="41">
        <f t="shared" si="114"/>
        <v>-222</v>
      </c>
      <c r="JR16" s="41">
        <f t="shared" si="114"/>
        <v>-222</v>
      </c>
      <c r="JS16" s="41">
        <f t="shared" si="114"/>
        <v>-222</v>
      </c>
      <c r="JT16" s="41">
        <f t="shared" si="114"/>
        <v>-222</v>
      </c>
      <c r="JU16" s="41">
        <f t="shared" ref="JU16:JX16" si="115">JU15-222</f>
        <v>-222</v>
      </c>
      <c r="JV16" s="41">
        <f t="shared" si="115"/>
        <v>-222</v>
      </c>
      <c r="JW16" s="41">
        <f t="shared" si="115"/>
        <v>-222</v>
      </c>
      <c r="JX16" s="41">
        <f t="shared" si="115"/>
        <v>-222</v>
      </c>
      <c r="JY16" s="41">
        <f t="shared" ref="JY16:KB16" si="116">JY15-222</f>
        <v>-222</v>
      </c>
      <c r="JZ16" s="41">
        <f t="shared" si="116"/>
        <v>-222</v>
      </c>
      <c r="KA16" s="41">
        <f t="shared" si="116"/>
        <v>-222</v>
      </c>
      <c r="KB16" s="41">
        <f t="shared" si="116"/>
        <v>-222</v>
      </c>
      <c r="KC16" s="41">
        <f t="shared" ref="KC16:KG16" si="117">KC15-222</f>
        <v>-222</v>
      </c>
      <c r="KD16" s="41">
        <f t="shared" si="117"/>
        <v>-222</v>
      </c>
      <c r="KE16" s="41">
        <f t="shared" si="117"/>
        <v>-222</v>
      </c>
      <c r="KF16" s="41">
        <f t="shared" si="117"/>
        <v>-222</v>
      </c>
      <c r="KG16" s="41">
        <f t="shared" si="117"/>
        <v>-222</v>
      </c>
      <c r="KH16" s="41">
        <f t="shared" ref="KH16:KK16" si="118">KH15-222</f>
        <v>-222</v>
      </c>
      <c r="KI16" s="41">
        <f t="shared" si="118"/>
        <v>-222</v>
      </c>
      <c r="KJ16" s="41">
        <f t="shared" si="118"/>
        <v>-222</v>
      </c>
      <c r="KK16" s="41">
        <f t="shared" si="118"/>
        <v>-222</v>
      </c>
      <c r="KL16" s="41">
        <f t="shared" ref="KL16:KO16" si="119">KL15-222</f>
        <v>-222</v>
      </c>
      <c r="KM16" s="41">
        <f t="shared" si="119"/>
        <v>-222</v>
      </c>
      <c r="KN16" s="41">
        <f t="shared" si="119"/>
        <v>-222</v>
      </c>
      <c r="KO16" s="41">
        <f t="shared" si="119"/>
        <v>-222</v>
      </c>
      <c r="KP16" s="41">
        <f t="shared" ref="KP16:KT16" si="120">KP15-222</f>
        <v>-222</v>
      </c>
      <c r="KQ16" s="41">
        <f t="shared" si="120"/>
        <v>-222</v>
      </c>
      <c r="KR16" s="41">
        <f t="shared" si="120"/>
        <v>-222</v>
      </c>
      <c r="KS16" s="41">
        <f t="shared" si="120"/>
        <v>-222</v>
      </c>
      <c r="KT16" s="41">
        <f t="shared" si="120"/>
        <v>-222</v>
      </c>
      <c r="KU16" s="41">
        <f t="shared" ref="KU16:KX16" si="121">KU15-222</f>
        <v>-222</v>
      </c>
      <c r="KV16" s="41">
        <f t="shared" si="121"/>
        <v>-222</v>
      </c>
      <c r="KW16" s="41">
        <f t="shared" si="121"/>
        <v>-222</v>
      </c>
      <c r="KX16" s="41">
        <f t="shared" si="121"/>
        <v>-222</v>
      </c>
      <c r="KY16" s="41">
        <f t="shared" ref="KY16:LB16" si="122">KY15-222</f>
        <v>-222</v>
      </c>
      <c r="KZ16" s="41">
        <f t="shared" si="122"/>
        <v>-222</v>
      </c>
      <c r="LA16" s="41">
        <f t="shared" si="122"/>
        <v>-222</v>
      </c>
      <c r="LB16" s="41">
        <f t="shared" si="122"/>
        <v>-222</v>
      </c>
      <c r="LC16" s="41">
        <f t="shared" ref="LC16:LG16" si="123">LC15-222</f>
        <v>-222</v>
      </c>
      <c r="LD16" s="41">
        <f t="shared" si="123"/>
        <v>-222</v>
      </c>
      <c r="LE16" s="41">
        <f t="shared" si="123"/>
        <v>-222</v>
      </c>
      <c r="LF16" s="41">
        <f t="shared" si="123"/>
        <v>-222</v>
      </c>
      <c r="LG16" s="41">
        <f t="shared" si="123"/>
        <v>-222</v>
      </c>
    </row>
    <row r="17" spans="6:319" ht="14">
      <c r="H17" s="117" t="s">
        <v>82</v>
      </c>
      <c r="U17" s="41"/>
      <c r="V17" s="3"/>
      <c r="X17" s="41">
        <f>X14</f>
        <v>1297.5</v>
      </c>
      <c r="Y17" s="41">
        <f t="shared" ref="Y17:AQ17" si="124">Y14</f>
        <v>1316.6666666666667</v>
      </c>
      <c r="Z17" s="41">
        <f t="shared" si="124"/>
        <v>1390</v>
      </c>
      <c r="AA17" s="41">
        <f t="shared" si="124"/>
        <v>1220</v>
      </c>
      <c r="AB17" s="41">
        <f t="shared" si="124"/>
        <v>1270</v>
      </c>
      <c r="AC17" s="41">
        <f t="shared" si="124"/>
        <v>1190</v>
      </c>
      <c r="AD17" s="41">
        <f t="shared" si="124"/>
        <v>1190</v>
      </c>
      <c r="AE17" s="41">
        <f t="shared" si="124"/>
        <v>1130</v>
      </c>
      <c r="AF17" s="41">
        <f t="shared" si="124"/>
        <v>1100</v>
      </c>
      <c r="AG17" s="41">
        <f t="shared" si="124"/>
        <v>1100</v>
      </c>
      <c r="AH17" s="41">
        <f t="shared" si="124"/>
        <v>1070</v>
      </c>
      <c r="AI17" s="41">
        <f t="shared" si="124"/>
        <v>1040</v>
      </c>
      <c r="AJ17" s="41">
        <f t="shared" si="124"/>
        <v>1040</v>
      </c>
      <c r="AK17" s="41">
        <f t="shared" si="124"/>
        <v>977.5</v>
      </c>
      <c r="AL17" s="41">
        <f>AL14</f>
        <v>1000</v>
      </c>
      <c r="AM17" s="41">
        <f t="shared" si="124"/>
        <v>1045</v>
      </c>
      <c r="AN17" s="41">
        <f t="shared" si="124"/>
        <v>1020</v>
      </c>
      <c r="AO17" s="41">
        <f t="shared" si="124"/>
        <v>1055</v>
      </c>
      <c r="AP17" s="41">
        <f t="shared" si="124"/>
        <v>974</v>
      </c>
      <c r="AQ17" s="41">
        <f t="shared" si="124"/>
        <v>895</v>
      </c>
      <c r="AR17" s="41">
        <f t="shared" ref="AR17:AW17" si="125">AR14</f>
        <v>903</v>
      </c>
      <c r="AS17" s="41">
        <f t="shared" si="125"/>
        <v>918</v>
      </c>
      <c r="AT17" s="41">
        <f t="shared" si="125"/>
        <v>930</v>
      </c>
      <c r="AU17" s="41">
        <f t="shared" si="125"/>
        <v>922.5</v>
      </c>
      <c r="AV17" s="41">
        <f t="shared" si="125"/>
        <v>900</v>
      </c>
      <c r="AW17" s="41">
        <f t="shared" si="125"/>
        <v>900</v>
      </c>
      <c r="AX17" s="41">
        <f t="shared" ref="AX17:AY17" si="126">AX14</f>
        <v>930</v>
      </c>
      <c r="AY17" s="41">
        <f t="shared" si="126"/>
        <v>943.33333333333337</v>
      </c>
      <c r="AZ17" s="41">
        <f t="shared" ref="AZ17:BA17" si="127">AZ14</f>
        <v>940</v>
      </c>
      <c r="BA17" s="41">
        <f t="shared" si="127"/>
        <v>940</v>
      </c>
      <c r="BB17" s="41">
        <f t="shared" ref="BB17:BC17" si="128">BB14</f>
        <v>942</v>
      </c>
      <c r="BC17" s="41">
        <f t="shared" si="128"/>
        <v>950</v>
      </c>
      <c r="BD17" s="41">
        <f t="shared" ref="BD17:BE17" si="129">BD14</f>
        <v>947.5</v>
      </c>
      <c r="BE17" s="41">
        <f t="shared" si="129"/>
        <v>930</v>
      </c>
      <c r="BF17" s="41">
        <f t="shared" ref="BF17:BG17" si="130">BF14</f>
        <v>880</v>
      </c>
      <c r="BG17" s="41">
        <f t="shared" si="130"/>
        <v>862.5</v>
      </c>
      <c r="BH17" s="41">
        <f t="shared" ref="BH17:BI17" si="131">BH14</f>
        <v>852</v>
      </c>
      <c r="BI17" s="41">
        <f t="shared" si="131"/>
        <v>830</v>
      </c>
      <c r="BJ17" s="41">
        <f t="shared" ref="BJ17:BK17" si="132">BJ14</f>
        <v>827.5</v>
      </c>
      <c r="BK17" s="41">
        <f t="shared" si="132"/>
        <v>840</v>
      </c>
      <c r="BL17" s="41">
        <f t="shared" ref="BL17:BM17" si="133">BL14</f>
        <v>822.5</v>
      </c>
      <c r="BM17" s="41">
        <f t="shared" si="133"/>
        <v>765</v>
      </c>
      <c r="BN17" s="41">
        <f t="shared" ref="BN17:BO17" si="134">BN14</f>
        <v>782</v>
      </c>
      <c r="BO17" s="41">
        <f t="shared" si="134"/>
        <v>807.5</v>
      </c>
      <c r="BP17" s="41">
        <f t="shared" ref="BP17:BQ17" si="135">BP14</f>
        <v>802</v>
      </c>
      <c r="BQ17" s="41">
        <f t="shared" si="135"/>
        <v>795</v>
      </c>
      <c r="BR17" s="41">
        <f t="shared" ref="BR17:BS17" si="136">BR14</f>
        <v>782.5</v>
      </c>
      <c r="BS17" s="41">
        <f t="shared" si="136"/>
        <v>772</v>
      </c>
      <c r="BT17" s="41">
        <f t="shared" ref="BT17:BU17" si="137">BT14</f>
        <v>770</v>
      </c>
      <c r="BU17" s="41">
        <f t="shared" si="137"/>
        <v>772.5</v>
      </c>
      <c r="BV17" s="41">
        <f t="shared" ref="BV17:BW17" si="138">BV14</f>
        <v>805</v>
      </c>
      <c r="BW17" s="41">
        <f t="shared" si="138"/>
        <v>840</v>
      </c>
      <c r="BX17" s="41">
        <f t="shared" ref="BX17:BY17" si="139">BX14</f>
        <v>1108.75</v>
      </c>
      <c r="BY17" s="41">
        <f t="shared" si="139"/>
        <v>1194</v>
      </c>
      <c r="BZ17" s="41">
        <f t="shared" ref="BZ17:CA17" si="140">BZ14</f>
        <v>1207.5</v>
      </c>
      <c r="CA17" s="41">
        <f t="shared" si="140"/>
        <v>1102.5</v>
      </c>
      <c r="CB17" s="41">
        <f t="shared" ref="CB17" si="141">CB14</f>
        <v>975</v>
      </c>
      <c r="CF17" s="117" t="s">
        <v>82</v>
      </c>
      <c r="DT17" s="41">
        <f t="shared" ref="DT17:EL17" si="142">DT14</f>
        <v>1100</v>
      </c>
      <c r="DU17" s="41">
        <f t="shared" si="142"/>
        <v>1100</v>
      </c>
      <c r="DV17" s="41">
        <f t="shared" si="142"/>
        <v>1070</v>
      </c>
      <c r="DW17" s="41">
        <f t="shared" si="142"/>
        <v>1040</v>
      </c>
      <c r="DX17" s="41">
        <f t="shared" si="142"/>
        <v>995</v>
      </c>
      <c r="DY17" s="41">
        <f t="shared" si="142"/>
        <v>980</v>
      </c>
      <c r="DZ17" s="41">
        <f t="shared" si="142"/>
        <v>980</v>
      </c>
      <c r="EA17" s="41">
        <f t="shared" si="142"/>
        <v>980</v>
      </c>
      <c r="EB17" s="41">
        <f t="shared" si="142"/>
        <v>970</v>
      </c>
      <c r="EC17" s="41">
        <f t="shared" si="142"/>
        <v>970</v>
      </c>
      <c r="ED17" s="41">
        <f t="shared" si="142"/>
        <v>970</v>
      </c>
      <c r="EE17" s="41">
        <f t="shared" si="142"/>
        <v>980</v>
      </c>
      <c r="EF17" s="41">
        <f t="shared" si="142"/>
        <v>990</v>
      </c>
      <c r="EG17" s="41">
        <f>EG14</f>
        <v>970</v>
      </c>
      <c r="EH17" s="41">
        <f t="shared" si="142"/>
        <v>980</v>
      </c>
      <c r="EI17" s="41">
        <f t="shared" si="142"/>
        <v>990</v>
      </c>
      <c r="EJ17" s="41">
        <f t="shared" si="142"/>
        <v>1060</v>
      </c>
      <c r="EK17" s="41">
        <f t="shared" si="142"/>
        <v>1070</v>
      </c>
      <c r="EL17" s="41">
        <f t="shared" si="142"/>
        <v>1070</v>
      </c>
      <c r="EM17" s="41">
        <f t="shared" ref="EM17:ER17" si="143">EM14</f>
        <v>1020</v>
      </c>
      <c r="EN17" s="41">
        <f t="shared" si="143"/>
        <v>1020</v>
      </c>
      <c r="EO17" s="41">
        <f t="shared" si="143"/>
        <v>1020</v>
      </c>
      <c r="EP17" s="41">
        <f t="shared" si="143"/>
        <v>1020</v>
      </c>
      <c r="EQ17" s="41">
        <f t="shared" si="143"/>
        <v>1020</v>
      </c>
      <c r="ER17" s="41">
        <f t="shared" si="143"/>
        <v>1020</v>
      </c>
      <c r="ES17" s="41">
        <f t="shared" ref="ES17:EX17" si="144">ES14</f>
        <v>1050</v>
      </c>
      <c r="ET17" s="41">
        <f t="shared" si="144"/>
        <v>1070</v>
      </c>
      <c r="EU17" s="41">
        <f t="shared" si="144"/>
        <v>1050</v>
      </c>
      <c r="EV17" s="41">
        <f t="shared" si="144"/>
        <v>1050</v>
      </c>
      <c r="EW17" s="41">
        <f t="shared" si="144"/>
        <v>1020</v>
      </c>
      <c r="EX17" s="41">
        <f t="shared" si="144"/>
        <v>1000</v>
      </c>
      <c r="EY17" s="41">
        <f t="shared" ref="EY17:FD17" si="145">EY14</f>
        <v>980</v>
      </c>
      <c r="EZ17" s="41">
        <f t="shared" si="145"/>
        <v>960</v>
      </c>
      <c r="FA17" s="41">
        <f t="shared" si="145"/>
        <v>910</v>
      </c>
      <c r="FB17" s="41">
        <f t="shared" si="145"/>
        <v>910</v>
      </c>
      <c r="FC17" s="41">
        <f t="shared" si="145"/>
        <v>890</v>
      </c>
      <c r="FD17" s="41">
        <f t="shared" si="145"/>
        <v>890</v>
      </c>
      <c r="FE17" s="41">
        <f t="shared" ref="FE17:FJ17" si="146">FE14</f>
        <v>890</v>
      </c>
      <c r="FF17" s="41">
        <f t="shared" si="146"/>
        <v>890</v>
      </c>
      <c r="FG17" s="41">
        <f t="shared" si="146"/>
        <v>882</v>
      </c>
      <c r="FH17" s="41">
        <f t="shared" si="146"/>
        <v>920</v>
      </c>
      <c r="FI17" s="41">
        <f t="shared" si="146"/>
        <v>920</v>
      </c>
      <c r="FJ17" s="41">
        <f t="shared" si="146"/>
        <v>940</v>
      </c>
      <c r="FK17" s="41">
        <f>FK14</f>
        <v>920</v>
      </c>
      <c r="FL17" s="41">
        <f>FL14</f>
        <v>910</v>
      </c>
      <c r="FM17" s="41">
        <f t="shared" ref="FM17:FR17" si="147">FM14</f>
        <v>910</v>
      </c>
      <c r="FN17" s="41">
        <f t="shared" si="147"/>
        <v>910</v>
      </c>
      <c r="FO17" s="41">
        <f t="shared" si="147"/>
        <v>910</v>
      </c>
      <c r="FP17" s="41">
        <f t="shared" si="147"/>
        <v>930</v>
      </c>
      <c r="FQ17" s="41">
        <f t="shared" si="147"/>
        <v>940</v>
      </c>
      <c r="FR17" s="41">
        <f t="shared" si="147"/>
        <v>940</v>
      </c>
      <c r="FS17" s="41">
        <f t="shared" ref="FS17:FX17" si="148">FS14</f>
        <v>940</v>
      </c>
      <c r="FT17" s="41">
        <f t="shared" si="148"/>
        <v>930</v>
      </c>
      <c r="FU17" s="41">
        <f t="shared" si="148"/>
        <v>920</v>
      </c>
      <c r="FV17" s="41">
        <f t="shared" si="148"/>
        <v>900</v>
      </c>
      <c r="FW17" s="41">
        <f t="shared" si="148"/>
        <v>900</v>
      </c>
      <c r="FX17" s="41">
        <f t="shared" si="148"/>
        <v>900</v>
      </c>
      <c r="FY17" s="41">
        <f t="shared" ref="FY17:FZ17" si="149">FY14</f>
        <v>900</v>
      </c>
      <c r="FZ17" s="41">
        <f t="shared" si="149"/>
        <v>900</v>
      </c>
      <c r="GA17" s="41">
        <f t="shared" ref="GA17:GB17" si="150">GA14</f>
        <v>900</v>
      </c>
      <c r="GB17" s="41">
        <f t="shared" si="150"/>
        <v>900</v>
      </c>
      <c r="GC17" s="41">
        <f t="shared" ref="GC17:GD17" si="151">GC14</f>
        <v>900</v>
      </c>
      <c r="GD17" s="41">
        <f t="shared" si="151"/>
        <v>900</v>
      </c>
      <c r="GE17" s="41">
        <f t="shared" ref="GE17:HM17" si="152">GE14</f>
        <v>900</v>
      </c>
      <c r="GF17" s="41">
        <f t="shared" si="152"/>
        <v>900</v>
      </c>
      <c r="GG17" s="41">
        <f t="shared" si="152"/>
        <v>940</v>
      </c>
      <c r="GH17" s="41">
        <f t="shared" si="152"/>
        <v>940</v>
      </c>
      <c r="GI17" s="41">
        <f t="shared" si="152"/>
        <v>940</v>
      </c>
      <c r="GJ17" s="41">
        <f t="shared" si="152"/>
        <v>950</v>
      </c>
      <c r="GK17" s="41">
        <f t="shared" si="152"/>
        <v>940</v>
      </c>
      <c r="GL17" s="41">
        <f t="shared" si="152"/>
        <v>940</v>
      </c>
      <c r="GM17" s="41">
        <f t="shared" si="152"/>
        <v>940</v>
      </c>
      <c r="GN17" s="41">
        <f t="shared" si="152"/>
        <v>940</v>
      </c>
      <c r="GO17" s="41">
        <f t="shared" si="152"/>
        <v>940</v>
      </c>
      <c r="GP17" s="41">
        <f t="shared" si="152"/>
        <v>940</v>
      </c>
      <c r="GQ17" s="41">
        <f t="shared" si="152"/>
        <v>940</v>
      </c>
      <c r="GR17" s="41">
        <f t="shared" si="152"/>
        <v>940</v>
      </c>
      <c r="GS17" s="41">
        <f t="shared" si="152"/>
        <v>940</v>
      </c>
      <c r="GT17" s="41">
        <f t="shared" si="152"/>
        <v>940</v>
      </c>
      <c r="GU17" s="41">
        <f t="shared" si="152"/>
        <v>940</v>
      </c>
      <c r="GV17" s="41">
        <f t="shared" si="152"/>
        <v>940</v>
      </c>
      <c r="GW17" s="41">
        <f t="shared" si="152"/>
        <v>940</v>
      </c>
      <c r="GX17" s="41">
        <f t="shared" si="152"/>
        <v>940</v>
      </c>
      <c r="GY17" s="41">
        <f t="shared" si="152"/>
        <v>950</v>
      </c>
      <c r="GZ17" s="41">
        <f t="shared" si="152"/>
        <v>950</v>
      </c>
      <c r="HA17" s="41">
        <f t="shared" si="152"/>
        <v>950</v>
      </c>
      <c r="HB17" s="41">
        <f t="shared" si="152"/>
        <v>950</v>
      </c>
      <c r="HC17" s="41">
        <f t="shared" si="152"/>
        <v>950</v>
      </c>
      <c r="HD17" s="41">
        <f t="shared" si="152"/>
        <v>950</v>
      </c>
      <c r="HE17" s="41">
        <f t="shared" si="152"/>
        <v>950</v>
      </c>
      <c r="HF17" s="41">
        <f t="shared" si="152"/>
        <v>950</v>
      </c>
      <c r="HG17" s="41">
        <f t="shared" si="152"/>
        <v>940</v>
      </c>
      <c r="HH17" s="41">
        <f t="shared" si="152"/>
        <v>940</v>
      </c>
      <c r="HI17" s="41">
        <f t="shared" si="152"/>
        <v>940</v>
      </c>
      <c r="HJ17" s="41">
        <f t="shared" si="152"/>
        <v>940</v>
      </c>
      <c r="HK17" s="41">
        <f t="shared" si="152"/>
        <v>930</v>
      </c>
      <c r="HL17" s="41">
        <f t="shared" si="152"/>
        <v>900</v>
      </c>
      <c r="HM17" s="41">
        <f t="shared" si="152"/>
        <v>900</v>
      </c>
      <c r="HN17" s="41">
        <f t="shared" ref="HN17:HO17" si="153">HN14</f>
        <v>890</v>
      </c>
      <c r="HO17" s="41">
        <f t="shared" si="153"/>
        <v>870</v>
      </c>
      <c r="HP17" s="41">
        <f t="shared" ref="HP17:HR17" si="154">HP14</f>
        <v>860</v>
      </c>
      <c r="HQ17" s="41">
        <f t="shared" si="154"/>
        <v>860</v>
      </c>
      <c r="HR17" s="41">
        <f t="shared" si="154"/>
        <v>860</v>
      </c>
      <c r="HS17" s="41">
        <f t="shared" ref="HS17:HT17" si="155">HS14</f>
        <v>870</v>
      </c>
      <c r="HT17" s="41">
        <f t="shared" si="155"/>
        <v>860</v>
      </c>
      <c r="HU17" s="41">
        <f t="shared" ref="HU17:HY17" si="156">HU14</f>
        <v>860</v>
      </c>
      <c r="HV17" s="41">
        <f t="shared" si="156"/>
        <v>860</v>
      </c>
      <c r="HW17" s="41">
        <f t="shared" si="156"/>
        <v>860</v>
      </c>
      <c r="HX17" s="41">
        <f t="shared" si="156"/>
        <v>840</v>
      </c>
      <c r="HY17" s="41">
        <f t="shared" si="156"/>
        <v>840</v>
      </c>
      <c r="HZ17" s="41">
        <f t="shared" ref="HZ17:IC17" si="157">HZ14</f>
        <v>840</v>
      </c>
      <c r="IA17" s="41">
        <f t="shared" si="157"/>
        <v>830</v>
      </c>
      <c r="IB17" s="41">
        <f t="shared" si="157"/>
        <v>830</v>
      </c>
      <c r="IC17" s="41">
        <f t="shared" si="157"/>
        <v>820</v>
      </c>
      <c r="ID17" s="41">
        <f t="shared" ref="ID17:IE17" si="158">ID14</f>
        <v>820</v>
      </c>
      <c r="IE17" s="41">
        <f t="shared" si="158"/>
        <v>820</v>
      </c>
      <c r="IF17" s="41">
        <f t="shared" ref="IF17:IG17" si="159">IF14</f>
        <v>820</v>
      </c>
      <c r="IG17" s="41">
        <f t="shared" si="159"/>
        <v>850</v>
      </c>
      <c r="IH17" s="41">
        <f t="shared" ref="IH17:IJ17" si="160">IH14</f>
        <v>840</v>
      </c>
      <c r="II17" s="41">
        <f t="shared" si="160"/>
        <v>840</v>
      </c>
      <c r="IJ17" s="41">
        <f t="shared" si="160"/>
        <v>840</v>
      </c>
      <c r="IK17" s="41">
        <f t="shared" ref="IK17:IL17" si="161">IK14</f>
        <v>840</v>
      </c>
      <c r="IL17" s="41">
        <f t="shared" si="161"/>
        <v>840</v>
      </c>
      <c r="IM17" s="41">
        <f t="shared" ref="IM17:IO17" si="162">IM14</f>
        <v>830</v>
      </c>
      <c r="IN17" s="41">
        <f t="shared" si="162"/>
        <v>810</v>
      </c>
      <c r="IO17" s="41">
        <f t="shared" si="162"/>
        <v>810</v>
      </c>
      <c r="IP17" s="41">
        <f t="shared" ref="IP17:IS17" si="163">IP14</f>
        <v>800</v>
      </c>
      <c r="IQ17" s="41">
        <f t="shared" si="163"/>
        <v>750</v>
      </c>
      <c r="IR17" s="41">
        <f t="shared" si="163"/>
        <v>750</v>
      </c>
      <c r="IS17" s="41">
        <f t="shared" si="163"/>
        <v>760</v>
      </c>
      <c r="IT17" s="41">
        <f t="shared" ref="IT17:IX17" si="164">IT14</f>
        <v>760</v>
      </c>
      <c r="IU17" s="41">
        <f t="shared" si="164"/>
        <v>760</v>
      </c>
      <c r="IV17" s="41">
        <f t="shared" si="164"/>
        <v>800</v>
      </c>
      <c r="IW17" s="41">
        <f t="shared" si="164"/>
        <v>800</v>
      </c>
      <c r="IX17" s="41">
        <f t="shared" si="164"/>
        <v>790</v>
      </c>
      <c r="IY17" s="41">
        <f t="shared" ref="IY17:JB17" si="165">IY14</f>
        <v>800</v>
      </c>
      <c r="IZ17" s="41">
        <f t="shared" si="165"/>
        <v>790</v>
      </c>
      <c r="JA17" s="41">
        <f t="shared" si="165"/>
        <v>820</v>
      </c>
      <c r="JB17" s="41">
        <f t="shared" si="165"/>
        <v>820</v>
      </c>
      <c r="JC17" s="41">
        <f t="shared" ref="JC17:JG17" si="166">JC14</f>
        <v>820</v>
      </c>
      <c r="JD17" s="41">
        <f t="shared" si="166"/>
        <v>820</v>
      </c>
      <c r="JE17" s="41">
        <f t="shared" si="166"/>
        <v>790</v>
      </c>
      <c r="JF17" s="41">
        <f t="shared" si="166"/>
        <v>790</v>
      </c>
      <c r="JG17" s="41">
        <f t="shared" si="166"/>
        <v>790</v>
      </c>
      <c r="JH17" s="41">
        <f t="shared" ref="JH17:JK17" si="167">JH14</f>
        <v>800</v>
      </c>
      <c r="JI17" s="41">
        <f t="shared" si="167"/>
        <v>790</v>
      </c>
      <c r="JJ17" s="41">
        <f t="shared" si="167"/>
        <v>790</v>
      </c>
      <c r="JK17" s="41">
        <f t="shared" si="167"/>
        <v>800</v>
      </c>
      <c r="JL17" s="41">
        <f t="shared" ref="JL17:JO17" si="168">JL14</f>
        <v>790</v>
      </c>
      <c r="JM17" s="41">
        <f t="shared" si="168"/>
        <v>780</v>
      </c>
      <c r="JN17" s="41">
        <f t="shared" si="168"/>
        <v>780</v>
      </c>
      <c r="JO17" s="41">
        <f t="shared" si="168"/>
        <v>780</v>
      </c>
      <c r="JP17" s="41">
        <f t="shared" ref="JP17:JT17" si="169">JP14</f>
        <v>780</v>
      </c>
      <c r="JQ17" s="41">
        <f t="shared" si="169"/>
        <v>780</v>
      </c>
      <c r="JR17" s="41">
        <f t="shared" si="169"/>
        <v>770</v>
      </c>
      <c r="JS17" s="41">
        <f t="shared" si="169"/>
        <v>760</v>
      </c>
      <c r="JT17" s="41">
        <f t="shared" si="169"/>
        <v>770</v>
      </c>
      <c r="JU17" s="41">
        <f t="shared" ref="JU17:JX17" si="170">JU14</f>
        <v>770</v>
      </c>
      <c r="JV17" s="41">
        <f t="shared" si="170"/>
        <v>770</v>
      </c>
      <c r="JW17" s="41">
        <f t="shared" si="170"/>
        <v>770</v>
      </c>
      <c r="JX17" s="41">
        <f t="shared" si="170"/>
        <v>770</v>
      </c>
      <c r="JY17" s="41">
        <f t="shared" ref="JY17:KB17" si="171">JY14</f>
        <v>770</v>
      </c>
      <c r="JZ17" s="41">
        <f t="shared" si="171"/>
        <v>770</v>
      </c>
      <c r="KA17" s="41">
        <f t="shared" si="171"/>
        <v>770</v>
      </c>
      <c r="KB17" s="41">
        <f t="shared" si="171"/>
        <v>780</v>
      </c>
      <c r="KC17" s="41">
        <f t="shared" ref="KC17:KG17" si="172">KC14</f>
        <v>795</v>
      </c>
      <c r="KD17" s="41">
        <f t="shared" si="172"/>
        <v>795</v>
      </c>
      <c r="KE17" s="41">
        <f t="shared" si="172"/>
        <v>795</v>
      </c>
      <c r="KF17" s="41">
        <f t="shared" si="172"/>
        <v>820</v>
      </c>
      <c r="KG17" s="41">
        <f t="shared" si="172"/>
        <v>820</v>
      </c>
      <c r="KH17" s="41">
        <f t="shared" ref="KH17:KK17" si="173">KH14</f>
        <v>840</v>
      </c>
      <c r="KI17" s="41">
        <f t="shared" si="173"/>
        <v>840</v>
      </c>
      <c r="KJ17" s="41">
        <f t="shared" si="173"/>
        <v>840</v>
      </c>
      <c r="KK17" s="41">
        <f t="shared" si="173"/>
        <v>840</v>
      </c>
      <c r="KL17" s="41">
        <f t="shared" ref="KL17:KO17" si="174">KL14</f>
        <v>935</v>
      </c>
      <c r="KM17" s="41">
        <f t="shared" si="174"/>
        <v>1080</v>
      </c>
      <c r="KN17" s="41">
        <f t="shared" si="174"/>
        <v>1280</v>
      </c>
      <c r="KO17" s="41">
        <f t="shared" si="174"/>
        <v>1140</v>
      </c>
      <c r="KP17" s="41">
        <f t="shared" ref="KP17:KT17" si="175">KP14</f>
        <v>1140</v>
      </c>
      <c r="KQ17" s="41">
        <f t="shared" si="175"/>
        <v>1200</v>
      </c>
      <c r="KR17" s="41">
        <f t="shared" si="175"/>
        <v>1200</v>
      </c>
      <c r="KS17" s="41">
        <f t="shared" si="175"/>
        <v>1200</v>
      </c>
      <c r="KT17" s="41">
        <f t="shared" si="175"/>
        <v>1230</v>
      </c>
      <c r="KU17" s="41">
        <f t="shared" ref="KU17:KX17" si="176">KU14</f>
        <v>1250</v>
      </c>
      <c r="KV17" s="41">
        <f t="shared" si="176"/>
        <v>1230</v>
      </c>
      <c r="KW17" s="41">
        <f t="shared" si="176"/>
        <v>1190</v>
      </c>
      <c r="KX17" s="41">
        <f t="shared" si="176"/>
        <v>1160</v>
      </c>
      <c r="KY17" s="41">
        <f t="shared" ref="KY17:LB17" si="177">KY14</f>
        <v>1140</v>
      </c>
      <c r="KZ17" s="41">
        <f t="shared" si="177"/>
        <v>1140</v>
      </c>
      <c r="LA17" s="41">
        <f t="shared" si="177"/>
        <v>1090</v>
      </c>
      <c r="LB17" s="41">
        <f t="shared" si="177"/>
        <v>1040</v>
      </c>
      <c r="LC17" s="41">
        <f t="shared" ref="LC17:LG17" si="178">LC14</f>
        <v>990</v>
      </c>
      <c r="LD17" s="41">
        <f t="shared" si="178"/>
        <v>960</v>
      </c>
      <c r="LE17" s="41">
        <f t="shared" si="178"/>
        <v>0</v>
      </c>
      <c r="LF17" s="41">
        <f t="shared" si="178"/>
        <v>0</v>
      </c>
      <c r="LG17" s="41">
        <f t="shared" si="178"/>
        <v>0</v>
      </c>
    </row>
    <row r="18" spans="6:319" ht="15">
      <c r="F18" s="62"/>
      <c r="H18" s="117" t="s">
        <v>83</v>
      </c>
      <c r="V18" s="3"/>
      <c r="X18" s="41">
        <f t="shared" ref="X18:AK18" si="179">X7-X17</f>
        <v>272.5</v>
      </c>
      <c r="Y18" s="41">
        <f t="shared" si="179"/>
        <v>253.33333333333326</v>
      </c>
      <c r="Z18" s="41">
        <f t="shared" si="179"/>
        <v>180</v>
      </c>
      <c r="AA18" s="41">
        <f t="shared" si="179"/>
        <v>350</v>
      </c>
      <c r="AB18" s="41">
        <f t="shared" si="179"/>
        <v>230</v>
      </c>
      <c r="AC18" s="41">
        <f t="shared" si="179"/>
        <v>310</v>
      </c>
      <c r="AD18" s="41" t="e">
        <f t="shared" si="179"/>
        <v>#REF!</v>
      </c>
      <c r="AE18" s="41" t="e">
        <f t="shared" si="179"/>
        <v>#REF!</v>
      </c>
      <c r="AF18" s="41" t="e">
        <f t="shared" si="179"/>
        <v>#REF!</v>
      </c>
      <c r="AG18" s="41" t="e">
        <f t="shared" si="179"/>
        <v>#REF!</v>
      </c>
      <c r="AH18" s="41" t="e">
        <f t="shared" si="179"/>
        <v>#REF!</v>
      </c>
      <c r="AI18" s="41" t="e">
        <f t="shared" si="179"/>
        <v>#REF!</v>
      </c>
      <c r="AJ18" s="41" t="e">
        <f t="shared" si="179"/>
        <v>#REF!</v>
      </c>
      <c r="AK18" s="41">
        <f t="shared" si="179"/>
        <v>372.5</v>
      </c>
      <c r="AL18" s="41">
        <f>AL6-AL17</f>
        <v>330</v>
      </c>
      <c r="AM18" s="41">
        <f t="shared" ref="AM18:BC18" si="180">AM6-AM17</f>
        <v>285</v>
      </c>
      <c r="AN18" s="41">
        <f t="shared" si="180"/>
        <v>360</v>
      </c>
      <c r="AO18" s="41">
        <f t="shared" si="180"/>
        <v>325</v>
      </c>
      <c r="AP18" s="41">
        <f t="shared" si="180"/>
        <v>406</v>
      </c>
      <c r="AQ18" s="41">
        <f t="shared" si="180"/>
        <v>430</v>
      </c>
      <c r="AR18" s="41">
        <f t="shared" si="180"/>
        <v>372</v>
      </c>
      <c r="AS18" s="41">
        <f t="shared" si="180"/>
        <v>332</v>
      </c>
      <c r="AT18" s="41">
        <f t="shared" si="180"/>
        <v>320</v>
      </c>
      <c r="AU18" s="41">
        <f t="shared" si="180"/>
        <v>327.5</v>
      </c>
      <c r="AV18" s="41">
        <f t="shared" si="180"/>
        <v>350</v>
      </c>
      <c r="AW18" s="41">
        <f t="shared" si="180"/>
        <v>350</v>
      </c>
      <c r="AX18" s="41">
        <f t="shared" si="180"/>
        <v>320</v>
      </c>
      <c r="AY18" s="41">
        <f t="shared" si="180"/>
        <v>306.66666666666663</v>
      </c>
      <c r="AZ18" s="41">
        <f t="shared" si="180"/>
        <v>310</v>
      </c>
      <c r="BA18" s="41">
        <f t="shared" si="180"/>
        <v>310</v>
      </c>
      <c r="BB18" s="41">
        <f t="shared" si="180"/>
        <v>358</v>
      </c>
      <c r="BC18" s="41">
        <f t="shared" si="180"/>
        <v>350</v>
      </c>
      <c r="BD18" s="41">
        <f t="shared" ref="BD18:BE18" si="181">BD6-BD17</f>
        <v>352.5</v>
      </c>
      <c r="BE18" s="41">
        <f t="shared" si="181"/>
        <v>370</v>
      </c>
      <c r="BF18" s="41">
        <f t="shared" ref="BF18:BG18" si="182">BF6-BF17</f>
        <v>430</v>
      </c>
      <c r="BG18" s="41">
        <f t="shared" si="182"/>
        <v>462.5</v>
      </c>
      <c r="BH18" s="41">
        <f t="shared" ref="BH18:BI18" si="183">BH6-BH17</f>
        <v>473</v>
      </c>
      <c r="BI18" s="41">
        <f t="shared" si="183"/>
        <v>445</v>
      </c>
      <c r="BJ18" s="41">
        <f t="shared" ref="BJ18:BK18" si="184">BJ6-BJ17</f>
        <v>402.5</v>
      </c>
      <c r="BK18" s="41">
        <f t="shared" si="184"/>
        <v>390</v>
      </c>
      <c r="BL18" s="41">
        <f t="shared" ref="BL18:BM18" si="185">BL6-BL17</f>
        <v>407.5</v>
      </c>
      <c r="BM18" s="41">
        <f t="shared" si="185"/>
        <v>485</v>
      </c>
      <c r="BN18" s="41">
        <f t="shared" ref="BN18:BO18" si="186">BN6-BN17</f>
        <v>468</v>
      </c>
      <c r="BO18" s="41">
        <f t="shared" si="186"/>
        <v>442.5</v>
      </c>
      <c r="BP18" s="41">
        <f t="shared" ref="BP18:BQ18" si="187">BP6-BP17</f>
        <v>448</v>
      </c>
      <c r="BQ18" s="41">
        <f t="shared" si="187"/>
        <v>425</v>
      </c>
      <c r="BR18" s="41">
        <f t="shared" ref="BR18:BS18" si="188">BR6-BR17</f>
        <v>437.5</v>
      </c>
      <c r="BS18" s="41">
        <f t="shared" si="188"/>
        <v>438</v>
      </c>
      <c r="BT18" s="41">
        <f t="shared" ref="BT18:BU18" si="189">BT6-BT17</f>
        <v>430</v>
      </c>
      <c r="BU18" s="41">
        <f t="shared" si="189"/>
        <v>427.5</v>
      </c>
      <c r="BV18" s="41">
        <f t="shared" ref="BV18:BW18" si="190">BV6-BV17</f>
        <v>355</v>
      </c>
      <c r="BW18" s="41">
        <f t="shared" si="190"/>
        <v>320</v>
      </c>
      <c r="BX18" s="41">
        <f t="shared" ref="BX18:BY18" si="191">BX6-BX17</f>
        <v>51.25</v>
      </c>
      <c r="BY18" s="41">
        <f t="shared" si="191"/>
        <v>86</v>
      </c>
      <c r="BZ18" s="41">
        <f t="shared" ref="BZ18:CA18" si="192">BZ6-BZ17</f>
        <v>172.5</v>
      </c>
      <c r="CA18" s="41">
        <f t="shared" si="192"/>
        <v>247.5</v>
      </c>
      <c r="CB18" s="41">
        <f t="shared" ref="CB18" si="193">CB6-CB17</f>
        <v>355</v>
      </c>
      <c r="CF18" s="117" t="s">
        <v>83</v>
      </c>
      <c r="DT18" s="41" t="e">
        <f t="shared" ref="DT18:EY18" si="194">+DT7-DT17</f>
        <v>#REF!</v>
      </c>
      <c r="DU18" s="41" t="e">
        <f t="shared" si="194"/>
        <v>#REF!</v>
      </c>
      <c r="DV18" s="41" t="e">
        <f t="shared" si="194"/>
        <v>#REF!</v>
      </c>
      <c r="DW18" s="41" t="e">
        <f t="shared" si="194"/>
        <v>#REF!</v>
      </c>
      <c r="DX18" s="41">
        <f t="shared" si="194"/>
        <v>405</v>
      </c>
      <c r="DY18" s="41">
        <f t="shared" si="194"/>
        <v>420</v>
      </c>
      <c r="DZ18" s="41">
        <f t="shared" si="194"/>
        <v>420</v>
      </c>
      <c r="EA18" s="41">
        <f t="shared" si="194"/>
        <v>420</v>
      </c>
      <c r="EB18" s="41">
        <f t="shared" si="194"/>
        <v>430</v>
      </c>
      <c r="EC18" s="41">
        <f t="shared" si="194"/>
        <v>430</v>
      </c>
      <c r="ED18" s="41">
        <f t="shared" si="194"/>
        <v>430</v>
      </c>
      <c r="EE18" s="41">
        <f t="shared" si="194"/>
        <v>370</v>
      </c>
      <c r="EF18" s="41">
        <f t="shared" si="194"/>
        <v>360</v>
      </c>
      <c r="EG18" s="41">
        <f t="shared" si="194"/>
        <v>360</v>
      </c>
      <c r="EH18" s="41">
        <f t="shared" si="194"/>
        <v>350</v>
      </c>
      <c r="EI18" s="41">
        <f t="shared" si="194"/>
        <v>340</v>
      </c>
      <c r="EJ18" s="41">
        <f t="shared" si="194"/>
        <v>270</v>
      </c>
      <c r="EK18" s="41">
        <f t="shared" si="194"/>
        <v>260</v>
      </c>
      <c r="EL18" s="41">
        <f t="shared" si="194"/>
        <v>260</v>
      </c>
      <c r="EM18" s="41">
        <f t="shared" si="194"/>
        <v>310</v>
      </c>
      <c r="EN18" s="41">
        <f t="shared" si="194"/>
        <v>310</v>
      </c>
      <c r="EO18" s="41">
        <f t="shared" si="194"/>
        <v>360</v>
      </c>
      <c r="EP18" s="41">
        <f t="shared" si="194"/>
        <v>360</v>
      </c>
      <c r="EQ18" s="41">
        <f t="shared" si="194"/>
        <v>360</v>
      </c>
      <c r="ER18" s="41">
        <f t="shared" si="194"/>
        <v>360</v>
      </c>
      <c r="ES18" s="41">
        <f t="shared" si="194"/>
        <v>330</v>
      </c>
      <c r="ET18" s="41">
        <f t="shared" si="194"/>
        <v>310</v>
      </c>
      <c r="EU18" s="41">
        <f t="shared" si="194"/>
        <v>330</v>
      </c>
      <c r="EV18" s="41">
        <f t="shared" si="194"/>
        <v>330</v>
      </c>
      <c r="EW18" s="41">
        <f t="shared" si="194"/>
        <v>360</v>
      </c>
      <c r="EX18" s="41">
        <f t="shared" si="194"/>
        <v>380</v>
      </c>
      <c r="EY18" s="41">
        <f t="shared" si="194"/>
        <v>400</v>
      </c>
      <c r="EZ18" s="41">
        <f t="shared" ref="EZ18:GE18" si="195">+EZ7-EZ17</f>
        <v>420</v>
      </c>
      <c r="FA18" s="41">
        <f t="shared" si="195"/>
        <v>470</v>
      </c>
      <c r="FB18" s="41">
        <f t="shared" si="195"/>
        <v>440</v>
      </c>
      <c r="FC18" s="41">
        <f t="shared" si="195"/>
        <v>460</v>
      </c>
      <c r="FD18" s="41">
        <f t="shared" si="195"/>
        <v>410</v>
      </c>
      <c r="FE18" s="41">
        <f t="shared" si="195"/>
        <v>410</v>
      </c>
      <c r="FF18" s="41">
        <f t="shared" si="195"/>
        <v>410</v>
      </c>
      <c r="FG18" s="41">
        <f t="shared" si="195"/>
        <v>418</v>
      </c>
      <c r="FH18" s="41">
        <f t="shared" si="195"/>
        <v>330</v>
      </c>
      <c r="FI18" s="41">
        <f t="shared" si="195"/>
        <v>330</v>
      </c>
      <c r="FJ18" s="41">
        <f t="shared" si="195"/>
        <v>310</v>
      </c>
      <c r="FK18" s="41">
        <f t="shared" si="195"/>
        <v>330</v>
      </c>
      <c r="FL18" s="41">
        <f t="shared" si="195"/>
        <v>340</v>
      </c>
      <c r="FM18" s="41">
        <f t="shared" si="195"/>
        <v>340</v>
      </c>
      <c r="FN18" s="41">
        <f t="shared" si="195"/>
        <v>340</v>
      </c>
      <c r="FO18" s="41">
        <f t="shared" si="195"/>
        <v>340</v>
      </c>
      <c r="FP18" s="41">
        <f t="shared" si="195"/>
        <v>320</v>
      </c>
      <c r="FQ18" s="41">
        <f t="shared" si="195"/>
        <v>310</v>
      </c>
      <c r="FR18" s="41">
        <f t="shared" si="195"/>
        <v>310</v>
      </c>
      <c r="FS18" s="41">
        <f t="shared" si="195"/>
        <v>310</v>
      </c>
      <c r="FT18" s="41">
        <f t="shared" si="195"/>
        <v>320</v>
      </c>
      <c r="FU18" s="41">
        <f t="shared" si="195"/>
        <v>330</v>
      </c>
      <c r="FV18" s="41">
        <f t="shared" si="195"/>
        <v>350</v>
      </c>
      <c r="FW18" s="41">
        <f t="shared" si="195"/>
        <v>350</v>
      </c>
      <c r="FX18" s="41">
        <f t="shared" si="195"/>
        <v>350</v>
      </c>
      <c r="FY18" s="41">
        <f t="shared" si="195"/>
        <v>350</v>
      </c>
      <c r="FZ18" s="41">
        <f t="shared" si="195"/>
        <v>350</v>
      </c>
      <c r="GA18" s="41">
        <f t="shared" si="195"/>
        <v>350</v>
      </c>
      <c r="GB18" s="41">
        <f t="shared" si="195"/>
        <v>350</v>
      </c>
      <c r="GC18" s="41">
        <f t="shared" si="195"/>
        <v>350</v>
      </c>
      <c r="GD18" s="41">
        <f t="shared" si="195"/>
        <v>350</v>
      </c>
      <c r="GE18" s="41">
        <f t="shared" si="195"/>
        <v>350</v>
      </c>
      <c r="GF18" s="41">
        <f>+GF6-GF17</f>
        <v>350</v>
      </c>
      <c r="GG18" s="41">
        <f t="shared" ref="GG18:GN18" si="196">+GG6-GG17</f>
        <v>310</v>
      </c>
      <c r="GH18" s="41">
        <f t="shared" si="196"/>
        <v>310</v>
      </c>
      <c r="GI18" s="41">
        <f t="shared" si="196"/>
        <v>310</v>
      </c>
      <c r="GJ18" s="41">
        <f t="shared" si="196"/>
        <v>300</v>
      </c>
      <c r="GK18" s="41">
        <f t="shared" si="196"/>
        <v>310</v>
      </c>
      <c r="GL18" s="41">
        <f t="shared" si="196"/>
        <v>310</v>
      </c>
      <c r="GM18" s="41">
        <f t="shared" si="196"/>
        <v>310</v>
      </c>
      <c r="GN18" s="41">
        <f t="shared" si="196"/>
        <v>310</v>
      </c>
      <c r="GO18" s="41">
        <f t="shared" ref="GO18" si="197">+GO6-GO17</f>
        <v>310</v>
      </c>
      <c r="GP18" s="41">
        <f t="shared" ref="GP18" si="198">+GP6-GP17</f>
        <v>310</v>
      </c>
      <c r="GQ18" s="41">
        <f t="shared" ref="GQ18" si="199">+GQ6-GQ17</f>
        <v>310</v>
      </c>
      <c r="GR18" s="41">
        <f t="shared" ref="GR18" si="200">+GR6-GR17</f>
        <v>310</v>
      </c>
      <c r="GS18" s="41">
        <f t="shared" ref="GS18" si="201">+GS6-GS17</f>
        <v>310</v>
      </c>
      <c r="GT18" s="41">
        <f t="shared" ref="GT18" si="202">+GT6-GT17</f>
        <v>310</v>
      </c>
      <c r="GU18" s="41">
        <f t="shared" ref="GU18:GV18" si="203">+GU6-GU17</f>
        <v>360</v>
      </c>
      <c r="GV18" s="41">
        <f t="shared" si="203"/>
        <v>360</v>
      </c>
      <c r="GW18" s="41">
        <f t="shared" ref="GW18" si="204">+GW6-GW17</f>
        <v>360</v>
      </c>
      <c r="GX18" s="41">
        <f t="shared" ref="GX18" si="205">+GX6-GX17</f>
        <v>360</v>
      </c>
      <c r="GY18" s="41">
        <f t="shared" ref="GY18" si="206">+GY6-GY17</f>
        <v>350</v>
      </c>
      <c r="GZ18" s="41">
        <f t="shared" ref="GZ18" si="207">+GZ6-GZ17</f>
        <v>350</v>
      </c>
      <c r="HA18" s="41">
        <f t="shared" ref="HA18:HB18" si="208">+HA6-HA17</f>
        <v>350</v>
      </c>
      <c r="HB18" s="41">
        <f t="shared" si="208"/>
        <v>350</v>
      </c>
      <c r="HC18" s="41">
        <f t="shared" ref="HC18:HD18" si="209">+HC6-HC17</f>
        <v>350</v>
      </c>
      <c r="HD18" s="41">
        <f t="shared" si="209"/>
        <v>350</v>
      </c>
      <c r="HE18" s="41">
        <f t="shared" ref="HE18:HF18" si="210">+HE6-HE17</f>
        <v>350</v>
      </c>
      <c r="HF18" s="41">
        <f t="shared" si="210"/>
        <v>350</v>
      </c>
      <c r="HG18" s="41">
        <f t="shared" ref="HG18:HH18" si="211">+HG6-HG17</f>
        <v>360</v>
      </c>
      <c r="HH18" s="41">
        <f t="shared" si="211"/>
        <v>360</v>
      </c>
      <c r="HI18" s="41">
        <f t="shared" ref="HI18:HJ18" si="212">+HI6-HI17</f>
        <v>360</v>
      </c>
      <c r="HJ18" s="41">
        <f t="shared" si="212"/>
        <v>360</v>
      </c>
      <c r="HK18" s="41">
        <f t="shared" ref="HK18:HL18" si="213">+HK6-HK17</f>
        <v>370</v>
      </c>
      <c r="HL18" s="41">
        <f t="shared" si="213"/>
        <v>400</v>
      </c>
      <c r="HM18" s="41">
        <f t="shared" ref="HM18:HN18" si="214">+HM6-HM17</f>
        <v>410</v>
      </c>
      <c r="HN18" s="41">
        <f t="shared" si="214"/>
        <v>420</v>
      </c>
      <c r="HO18" s="41">
        <f t="shared" ref="HO18:HP18" si="215">+HO6-HO17</f>
        <v>440</v>
      </c>
      <c r="HP18" s="41">
        <f t="shared" si="215"/>
        <v>450</v>
      </c>
      <c r="HQ18" s="41">
        <f t="shared" ref="HQ18:HR18" si="216">+HQ6-HQ17</f>
        <v>465</v>
      </c>
      <c r="HR18" s="41">
        <f t="shared" si="216"/>
        <v>465</v>
      </c>
      <c r="HS18" s="41">
        <f t="shared" ref="HS18:HT18" si="217">+HS6-HS17</f>
        <v>455</v>
      </c>
      <c r="HT18" s="41">
        <f t="shared" si="217"/>
        <v>465</v>
      </c>
      <c r="HU18" s="41">
        <f t="shared" ref="HU18:HY18" si="218">+HU6-HU17</f>
        <v>465</v>
      </c>
      <c r="HV18" s="41">
        <f t="shared" si="218"/>
        <v>465</v>
      </c>
      <c r="HW18" s="41">
        <f t="shared" si="218"/>
        <v>465</v>
      </c>
      <c r="HX18" s="41">
        <f t="shared" si="218"/>
        <v>485</v>
      </c>
      <c r="HY18" s="41">
        <f t="shared" si="218"/>
        <v>485</v>
      </c>
      <c r="HZ18" s="41">
        <f t="shared" ref="HZ18:IC18" si="219">+HZ6-HZ17</f>
        <v>435</v>
      </c>
      <c r="IA18" s="41">
        <f t="shared" si="219"/>
        <v>445</v>
      </c>
      <c r="IB18" s="41">
        <f t="shared" si="219"/>
        <v>445</v>
      </c>
      <c r="IC18" s="41">
        <f t="shared" si="219"/>
        <v>455</v>
      </c>
      <c r="ID18" s="41">
        <f t="shared" ref="ID18:IE18" si="220">+ID6-ID17</f>
        <v>410</v>
      </c>
      <c r="IE18" s="41">
        <f t="shared" si="220"/>
        <v>410</v>
      </c>
      <c r="IF18" s="41">
        <f t="shared" ref="IF18:IG18" si="221">+IF6-IF17</f>
        <v>410</v>
      </c>
      <c r="IG18" s="41">
        <f t="shared" si="221"/>
        <v>380</v>
      </c>
      <c r="IH18" s="41">
        <f t="shared" ref="IH18:IJ18" si="222">+IH6-IH17</f>
        <v>390</v>
      </c>
      <c r="II18" s="41">
        <f t="shared" si="222"/>
        <v>390</v>
      </c>
      <c r="IJ18" s="41">
        <f t="shared" si="222"/>
        <v>390</v>
      </c>
      <c r="IK18" s="41">
        <f t="shared" ref="IK18:IL18" si="223">+IK6-IK17</f>
        <v>390</v>
      </c>
      <c r="IL18" s="41">
        <f t="shared" si="223"/>
        <v>390</v>
      </c>
      <c r="IM18" s="41">
        <f t="shared" ref="IM18:IO18" si="224">+IM6-IM17</f>
        <v>400</v>
      </c>
      <c r="IN18" s="41">
        <f t="shared" si="224"/>
        <v>420</v>
      </c>
      <c r="IO18" s="41">
        <f t="shared" si="224"/>
        <v>420</v>
      </c>
      <c r="IP18" s="41">
        <f t="shared" ref="IP18:IS18" si="225">+IP6-IP17</f>
        <v>450</v>
      </c>
      <c r="IQ18" s="41">
        <f t="shared" si="225"/>
        <v>500</v>
      </c>
      <c r="IR18" s="41">
        <f t="shared" si="225"/>
        <v>500</v>
      </c>
      <c r="IS18" s="41">
        <f t="shared" si="225"/>
        <v>490</v>
      </c>
      <c r="IT18" s="41">
        <f t="shared" ref="IT18:IX18" si="226">+IT6-IT17</f>
        <v>490</v>
      </c>
      <c r="IU18" s="41">
        <f t="shared" si="226"/>
        <v>490</v>
      </c>
      <c r="IV18" s="41">
        <f t="shared" si="226"/>
        <v>450</v>
      </c>
      <c r="IW18" s="41">
        <f t="shared" si="226"/>
        <v>450</v>
      </c>
      <c r="IX18" s="41">
        <f t="shared" si="226"/>
        <v>460</v>
      </c>
      <c r="IY18" s="41">
        <f t="shared" ref="IY18:JB18" si="227">+IY6-IY17</f>
        <v>423.08345182389439</v>
      </c>
      <c r="IZ18" s="41">
        <f t="shared" si="227"/>
        <v>435.22861301447779</v>
      </c>
      <c r="JA18" s="41">
        <f t="shared" si="227"/>
        <v>399.85946597651218</v>
      </c>
      <c r="JB18" s="41">
        <f t="shared" si="227"/>
        <v>399.05305328016675</v>
      </c>
      <c r="JC18" s="41">
        <f t="shared" ref="JC18:JG18" si="228">+JC6-JC17</f>
        <v>395.28891612105326</v>
      </c>
      <c r="JD18" s="41">
        <f t="shared" si="228"/>
        <v>408.31313760815851</v>
      </c>
      <c r="JE18" s="41">
        <f t="shared" si="228"/>
        <v>426.0902473013</v>
      </c>
      <c r="JF18" s="41">
        <f t="shared" si="228"/>
        <v>430.5681658529486</v>
      </c>
      <c r="JG18" s="41">
        <f t="shared" si="228"/>
        <v>426.90734480216793</v>
      </c>
      <c r="JH18" s="41">
        <f t="shared" ref="JH18:JK18" si="229">+JH6-JH17</f>
        <v>404.47341524403009</v>
      </c>
      <c r="JI18" s="41">
        <f t="shared" si="229"/>
        <v>397.68137723989094</v>
      </c>
      <c r="JJ18" s="41">
        <f t="shared" si="229"/>
        <v>430</v>
      </c>
      <c r="JK18" s="41">
        <f t="shared" si="229"/>
        <v>420</v>
      </c>
      <c r="JL18" s="41">
        <f t="shared" ref="JL18:JO18" si="230">+JL6-JL17</f>
        <v>430</v>
      </c>
      <c r="JM18" s="41">
        <f t="shared" si="230"/>
        <v>440</v>
      </c>
      <c r="JN18" s="41">
        <f t="shared" si="230"/>
        <v>440</v>
      </c>
      <c r="JO18" s="41">
        <f t="shared" si="230"/>
        <v>440</v>
      </c>
      <c r="JP18" s="41">
        <f t="shared" ref="JP18:JT18" si="231">+JP6-JP17</f>
        <v>430</v>
      </c>
      <c r="JQ18" s="41">
        <f t="shared" si="231"/>
        <v>430</v>
      </c>
      <c r="JR18" s="41">
        <f t="shared" si="231"/>
        <v>440</v>
      </c>
      <c r="JS18" s="41">
        <f t="shared" si="231"/>
        <v>450</v>
      </c>
      <c r="JT18" s="41">
        <f t="shared" si="231"/>
        <v>440</v>
      </c>
      <c r="JU18" s="41">
        <f t="shared" ref="JU18:JX18" si="232">+JU6-JU17</f>
        <v>430</v>
      </c>
      <c r="JV18" s="41">
        <f t="shared" si="232"/>
        <v>430</v>
      </c>
      <c r="JW18" s="41">
        <f t="shared" si="232"/>
        <v>430</v>
      </c>
      <c r="JX18" s="41">
        <f t="shared" si="232"/>
        <v>430</v>
      </c>
      <c r="JY18" s="41">
        <f t="shared" ref="JY18:KB18" si="233">+JY6-JY17</f>
        <v>430</v>
      </c>
      <c r="JZ18" s="41">
        <f t="shared" si="233"/>
        <v>430</v>
      </c>
      <c r="KA18" s="41">
        <f t="shared" si="233"/>
        <v>430</v>
      </c>
      <c r="KB18" s="41">
        <f t="shared" si="233"/>
        <v>420</v>
      </c>
      <c r="KC18" s="41">
        <f t="shared" ref="KC18:KG18" si="234">+KC6-KC17</f>
        <v>365</v>
      </c>
      <c r="KD18" s="41">
        <f t="shared" si="234"/>
        <v>365</v>
      </c>
      <c r="KE18" s="41">
        <f t="shared" si="234"/>
        <v>365</v>
      </c>
      <c r="KF18" s="41">
        <f t="shared" si="234"/>
        <v>340</v>
      </c>
      <c r="KG18" s="41">
        <f t="shared" si="234"/>
        <v>340</v>
      </c>
      <c r="KH18" s="41">
        <f t="shared" ref="KH18:KK18" si="235">+KH6-KH17</f>
        <v>320</v>
      </c>
      <c r="KI18" s="41">
        <f t="shared" si="235"/>
        <v>320</v>
      </c>
      <c r="KJ18" s="41">
        <f t="shared" si="235"/>
        <v>320</v>
      </c>
      <c r="KK18" s="41">
        <f t="shared" si="235"/>
        <v>320</v>
      </c>
      <c r="KL18" s="41">
        <f t="shared" ref="KL18:KO18" si="236">+KL6-KL17</f>
        <v>225</v>
      </c>
      <c r="KM18" s="41">
        <f t="shared" si="236"/>
        <v>80</v>
      </c>
      <c r="KN18" s="41">
        <f t="shared" si="236"/>
        <v>-70</v>
      </c>
      <c r="KO18" s="41">
        <f t="shared" si="236"/>
        <v>140</v>
      </c>
      <c r="KP18" s="41">
        <f t="shared" ref="KP18:KT18" si="237">+KP6-KP17</f>
        <v>140</v>
      </c>
      <c r="KQ18" s="41">
        <f t="shared" si="237"/>
        <v>80</v>
      </c>
      <c r="KR18" s="41">
        <f t="shared" si="237"/>
        <v>110</v>
      </c>
      <c r="KS18" s="41">
        <f t="shared" si="237"/>
        <v>180</v>
      </c>
      <c r="KT18" s="41">
        <f t="shared" si="237"/>
        <v>150</v>
      </c>
      <c r="KU18" s="41">
        <f t="shared" ref="KU18:KX18" si="238">+KU6-KU17</f>
        <v>130</v>
      </c>
      <c r="KV18" s="41">
        <f t="shared" si="238"/>
        <v>150</v>
      </c>
      <c r="KW18" s="41">
        <f t="shared" si="238"/>
        <v>190</v>
      </c>
      <c r="KX18" s="41">
        <f t="shared" si="238"/>
        <v>220</v>
      </c>
      <c r="KY18" s="41">
        <f t="shared" ref="KY18:LB18" si="239">+KY6-KY17</f>
        <v>210</v>
      </c>
      <c r="KZ18" s="41">
        <f t="shared" si="239"/>
        <v>210</v>
      </c>
      <c r="LA18" s="41">
        <f t="shared" si="239"/>
        <v>260</v>
      </c>
      <c r="LB18" s="41">
        <f t="shared" si="239"/>
        <v>310</v>
      </c>
      <c r="LC18" s="41">
        <f t="shared" ref="LC18:LG18" si="240">+LC6-LC17</f>
        <v>340</v>
      </c>
      <c r="LD18" s="41">
        <f t="shared" si="240"/>
        <v>370</v>
      </c>
      <c r="LE18" s="41">
        <f t="shared" si="240"/>
        <v>0</v>
      </c>
      <c r="LF18" s="41">
        <f t="shared" si="240"/>
        <v>0</v>
      </c>
      <c r="LG18" s="41">
        <f t="shared" si="240"/>
        <v>0</v>
      </c>
    </row>
    <row r="19" spans="6:319" ht="15">
      <c r="F19" s="62"/>
      <c r="H19" s="1" t="s">
        <v>81</v>
      </c>
      <c r="U19" s="41"/>
      <c r="X19" s="51">
        <f>X18/X17</f>
        <v>0.21001926782273603</v>
      </c>
      <c r="Y19" s="51">
        <f t="shared" ref="Y19:AQ19" si="241">Y18/Y17</f>
        <v>0.19240506329113918</v>
      </c>
      <c r="Z19" s="51">
        <f t="shared" si="241"/>
        <v>0.12949640287769784</v>
      </c>
      <c r="AA19" s="51">
        <f t="shared" si="241"/>
        <v>0.28688524590163933</v>
      </c>
      <c r="AB19" s="51">
        <f t="shared" si="241"/>
        <v>0.18110236220472442</v>
      </c>
      <c r="AC19" s="51">
        <f t="shared" si="241"/>
        <v>0.26050420168067229</v>
      </c>
      <c r="AD19" s="51" t="e">
        <f t="shared" si="241"/>
        <v>#REF!</v>
      </c>
      <c r="AE19" s="51" t="e">
        <f t="shared" si="241"/>
        <v>#REF!</v>
      </c>
      <c r="AF19" s="51" t="e">
        <f t="shared" si="241"/>
        <v>#REF!</v>
      </c>
      <c r="AG19" s="51" t="e">
        <f t="shared" si="241"/>
        <v>#REF!</v>
      </c>
      <c r="AH19" s="51" t="e">
        <f t="shared" si="241"/>
        <v>#REF!</v>
      </c>
      <c r="AI19" s="51" t="e">
        <f t="shared" si="241"/>
        <v>#REF!</v>
      </c>
      <c r="AJ19" s="51" t="e">
        <f t="shared" si="241"/>
        <v>#REF!</v>
      </c>
      <c r="AK19" s="51">
        <f t="shared" si="241"/>
        <v>0.38107416879795397</v>
      </c>
      <c r="AL19" s="51">
        <f t="shared" si="241"/>
        <v>0.33</v>
      </c>
      <c r="AM19" s="51">
        <f t="shared" si="241"/>
        <v>0.27272727272727271</v>
      </c>
      <c r="AN19" s="51">
        <f t="shared" si="241"/>
        <v>0.35294117647058826</v>
      </c>
      <c r="AO19" s="51">
        <f t="shared" si="241"/>
        <v>0.30805687203791471</v>
      </c>
      <c r="AP19" s="51">
        <f t="shared" si="241"/>
        <v>0.41683778234086244</v>
      </c>
      <c r="AQ19" s="51">
        <f t="shared" si="241"/>
        <v>0.48044692737430167</v>
      </c>
      <c r="AR19" s="51">
        <f t="shared" ref="AR19:AW19" si="242">AR18/AR17</f>
        <v>0.41196013289036543</v>
      </c>
      <c r="AS19" s="51">
        <f t="shared" si="242"/>
        <v>0.36165577342047928</v>
      </c>
      <c r="AT19" s="51">
        <f t="shared" si="242"/>
        <v>0.34408602150537637</v>
      </c>
      <c r="AU19" s="51">
        <f t="shared" si="242"/>
        <v>0.35501355013550134</v>
      </c>
      <c r="AV19" s="51">
        <f t="shared" si="242"/>
        <v>0.3888888888888889</v>
      </c>
      <c r="AW19" s="51">
        <f t="shared" si="242"/>
        <v>0.3888888888888889</v>
      </c>
      <c r="AX19" s="51">
        <f t="shared" ref="AX19:AY19" si="243">AX18/AX17</f>
        <v>0.34408602150537637</v>
      </c>
      <c r="AY19" s="51">
        <f t="shared" si="243"/>
        <v>0.32508833922261476</v>
      </c>
      <c r="AZ19" s="51">
        <f t="shared" ref="AZ19:BA19" si="244">AZ18/AZ17</f>
        <v>0.32978723404255317</v>
      </c>
      <c r="BA19" s="51">
        <f t="shared" si="244"/>
        <v>0.32978723404255317</v>
      </c>
      <c r="BB19" s="51">
        <f t="shared" ref="BB19:BC19" si="245">BB18/BB17</f>
        <v>0.38004246284501064</v>
      </c>
      <c r="BC19" s="51">
        <f t="shared" si="245"/>
        <v>0.36842105263157893</v>
      </c>
      <c r="BD19" s="51">
        <f t="shared" ref="BD19:BE19" si="246">BD18/BD17</f>
        <v>0.37203166226912932</v>
      </c>
      <c r="BE19" s="51">
        <f t="shared" si="246"/>
        <v>0.39784946236559138</v>
      </c>
      <c r="BF19" s="51">
        <f t="shared" ref="BF19:BG19" si="247">BF18/BF17</f>
        <v>0.48863636363636365</v>
      </c>
      <c r="BG19" s="51">
        <f t="shared" si="247"/>
        <v>0.53623188405797106</v>
      </c>
      <c r="BH19" s="51">
        <f t="shared" ref="BH19:BI19" si="248">BH18/BH17</f>
        <v>0.55516431924882625</v>
      </c>
      <c r="BI19" s="51">
        <f t="shared" si="248"/>
        <v>0.53614457831325302</v>
      </c>
      <c r="BJ19" s="51">
        <f t="shared" ref="BJ19:BK19" si="249">BJ18/BJ17</f>
        <v>0.48640483383685801</v>
      </c>
      <c r="BK19" s="51">
        <f t="shared" si="249"/>
        <v>0.4642857142857143</v>
      </c>
      <c r="BL19" s="51">
        <f t="shared" ref="BL19:BM19" si="250">BL18/BL17</f>
        <v>0.49544072948328266</v>
      </c>
      <c r="BM19" s="51">
        <f t="shared" si="250"/>
        <v>0.63398692810457513</v>
      </c>
      <c r="BN19" s="51">
        <f t="shared" ref="BN19:BO19" si="251">BN18/BN17</f>
        <v>0.59846547314578002</v>
      </c>
      <c r="BO19" s="51">
        <f t="shared" si="251"/>
        <v>0.54798761609907121</v>
      </c>
      <c r="BP19" s="51">
        <f t="shared" ref="BP19:BQ19" si="252">BP18/BP17</f>
        <v>0.55860349127182041</v>
      </c>
      <c r="BQ19" s="51">
        <f t="shared" si="252"/>
        <v>0.53459119496855345</v>
      </c>
      <c r="BR19" s="51">
        <f t="shared" ref="BR19:BS19" si="253">BR18/BR17</f>
        <v>0.5591054313099042</v>
      </c>
      <c r="BS19" s="51">
        <f t="shared" si="253"/>
        <v>0.56735751295336789</v>
      </c>
      <c r="BT19" s="51">
        <f t="shared" ref="BT19:BU19" si="254">BT18/BT17</f>
        <v>0.55844155844155841</v>
      </c>
      <c r="BU19" s="51">
        <f t="shared" si="254"/>
        <v>0.55339805825242716</v>
      </c>
      <c r="BV19" s="51">
        <f t="shared" ref="BV19:BW19" si="255">BV18/BV17</f>
        <v>0.44099378881987578</v>
      </c>
      <c r="BW19" s="51">
        <f t="shared" si="255"/>
        <v>0.38095238095238093</v>
      </c>
      <c r="BX19" s="51">
        <f t="shared" ref="BX19:BY19" si="256">BX18/BX17</f>
        <v>4.6223224351747465E-2</v>
      </c>
      <c r="BY19" s="51">
        <f t="shared" si="256"/>
        <v>7.2026800670016752E-2</v>
      </c>
      <c r="BZ19" s="51">
        <f t="shared" ref="BZ19:CA19" si="257">BZ18/BZ17</f>
        <v>0.14285714285714285</v>
      </c>
      <c r="CA19" s="51">
        <f t="shared" si="257"/>
        <v>0.22448979591836735</v>
      </c>
      <c r="CB19" s="51">
        <f t="shared" ref="CB19" si="258">CB18/CB17</f>
        <v>0.36410256410256409</v>
      </c>
      <c r="CF19" s="1" t="s">
        <v>81</v>
      </c>
      <c r="DM19" s="108"/>
      <c r="DT19" s="51" t="e">
        <f t="shared" ref="DT19:EL19" si="259">+DT18/DT17</f>
        <v>#REF!</v>
      </c>
      <c r="DU19" s="51" t="e">
        <f t="shared" si="259"/>
        <v>#REF!</v>
      </c>
      <c r="DV19" s="51" t="e">
        <f t="shared" si="259"/>
        <v>#REF!</v>
      </c>
      <c r="DW19" s="51" t="e">
        <f t="shared" si="259"/>
        <v>#REF!</v>
      </c>
      <c r="DX19" s="51">
        <f t="shared" si="259"/>
        <v>0.40703517587939697</v>
      </c>
      <c r="DY19" s="51">
        <f t="shared" si="259"/>
        <v>0.42857142857142855</v>
      </c>
      <c r="DZ19" s="51">
        <f t="shared" si="259"/>
        <v>0.42857142857142855</v>
      </c>
      <c r="EA19" s="51">
        <f t="shared" si="259"/>
        <v>0.42857142857142855</v>
      </c>
      <c r="EB19" s="51">
        <f t="shared" si="259"/>
        <v>0.44329896907216493</v>
      </c>
      <c r="EC19" s="51">
        <f t="shared" si="259"/>
        <v>0.44329896907216493</v>
      </c>
      <c r="ED19" s="51">
        <f t="shared" si="259"/>
        <v>0.44329896907216493</v>
      </c>
      <c r="EE19" s="51">
        <f t="shared" si="259"/>
        <v>0.37755102040816324</v>
      </c>
      <c r="EF19" s="51">
        <f t="shared" si="259"/>
        <v>0.36363636363636365</v>
      </c>
      <c r="EG19" s="51">
        <f>+EG18/EG17</f>
        <v>0.37113402061855671</v>
      </c>
      <c r="EH19" s="51">
        <f t="shared" si="259"/>
        <v>0.35714285714285715</v>
      </c>
      <c r="EI19" s="51">
        <f t="shared" si="259"/>
        <v>0.34343434343434343</v>
      </c>
      <c r="EJ19" s="51">
        <f t="shared" si="259"/>
        <v>0.25471698113207547</v>
      </c>
      <c r="EK19" s="51">
        <f t="shared" si="259"/>
        <v>0.24299065420560748</v>
      </c>
      <c r="EL19" s="51">
        <f t="shared" si="259"/>
        <v>0.24299065420560748</v>
      </c>
      <c r="EM19" s="51">
        <f t="shared" ref="EM19:EW19" si="260">+EM18/EM17</f>
        <v>0.30392156862745096</v>
      </c>
      <c r="EN19" s="51">
        <f t="shared" si="260"/>
        <v>0.30392156862745096</v>
      </c>
      <c r="EO19" s="51">
        <f t="shared" si="260"/>
        <v>0.35294117647058826</v>
      </c>
      <c r="EP19" s="51">
        <f t="shared" si="260"/>
        <v>0.35294117647058826</v>
      </c>
      <c r="EQ19" s="51">
        <f t="shared" si="260"/>
        <v>0.35294117647058826</v>
      </c>
      <c r="ER19" s="51">
        <f t="shared" si="260"/>
        <v>0.35294117647058826</v>
      </c>
      <c r="ES19" s="51">
        <f t="shared" si="260"/>
        <v>0.31428571428571428</v>
      </c>
      <c r="ET19" s="51">
        <f t="shared" si="260"/>
        <v>0.28971962616822428</v>
      </c>
      <c r="EU19" s="51">
        <f t="shared" si="260"/>
        <v>0.31428571428571428</v>
      </c>
      <c r="EV19" s="51">
        <f t="shared" si="260"/>
        <v>0.31428571428571428</v>
      </c>
      <c r="EW19" s="51">
        <f t="shared" si="260"/>
        <v>0.35294117647058826</v>
      </c>
      <c r="EX19" s="51">
        <f t="shared" ref="EX19:FC19" si="261">+EX18/EX17</f>
        <v>0.38</v>
      </c>
      <c r="EY19" s="51">
        <f t="shared" si="261"/>
        <v>0.40816326530612246</v>
      </c>
      <c r="EZ19" s="51">
        <f t="shared" si="261"/>
        <v>0.4375</v>
      </c>
      <c r="FA19" s="51">
        <f t="shared" si="261"/>
        <v>0.51648351648351654</v>
      </c>
      <c r="FB19" s="51">
        <f t="shared" si="261"/>
        <v>0.48351648351648352</v>
      </c>
      <c r="FC19" s="51">
        <f t="shared" si="261"/>
        <v>0.5168539325842697</v>
      </c>
      <c r="FD19" s="51">
        <f t="shared" ref="FD19:FI19" si="262">+FD18/FD17</f>
        <v>0.4606741573033708</v>
      </c>
      <c r="FE19" s="51">
        <f t="shared" si="262"/>
        <v>0.4606741573033708</v>
      </c>
      <c r="FF19" s="51">
        <f t="shared" si="262"/>
        <v>0.4606741573033708</v>
      </c>
      <c r="FG19" s="51">
        <f t="shared" si="262"/>
        <v>0.47392290249433106</v>
      </c>
      <c r="FH19" s="51">
        <f t="shared" si="262"/>
        <v>0.35869565217391303</v>
      </c>
      <c r="FI19" s="51">
        <f t="shared" si="262"/>
        <v>0.35869565217391303</v>
      </c>
      <c r="FJ19" s="51">
        <f>+FJ18/FJ17</f>
        <v>0.32978723404255317</v>
      </c>
      <c r="FK19" s="51">
        <f>+FK18/FK17</f>
        <v>0.35869565217391303</v>
      </c>
      <c r="FL19" s="51">
        <f>+FL18/FL17</f>
        <v>0.37362637362637363</v>
      </c>
      <c r="FM19" s="51">
        <f t="shared" ref="FM19:FR19" si="263">+FM18/FM17</f>
        <v>0.37362637362637363</v>
      </c>
      <c r="FN19" s="51">
        <f t="shared" si="263"/>
        <v>0.37362637362637363</v>
      </c>
      <c r="FO19" s="51">
        <f t="shared" si="263"/>
        <v>0.37362637362637363</v>
      </c>
      <c r="FP19" s="51">
        <f t="shared" si="263"/>
        <v>0.34408602150537637</v>
      </c>
      <c r="FQ19" s="51">
        <f t="shared" si="263"/>
        <v>0.32978723404255317</v>
      </c>
      <c r="FR19" s="51">
        <f t="shared" si="263"/>
        <v>0.32978723404255317</v>
      </c>
      <c r="FS19" s="51">
        <f t="shared" ref="FS19:FX19" si="264">+FS18/FS17</f>
        <v>0.32978723404255317</v>
      </c>
      <c r="FT19" s="51">
        <f t="shared" si="264"/>
        <v>0.34408602150537637</v>
      </c>
      <c r="FU19" s="51">
        <f t="shared" si="264"/>
        <v>0.35869565217391303</v>
      </c>
      <c r="FV19" s="51">
        <f t="shared" si="264"/>
        <v>0.3888888888888889</v>
      </c>
      <c r="FW19" s="51">
        <f t="shared" si="264"/>
        <v>0.3888888888888889</v>
      </c>
      <c r="FX19" s="51">
        <f t="shared" si="264"/>
        <v>0.3888888888888889</v>
      </c>
      <c r="FY19" s="51">
        <f t="shared" ref="FY19:FZ19" si="265">+FY18/FY17</f>
        <v>0.3888888888888889</v>
      </c>
      <c r="FZ19" s="51">
        <f t="shared" si="265"/>
        <v>0.3888888888888889</v>
      </c>
      <c r="GA19" s="51">
        <f t="shared" ref="GA19:GB19" si="266">+GA18/GA17</f>
        <v>0.3888888888888889</v>
      </c>
      <c r="GB19" s="51">
        <f t="shared" si="266"/>
        <v>0.3888888888888889</v>
      </c>
      <c r="GC19" s="51">
        <f t="shared" ref="GC19:GD19" si="267">+GC18/GC17</f>
        <v>0.3888888888888889</v>
      </c>
      <c r="GD19" s="51">
        <f t="shared" si="267"/>
        <v>0.3888888888888889</v>
      </c>
      <c r="GE19" s="51">
        <f t="shared" ref="GE19:GF19" si="268">+GE18/GE17</f>
        <v>0.3888888888888889</v>
      </c>
      <c r="GF19" s="51">
        <f t="shared" si="268"/>
        <v>0.3888888888888889</v>
      </c>
      <c r="GG19" s="51">
        <f t="shared" ref="GG19:GH19" si="269">+GG18/GG17</f>
        <v>0.32978723404255317</v>
      </c>
      <c r="GH19" s="51">
        <f t="shared" si="269"/>
        <v>0.32978723404255317</v>
      </c>
      <c r="GI19" s="51">
        <f t="shared" ref="GI19:GJ19" si="270">+GI18/GI17</f>
        <v>0.32978723404255317</v>
      </c>
      <c r="GJ19" s="51">
        <f t="shared" si="270"/>
        <v>0.31578947368421051</v>
      </c>
      <c r="GK19" s="51">
        <f t="shared" ref="GK19:GM19" si="271">+GK18/GK17</f>
        <v>0.32978723404255317</v>
      </c>
      <c r="GL19" s="51">
        <f t="shared" si="271"/>
        <v>0.32978723404255317</v>
      </c>
      <c r="GM19" s="51">
        <f t="shared" si="271"/>
        <v>0.32978723404255317</v>
      </c>
      <c r="GN19" s="51">
        <f t="shared" ref="GN19:GO19" si="272">+GN18/GN17</f>
        <v>0.32978723404255317</v>
      </c>
      <c r="GO19" s="51">
        <f t="shared" si="272"/>
        <v>0.32978723404255317</v>
      </c>
      <c r="GP19" s="51">
        <f t="shared" ref="GP19:GQ19" si="273">+GP18/GP17</f>
        <v>0.32978723404255317</v>
      </c>
      <c r="GQ19" s="51">
        <f t="shared" si="273"/>
        <v>0.32978723404255317</v>
      </c>
      <c r="GR19" s="51">
        <f t="shared" ref="GR19:GT19" si="274">+GR18/GR17</f>
        <v>0.32978723404255317</v>
      </c>
      <c r="GS19" s="51">
        <f t="shared" si="274"/>
        <v>0.32978723404255317</v>
      </c>
      <c r="GT19" s="51">
        <f t="shared" si="274"/>
        <v>0.32978723404255317</v>
      </c>
      <c r="GU19" s="51">
        <f t="shared" ref="GU19:GV19" si="275">+GU18/GU17</f>
        <v>0.38297872340425532</v>
      </c>
      <c r="GV19" s="51">
        <f t="shared" si="275"/>
        <v>0.38297872340425532</v>
      </c>
      <c r="GW19" s="51">
        <f t="shared" ref="GW19:GX19" si="276">+GW18/GW17</f>
        <v>0.38297872340425532</v>
      </c>
      <c r="GX19" s="51">
        <f t="shared" si="276"/>
        <v>0.38297872340425532</v>
      </c>
      <c r="GY19" s="51">
        <f t="shared" ref="GY19:GZ19" si="277">+GY18/GY17</f>
        <v>0.36842105263157893</v>
      </c>
      <c r="GZ19" s="51">
        <f t="shared" si="277"/>
        <v>0.36842105263157893</v>
      </c>
      <c r="HA19" s="51">
        <f t="shared" ref="HA19:HB19" si="278">+HA18/HA17</f>
        <v>0.36842105263157893</v>
      </c>
      <c r="HB19" s="51">
        <f t="shared" si="278"/>
        <v>0.36842105263157893</v>
      </c>
      <c r="HC19" s="51">
        <f t="shared" ref="HC19:HD19" si="279">+HC18/HC17</f>
        <v>0.36842105263157893</v>
      </c>
      <c r="HD19" s="51">
        <f t="shared" si="279"/>
        <v>0.36842105263157893</v>
      </c>
      <c r="HE19" s="51">
        <f t="shared" ref="HE19:HF19" si="280">+HE18/HE17</f>
        <v>0.36842105263157893</v>
      </c>
      <c r="HF19" s="51">
        <f t="shared" si="280"/>
        <v>0.36842105263157893</v>
      </c>
      <c r="HG19" s="51">
        <f t="shared" ref="HG19:HH19" si="281">+HG18/HG17</f>
        <v>0.38297872340425532</v>
      </c>
      <c r="HH19" s="51">
        <f t="shared" si="281"/>
        <v>0.38297872340425532</v>
      </c>
      <c r="HI19" s="51">
        <f t="shared" ref="HI19:HJ19" si="282">+HI18/HI17</f>
        <v>0.38297872340425532</v>
      </c>
      <c r="HJ19" s="51">
        <f t="shared" si="282"/>
        <v>0.38297872340425532</v>
      </c>
      <c r="HK19" s="51">
        <f t="shared" ref="HK19:HL19" si="283">+HK18/HK17</f>
        <v>0.39784946236559138</v>
      </c>
      <c r="HL19" s="51">
        <f t="shared" si="283"/>
        <v>0.44444444444444442</v>
      </c>
      <c r="HM19" s="51">
        <f t="shared" ref="HM19:HN19" si="284">+HM18/HM17</f>
        <v>0.45555555555555555</v>
      </c>
      <c r="HN19" s="51">
        <f t="shared" si="284"/>
        <v>0.47191011235955055</v>
      </c>
      <c r="HO19" s="51">
        <f t="shared" ref="HO19:HP19" si="285">+HO18/HO17</f>
        <v>0.50574712643678166</v>
      </c>
      <c r="HP19" s="51">
        <f t="shared" si="285"/>
        <v>0.52325581395348841</v>
      </c>
      <c r="HQ19" s="51">
        <f t="shared" ref="HQ19:HR19" si="286">+HQ18/HQ17</f>
        <v>0.54069767441860461</v>
      </c>
      <c r="HR19" s="51">
        <f t="shared" si="286"/>
        <v>0.54069767441860461</v>
      </c>
      <c r="HS19" s="51">
        <f t="shared" ref="HS19:HT19" si="287">+HS18/HS17</f>
        <v>0.52298850574712641</v>
      </c>
      <c r="HT19" s="51">
        <f t="shared" si="287"/>
        <v>0.54069767441860461</v>
      </c>
      <c r="HU19" s="51">
        <f t="shared" ref="HU19:HY19" si="288">+HU18/HU17</f>
        <v>0.54069767441860461</v>
      </c>
      <c r="HV19" s="51">
        <f t="shared" si="288"/>
        <v>0.54069767441860461</v>
      </c>
      <c r="HW19" s="51">
        <f t="shared" si="288"/>
        <v>0.54069767441860461</v>
      </c>
      <c r="HX19" s="51">
        <f t="shared" si="288"/>
        <v>0.57738095238095233</v>
      </c>
      <c r="HY19" s="51">
        <f t="shared" si="288"/>
        <v>0.57738095238095233</v>
      </c>
      <c r="HZ19" s="51">
        <f t="shared" ref="HZ19:IC19" si="289">+HZ18/HZ17</f>
        <v>0.5178571428571429</v>
      </c>
      <c r="IA19" s="51">
        <f t="shared" si="289"/>
        <v>0.53614457831325302</v>
      </c>
      <c r="IB19" s="51">
        <f t="shared" si="289"/>
        <v>0.53614457831325302</v>
      </c>
      <c r="IC19" s="51">
        <f t="shared" si="289"/>
        <v>0.55487804878048785</v>
      </c>
      <c r="ID19" s="51">
        <f t="shared" ref="ID19:IE19" si="290">+ID18/ID17</f>
        <v>0.5</v>
      </c>
      <c r="IE19" s="51">
        <f t="shared" si="290"/>
        <v>0.5</v>
      </c>
      <c r="IF19" s="51">
        <f t="shared" ref="IF19:IG19" si="291">+IF18/IF17</f>
        <v>0.5</v>
      </c>
      <c r="IG19" s="51">
        <f t="shared" si="291"/>
        <v>0.44705882352941179</v>
      </c>
      <c r="IH19" s="51">
        <f t="shared" ref="IH19:IJ19" si="292">+IH18/IH17</f>
        <v>0.4642857142857143</v>
      </c>
      <c r="II19" s="51">
        <f t="shared" si="292"/>
        <v>0.4642857142857143</v>
      </c>
      <c r="IJ19" s="51">
        <f t="shared" si="292"/>
        <v>0.4642857142857143</v>
      </c>
      <c r="IK19" s="51">
        <f t="shared" ref="IK19:IL19" si="293">+IK18/IK17</f>
        <v>0.4642857142857143</v>
      </c>
      <c r="IL19" s="51">
        <f t="shared" si="293"/>
        <v>0.4642857142857143</v>
      </c>
      <c r="IM19" s="51">
        <f t="shared" ref="IM19:IO19" si="294">+IM18/IM17</f>
        <v>0.48192771084337349</v>
      </c>
      <c r="IN19" s="51">
        <f t="shared" si="294"/>
        <v>0.51851851851851849</v>
      </c>
      <c r="IO19" s="51">
        <f t="shared" si="294"/>
        <v>0.51851851851851849</v>
      </c>
      <c r="IP19" s="51">
        <f t="shared" ref="IP19:IS19" si="295">+IP18/IP17</f>
        <v>0.5625</v>
      </c>
      <c r="IQ19" s="51">
        <f t="shared" si="295"/>
        <v>0.66666666666666663</v>
      </c>
      <c r="IR19" s="51">
        <f t="shared" si="295"/>
        <v>0.66666666666666663</v>
      </c>
      <c r="IS19" s="51">
        <f t="shared" si="295"/>
        <v>0.64473684210526316</v>
      </c>
      <c r="IT19" s="51">
        <f t="shared" ref="IT19:IX19" si="296">+IT18/IT17</f>
        <v>0.64473684210526316</v>
      </c>
      <c r="IU19" s="51">
        <f t="shared" si="296"/>
        <v>0.64473684210526316</v>
      </c>
      <c r="IV19" s="51">
        <f t="shared" si="296"/>
        <v>0.5625</v>
      </c>
      <c r="IW19" s="51">
        <f t="shared" si="296"/>
        <v>0.5625</v>
      </c>
      <c r="IX19" s="51">
        <f t="shared" si="296"/>
        <v>0.58227848101265822</v>
      </c>
      <c r="IY19" s="51">
        <f t="shared" ref="IY19:JB19" si="297">+IY18/IY17</f>
        <v>0.528854314779868</v>
      </c>
      <c r="IZ19" s="51">
        <f t="shared" si="297"/>
        <v>0.5509222949550352</v>
      </c>
      <c r="JA19" s="51">
        <f t="shared" si="297"/>
        <v>0.48763349509330756</v>
      </c>
      <c r="JB19" s="51">
        <f t="shared" si="297"/>
        <v>0.48665006497581309</v>
      </c>
      <c r="JC19" s="51">
        <f t="shared" ref="JC19:JG19" si="298">+JC18/JC17</f>
        <v>0.4820596538061625</v>
      </c>
      <c r="JD19" s="51">
        <f t="shared" si="298"/>
        <v>0.49794285074165673</v>
      </c>
      <c r="JE19" s="51">
        <f t="shared" si="298"/>
        <v>0.53935474341936707</v>
      </c>
      <c r="JF19" s="51">
        <f t="shared" si="298"/>
        <v>0.54502299475056781</v>
      </c>
      <c r="JG19" s="51">
        <f t="shared" si="298"/>
        <v>0.54038904405337718</v>
      </c>
      <c r="JH19" s="51">
        <f t="shared" ref="JH19:JK19" si="299">+JH18/JH17</f>
        <v>0.50559176905503767</v>
      </c>
      <c r="JI19" s="51">
        <f t="shared" si="299"/>
        <v>0.50339414840492525</v>
      </c>
      <c r="JJ19" s="51">
        <f t="shared" si="299"/>
        <v>0.54430379746835444</v>
      </c>
      <c r="JK19" s="51">
        <f t="shared" si="299"/>
        <v>0.52500000000000002</v>
      </c>
      <c r="JL19" s="51">
        <f t="shared" ref="JL19:JO19" si="300">+JL18/JL17</f>
        <v>0.54430379746835444</v>
      </c>
      <c r="JM19" s="51">
        <f t="shared" si="300"/>
        <v>0.5641025641025641</v>
      </c>
      <c r="JN19" s="51">
        <f t="shared" si="300"/>
        <v>0.5641025641025641</v>
      </c>
      <c r="JO19" s="51">
        <f t="shared" si="300"/>
        <v>0.5641025641025641</v>
      </c>
      <c r="JP19" s="51">
        <f t="shared" ref="JP19:JT19" si="301">+JP18/JP17</f>
        <v>0.55128205128205132</v>
      </c>
      <c r="JQ19" s="51">
        <f t="shared" si="301"/>
        <v>0.55128205128205132</v>
      </c>
      <c r="JR19" s="51">
        <f t="shared" si="301"/>
        <v>0.5714285714285714</v>
      </c>
      <c r="JS19" s="51">
        <f t="shared" si="301"/>
        <v>0.59210526315789469</v>
      </c>
      <c r="JT19" s="51">
        <f t="shared" si="301"/>
        <v>0.5714285714285714</v>
      </c>
      <c r="JU19" s="51">
        <f t="shared" ref="JU19:JX19" si="302">+JU18/JU17</f>
        <v>0.55844155844155841</v>
      </c>
      <c r="JV19" s="51">
        <f t="shared" si="302"/>
        <v>0.55844155844155841</v>
      </c>
      <c r="JW19" s="51">
        <f t="shared" si="302"/>
        <v>0.55844155844155841</v>
      </c>
      <c r="JX19" s="51">
        <f t="shared" si="302"/>
        <v>0.55844155844155841</v>
      </c>
      <c r="JY19" s="51">
        <f t="shared" ref="JY19:KB19" si="303">+JY18/JY17</f>
        <v>0.55844155844155841</v>
      </c>
      <c r="JZ19" s="51">
        <f t="shared" si="303"/>
        <v>0.55844155844155841</v>
      </c>
      <c r="KA19" s="51">
        <f t="shared" si="303"/>
        <v>0.55844155844155841</v>
      </c>
      <c r="KB19" s="51">
        <f t="shared" si="303"/>
        <v>0.53846153846153844</v>
      </c>
      <c r="KC19" s="51">
        <f t="shared" ref="KC19:KG19" si="304">+KC18/KC17</f>
        <v>0.45911949685534592</v>
      </c>
      <c r="KD19" s="51">
        <f t="shared" si="304"/>
        <v>0.45911949685534592</v>
      </c>
      <c r="KE19" s="51">
        <f t="shared" si="304"/>
        <v>0.45911949685534592</v>
      </c>
      <c r="KF19" s="51">
        <f t="shared" si="304"/>
        <v>0.41463414634146339</v>
      </c>
      <c r="KG19" s="51">
        <f t="shared" si="304"/>
        <v>0.41463414634146339</v>
      </c>
      <c r="KH19" s="51">
        <f t="shared" ref="KH19:KK19" si="305">+KH18/KH17</f>
        <v>0.38095238095238093</v>
      </c>
      <c r="KI19" s="51">
        <f t="shared" si="305"/>
        <v>0.38095238095238093</v>
      </c>
      <c r="KJ19" s="51">
        <f t="shared" si="305"/>
        <v>0.38095238095238093</v>
      </c>
      <c r="KK19" s="51">
        <f t="shared" si="305"/>
        <v>0.38095238095238093</v>
      </c>
      <c r="KL19" s="51">
        <f t="shared" ref="KL19:KO19" si="306">+KL18/KL17</f>
        <v>0.24064171122994651</v>
      </c>
      <c r="KM19" s="51">
        <f t="shared" si="306"/>
        <v>7.407407407407407E-2</v>
      </c>
      <c r="KN19" s="51">
        <f t="shared" si="306"/>
        <v>-5.46875E-2</v>
      </c>
      <c r="KO19" s="51">
        <f t="shared" si="306"/>
        <v>0.12280701754385964</v>
      </c>
      <c r="KP19" s="51">
        <f t="shared" ref="KP19:KT19" si="307">+KP18/KP17</f>
        <v>0.12280701754385964</v>
      </c>
      <c r="KQ19" s="51">
        <f t="shared" si="307"/>
        <v>6.6666666666666666E-2</v>
      </c>
      <c r="KR19" s="51">
        <f t="shared" si="307"/>
        <v>9.166666666666666E-2</v>
      </c>
      <c r="KS19" s="51">
        <f t="shared" si="307"/>
        <v>0.15</v>
      </c>
      <c r="KT19" s="51">
        <f t="shared" si="307"/>
        <v>0.12195121951219512</v>
      </c>
      <c r="KU19" s="51">
        <f t="shared" ref="KU19:KX19" si="308">+KU18/KU17</f>
        <v>0.104</v>
      </c>
      <c r="KV19" s="51">
        <f t="shared" si="308"/>
        <v>0.12195121951219512</v>
      </c>
      <c r="KW19" s="51">
        <f t="shared" si="308"/>
        <v>0.15966386554621848</v>
      </c>
      <c r="KX19" s="51">
        <f t="shared" si="308"/>
        <v>0.18965517241379309</v>
      </c>
      <c r="KY19" s="51">
        <f t="shared" ref="KY19:LB19" si="309">+KY18/KY17</f>
        <v>0.18421052631578946</v>
      </c>
      <c r="KZ19" s="51">
        <f t="shared" si="309"/>
        <v>0.18421052631578946</v>
      </c>
      <c r="LA19" s="51">
        <f t="shared" si="309"/>
        <v>0.23853211009174313</v>
      </c>
      <c r="LB19" s="51">
        <f t="shared" si="309"/>
        <v>0.29807692307692307</v>
      </c>
      <c r="LC19" s="51">
        <f t="shared" ref="LC19:LG19" si="310">+LC18/LC17</f>
        <v>0.34343434343434343</v>
      </c>
      <c r="LD19" s="51">
        <f t="shared" si="310"/>
        <v>0.38541666666666669</v>
      </c>
      <c r="LE19" s="51" t="e">
        <f t="shared" si="310"/>
        <v>#DIV/0!</v>
      </c>
      <c r="LF19" s="51" t="e">
        <f t="shared" si="310"/>
        <v>#DIV/0!</v>
      </c>
      <c r="LG19" s="51" t="e">
        <f t="shared" si="310"/>
        <v>#DIV/0!</v>
      </c>
    </row>
    <row r="20" spans="6:319" ht="15.5">
      <c r="F20" s="63"/>
      <c r="H20" s="1" t="s">
        <v>87</v>
      </c>
      <c r="U20" s="41"/>
      <c r="X20" s="41">
        <v>1225</v>
      </c>
      <c r="Y20" s="41">
        <v>1225</v>
      </c>
      <c r="Z20" s="41">
        <v>1225</v>
      </c>
      <c r="AA20" s="41">
        <v>1225</v>
      </c>
      <c r="AB20" s="41">
        <v>1225</v>
      </c>
      <c r="AC20" s="41">
        <v>1225</v>
      </c>
      <c r="AD20" s="41">
        <v>1225</v>
      </c>
      <c r="AE20" s="41">
        <v>1225</v>
      </c>
      <c r="AF20" s="41">
        <v>1225</v>
      </c>
      <c r="AG20" s="41">
        <v>1225</v>
      </c>
      <c r="AH20" s="41">
        <v>1225</v>
      </c>
      <c r="AI20" s="41">
        <v>1225</v>
      </c>
      <c r="AJ20" s="41">
        <v>1225</v>
      </c>
      <c r="AK20" s="41">
        <v>1225</v>
      </c>
      <c r="AL20" s="41">
        <v>1225</v>
      </c>
      <c r="AM20" s="41">
        <v>1225</v>
      </c>
      <c r="AN20" s="41">
        <v>1225</v>
      </c>
      <c r="AO20" s="41">
        <v>1225</v>
      </c>
      <c r="AP20" s="41">
        <v>1225</v>
      </c>
      <c r="AQ20" s="41">
        <v>1185</v>
      </c>
      <c r="AR20" s="41">
        <v>1133</v>
      </c>
      <c r="AS20" s="41">
        <v>1133</v>
      </c>
      <c r="AT20" s="41">
        <v>1151</v>
      </c>
      <c r="AU20" s="41">
        <v>1175</v>
      </c>
      <c r="AV20" s="41">
        <v>1200</v>
      </c>
      <c r="AW20" s="41">
        <v>1143</v>
      </c>
      <c r="AX20" s="41">
        <v>1162</v>
      </c>
      <c r="AY20" s="41">
        <v>1175</v>
      </c>
      <c r="AZ20" s="41">
        <v>1200</v>
      </c>
      <c r="BA20" s="3">
        <v>1230</v>
      </c>
      <c r="BB20" s="3">
        <v>1260</v>
      </c>
      <c r="BC20" s="3">
        <v>1250</v>
      </c>
      <c r="BD20" s="3">
        <v>1174</v>
      </c>
      <c r="BE20" s="3">
        <v>1131</v>
      </c>
      <c r="BF20" s="3">
        <v>1154.4175324983562</v>
      </c>
      <c r="BG20" s="3">
        <v>1161.0768651093263</v>
      </c>
      <c r="BH20" s="3">
        <v>1179.9225619184629</v>
      </c>
      <c r="BI20" s="3">
        <v>1183.4455288794234</v>
      </c>
      <c r="BJ20" s="3">
        <v>1181</v>
      </c>
      <c r="BK20" s="3">
        <v>1185.2425317608468</v>
      </c>
      <c r="BL20" s="3">
        <v>1190.7839269244525</v>
      </c>
      <c r="BM20" s="3">
        <v>1188.8989547033088</v>
      </c>
      <c r="BN20" s="3">
        <v>1208.4563999076058</v>
      </c>
      <c r="BO20" s="3">
        <v>1167.8121893749728</v>
      </c>
      <c r="BP20" s="3">
        <v>1185.3194123375963</v>
      </c>
      <c r="BQ20" s="3">
        <v>1163.1486661843744</v>
      </c>
      <c r="BR20" s="3">
        <v>1186.2627781335511</v>
      </c>
      <c r="BS20" s="3">
        <v>1128</v>
      </c>
      <c r="BT20" s="3">
        <v>1070.511623054196</v>
      </c>
      <c r="BU20" s="3">
        <v>1092.8990526695691</v>
      </c>
      <c r="BV20" s="3">
        <v>1096.8836793746136</v>
      </c>
      <c r="BW20" s="3">
        <v>1056.1519929547876</v>
      </c>
      <c r="BX20" s="3">
        <v>1057.7957262938128</v>
      </c>
      <c r="BY20" s="3">
        <v>1077.9158612626186</v>
      </c>
      <c r="BZ20" s="3">
        <v>1157.3856098126769</v>
      </c>
      <c r="CA20" s="3">
        <v>1148.232441827543</v>
      </c>
      <c r="CB20" s="3">
        <v>1150.4249366139495</v>
      </c>
      <c r="CC20" s="177"/>
      <c r="CF20" s="1" t="s">
        <v>84</v>
      </c>
      <c r="DT20" s="41">
        <f>DT14</f>
        <v>1100</v>
      </c>
      <c r="DU20" s="41">
        <f t="shared" ref="DU20:EL20" si="311">DU14</f>
        <v>1100</v>
      </c>
      <c r="DV20" s="41">
        <f t="shared" si="311"/>
        <v>1070</v>
      </c>
      <c r="DW20" s="41">
        <f t="shared" si="311"/>
        <v>1040</v>
      </c>
      <c r="DX20" s="41">
        <f t="shared" si="311"/>
        <v>995</v>
      </c>
      <c r="DY20" s="41">
        <f t="shared" si="311"/>
        <v>980</v>
      </c>
      <c r="DZ20" s="41">
        <f t="shared" si="311"/>
        <v>980</v>
      </c>
      <c r="EA20" s="41">
        <f t="shared" si="311"/>
        <v>980</v>
      </c>
      <c r="EB20" s="41">
        <f t="shared" si="311"/>
        <v>970</v>
      </c>
      <c r="EC20" s="41">
        <f t="shared" si="311"/>
        <v>970</v>
      </c>
      <c r="ED20" s="41">
        <f t="shared" si="311"/>
        <v>970</v>
      </c>
      <c r="EE20" s="41">
        <f t="shared" si="311"/>
        <v>980</v>
      </c>
      <c r="EF20" s="41">
        <f t="shared" si="311"/>
        <v>990</v>
      </c>
      <c r="EG20" s="41">
        <f t="shared" si="311"/>
        <v>970</v>
      </c>
      <c r="EH20" s="41">
        <f t="shared" si="311"/>
        <v>980</v>
      </c>
      <c r="EI20" s="41">
        <f t="shared" si="311"/>
        <v>990</v>
      </c>
      <c r="EJ20" s="41">
        <f t="shared" si="311"/>
        <v>1060</v>
      </c>
      <c r="EK20" s="41">
        <f t="shared" si="311"/>
        <v>1070</v>
      </c>
      <c r="EL20" s="41">
        <f t="shared" si="311"/>
        <v>1070</v>
      </c>
      <c r="EM20" s="41">
        <f>EM14</f>
        <v>1020</v>
      </c>
      <c r="EN20" s="41">
        <f>EN14</f>
        <v>1020</v>
      </c>
      <c r="EO20" s="41">
        <f>EO14</f>
        <v>1020</v>
      </c>
      <c r="EP20" s="41">
        <f>EP14</f>
        <v>1020</v>
      </c>
      <c r="EQ20" s="3">
        <f t="shared" ref="EQ20:EZ20" si="312">EQ14</f>
        <v>1020</v>
      </c>
      <c r="ER20" s="3">
        <f t="shared" si="312"/>
        <v>1020</v>
      </c>
      <c r="ES20" s="3">
        <f t="shared" si="312"/>
        <v>1050</v>
      </c>
      <c r="ET20" s="3">
        <f t="shared" si="312"/>
        <v>1070</v>
      </c>
      <c r="EU20" s="3">
        <f t="shared" si="312"/>
        <v>1050</v>
      </c>
      <c r="EV20" s="3">
        <f t="shared" si="312"/>
        <v>1050</v>
      </c>
      <c r="EW20" s="3">
        <f t="shared" si="312"/>
        <v>1020</v>
      </c>
      <c r="EX20" s="3">
        <f t="shared" si="312"/>
        <v>1000</v>
      </c>
      <c r="EY20" s="3">
        <f t="shared" si="312"/>
        <v>980</v>
      </c>
      <c r="EZ20" s="3">
        <f t="shared" si="312"/>
        <v>960</v>
      </c>
      <c r="FA20" s="3">
        <f t="shared" ref="FA20:FH20" si="313">FA14</f>
        <v>910</v>
      </c>
      <c r="FB20" s="3">
        <f t="shared" si="313"/>
        <v>910</v>
      </c>
      <c r="FC20" s="3">
        <f t="shared" si="313"/>
        <v>890</v>
      </c>
      <c r="FD20" s="3">
        <f t="shared" si="313"/>
        <v>890</v>
      </c>
      <c r="FE20" s="3">
        <f t="shared" si="313"/>
        <v>890</v>
      </c>
      <c r="FF20" s="3">
        <f t="shared" si="313"/>
        <v>890</v>
      </c>
      <c r="FG20" s="3">
        <f t="shared" si="313"/>
        <v>882</v>
      </c>
      <c r="FH20" s="3">
        <f t="shared" si="313"/>
        <v>920</v>
      </c>
      <c r="FI20" s="3">
        <f>FI14</f>
        <v>920</v>
      </c>
      <c r="FJ20" s="3">
        <f>FJ14</f>
        <v>940</v>
      </c>
      <c r="FK20" s="3">
        <f>FK14</f>
        <v>920</v>
      </c>
      <c r="FL20" s="3">
        <f>FL14</f>
        <v>910</v>
      </c>
      <c r="FM20" s="3">
        <f t="shared" ref="FM20:FR20" si="314">FM14</f>
        <v>910</v>
      </c>
      <c r="FN20" s="3">
        <f t="shared" si="314"/>
        <v>910</v>
      </c>
      <c r="FO20" s="3">
        <f t="shared" si="314"/>
        <v>910</v>
      </c>
      <c r="FP20" s="3">
        <f t="shared" si="314"/>
        <v>930</v>
      </c>
      <c r="FQ20" s="3">
        <f t="shared" si="314"/>
        <v>940</v>
      </c>
      <c r="FR20" s="3">
        <f t="shared" si="314"/>
        <v>940</v>
      </c>
      <c r="FS20" s="3">
        <f t="shared" ref="FS20:FX20" si="315">FS14</f>
        <v>940</v>
      </c>
      <c r="FT20" s="3">
        <f t="shared" si="315"/>
        <v>930</v>
      </c>
      <c r="FU20" s="3">
        <f t="shared" si="315"/>
        <v>920</v>
      </c>
      <c r="FV20" s="3">
        <f t="shared" si="315"/>
        <v>900</v>
      </c>
      <c r="FW20" s="3">
        <f t="shared" si="315"/>
        <v>900</v>
      </c>
      <c r="FX20" s="3">
        <f t="shared" si="315"/>
        <v>900</v>
      </c>
      <c r="FY20" s="3">
        <f t="shared" ref="FY20:FZ20" si="316">FY14</f>
        <v>900</v>
      </c>
      <c r="FZ20" s="3">
        <f t="shared" si="316"/>
        <v>900</v>
      </c>
      <c r="GA20" s="3">
        <f t="shared" ref="GA20:GB20" si="317">GA14</f>
        <v>900</v>
      </c>
      <c r="GB20" s="3">
        <f t="shared" si="317"/>
        <v>900</v>
      </c>
      <c r="GC20" s="3">
        <f t="shared" ref="GC20:GD20" si="318">GC14</f>
        <v>900</v>
      </c>
      <c r="GD20" s="3">
        <f t="shared" si="318"/>
        <v>900</v>
      </c>
      <c r="GE20" s="3">
        <f t="shared" ref="GE20:GF20" si="319">GE14</f>
        <v>900</v>
      </c>
      <c r="GF20" s="3">
        <f t="shared" si="319"/>
        <v>900</v>
      </c>
      <c r="GG20" s="3">
        <f t="shared" ref="GG20:GH20" si="320">GG14</f>
        <v>940</v>
      </c>
      <c r="GH20" s="3">
        <f t="shared" si="320"/>
        <v>940</v>
      </c>
      <c r="GI20" s="3">
        <f t="shared" ref="GI20:GJ20" si="321">GI14</f>
        <v>940</v>
      </c>
      <c r="GJ20" s="3">
        <f t="shared" si="321"/>
        <v>950</v>
      </c>
      <c r="GK20" s="3">
        <f t="shared" ref="GK20:GM20" si="322">GK14</f>
        <v>940</v>
      </c>
      <c r="GL20" s="3">
        <f t="shared" si="322"/>
        <v>940</v>
      </c>
      <c r="GM20" s="3">
        <f t="shared" si="322"/>
        <v>940</v>
      </c>
      <c r="GN20" s="3">
        <f t="shared" ref="GN20:GO20" si="323">GN14</f>
        <v>940</v>
      </c>
      <c r="GO20" s="3">
        <f t="shared" si="323"/>
        <v>940</v>
      </c>
      <c r="GP20" s="3">
        <f t="shared" ref="GP20:GQ20" si="324">GP14</f>
        <v>940</v>
      </c>
      <c r="GQ20" s="3">
        <f t="shared" si="324"/>
        <v>940</v>
      </c>
      <c r="GR20" s="3">
        <f t="shared" ref="GR20:GT20" si="325">GR14</f>
        <v>940</v>
      </c>
      <c r="GS20" s="3">
        <f t="shared" si="325"/>
        <v>940</v>
      </c>
      <c r="GT20" s="3">
        <f t="shared" si="325"/>
        <v>940</v>
      </c>
      <c r="GU20" s="3">
        <f t="shared" ref="GU20:GV20" si="326">GU14</f>
        <v>940</v>
      </c>
      <c r="GV20" s="3">
        <f t="shared" si="326"/>
        <v>940</v>
      </c>
      <c r="GW20" s="3">
        <f t="shared" ref="GW20:GX20" si="327">GW14</f>
        <v>940</v>
      </c>
      <c r="GX20" s="3">
        <f t="shared" si="327"/>
        <v>940</v>
      </c>
      <c r="GY20" s="3">
        <f t="shared" ref="GY20:GZ20" si="328">GY14</f>
        <v>950</v>
      </c>
      <c r="GZ20" s="3">
        <f t="shared" si="328"/>
        <v>950</v>
      </c>
      <c r="HA20" s="3">
        <f t="shared" ref="HA20:HB20" si="329">HA14</f>
        <v>950</v>
      </c>
      <c r="HB20" s="3">
        <f t="shared" si="329"/>
        <v>950</v>
      </c>
      <c r="HC20" s="3">
        <f t="shared" ref="HC20:HD20" si="330">HC14</f>
        <v>950</v>
      </c>
      <c r="HD20" s="3">
        <f t="shared" si="330"/>
        <v>950</v>
      </c>
      <c r="HE20" s="3">
        <f t="shared" ref="HE20:HF20" si="331">HE14</f>
        <v>950</v>
      </c>
      <c r="HF20" s="3">
        <f t="shared" si="331"/>
        <v>950</v>
      </c>
      <c r="HG20" s="3">
        <f t="shared" ref="HG20:HH20" si="332">HG14</f>
        <v>940</v>
      </c>
      <c r="HH20" s="3">
        <f t="shared" si="332"/>
        <v>940</v>
      </c>
      <c r="HI20" s="3">
        <f t="shared" ref="HI20:HJ20" si="333">HI14</f>
        <v>940</v>
      </c>
      <c r="HJ20" s="3">
        <f t="shared" si="333"/>
        <v>940</v>
      </c>
      <c r="HK20" s="3">
        <f t="shared" ref="HK20:HL20" si="334">HK14</f>
        <v>930</v>
      </c>
      <c r="HL20" s="3">
        <f t="shared" si="334"/>
        <v>900</v>
      </c>
      <c r="HM20" s="3">
        <f t="shared" ref="HM20:HN20" si="335">HM14</f>
        <v>900</v>
      </c>
      <c r="HN20" s="3">
        <f t="shared" si="335"/>
        <v>890</v>
      </c>
      <c r="HO20" s="3">
        <f t="shared" ref="HO20:HP20" si="336">HO14</f>
        <v>870</v>
      </c>
      <c r="HP20" s="3">
        <f t="shared" si="336"/>
        <v>860</v>
      </c>
      <c r="HQ20" s="3">
        <f t="shared" ref="HQ20:HR20" si="337">HQ14</f>
        <v>860</v>
      </c>
      <c r="HR20" s="3">
        <f t="shared" si="337"/>
        <v>860</v>
      </c>
      <c r="HS20" s="3">
        <f t="shared" ref="HS20:HT20" si="338">HS14</f>
        <v>870</v>
      </c>
      <c r="HT20" s="3">
        <f t="shared" si="338"/>
        <v>860</v>
      </c>
      <c r="HU20" s="3">
        <f t="shared" ref="HU20:HY20" si="339">HU14</f>
        <v>860</v>
      </c>
      <c r="HV20" s="3">
        <f t="shared" si="339"/>
        <v>860</v>
      </c>
      <c r="HW20" s="3">
        <f t="shared" si="339"/>
        <v>860</v>
      </c>
      <c r="HX20" s="3">
        <f t="shared" si="339"/>
        <v>840</v>
      </c>
      <c r="HY20" s="3">
        <f t="shared" si="339"/>
        <v>840</v>
      </c>
      <c r="HZ20" s="3">
        <f t="shared" ref="HZ20:IC20" si="340">HZ14</f>
        <v>840</v>
      </c>
      <c r="IA20" s="3">
        <f t="shared" si="340"/>
        <v>830</v>
      </c>
      <c r="IB20" s="3">
        <f t="shared" si="340"/>
        <v>830</v>
      </c>
      <c r="IC20" s="3">
        <f t="shared" si="340"/>
        <v>820</v>
      </c>
      <c r="ID20" s="3">
        <f t="shared" ref="ID20:IE20" si="341">ID14</f>
        <v>820</v>
      </c>
      <c r="IE20" s="3">
        <f t="shared" si="341"/>
        <v>820</v>
      </c>
      <c r="IF20" s="3">
        <f t="shared" ref="IF20:IG20" si="342">IF14</f>
        <v>820</v>
      </c>
      <c r="IG20" s="3">
        <f t="shared" si="342"/>
        <v>850</v>
      </c>
      <c r="IH20" s="3">
        <f t="shared" ref="IH20:IJ20" si="343">IH14</f>
        <v>840</v>
      </c>
      <c r="II20" s="3">
        <f t="shared" si="343"/>
        <v>840</v>
      </c>
      <c r="IJ20" s="3">
        <f t="shared" si="343"/>
        <v>840</v>
      </c>
      <c r="IK20" s="3">
        <f t="shared" ref="IK20:IL20" si="344">IK14</f>
        <v>840</v>
      </c>
      <c r="IL20" s="3">
        <f t="shared" si="344"/>
        <v>840</v>
      </c>
      <c r="IM20" s="3">
        <f t="shared" ref="IM20:IO20" si="345">IM14</f>
        <v>830</v>
      </c>
      <c r="IN20" s="3">
        <f t="shared" si="345"/>
        <v>810</v>
      </c>
      <c r="IO20" s="3">
        <f t="shared" si="345"/>
        <v>810</v>
      </c>
      <c r="IP20" s="3">
        <f t="shared" ref="IP20:IS20" si="346">IP14</f>
        <v>800</v>
      </c>
      <c r="IQ20" s="3">
        <f t="shared" si="346"/>
        <v>750</v>
      </c>
      <c r="IR20" s="3">
        <f t="shared" si="346"/>
        <v>750</v>
      </c>
      <c r="IS20" s="3">
        <f t="shared" si="346"/>
        <v>760</v>
      </c>
      <c r="IT20" s="3">
        <f t="shared" ref="IT20:IX20" si="347">IT14</f>
        <v>760</v>
      </c>
      <c r="IU20" s="3">
        <f t="shared" si="347"/>
        <v>760</v>
      </c>
      <c r="IV20" s="3">
        <f t="shared" si="347"/>
        <v>800</v>
      </c>
      <c r="IW20" s="3">
        <f t="shared" si="347"/>
        <v>800</v>
      </c>
      <c r="IX20" s="3">
        <f t="shared" si="347"/>
        <v>790</v>
      </c>
      <c r="IY20" s="3">
        <f t="shared" ref="IY20:JB20" si="348">IY14</f>
        <v>800</v>
      </c>
      <c r="IZ20" s="3">
        <f t="shared" si="348"/>
        <v>790</v>
      </c>
      <c r="JA20" s="3">
        <f t="shared" si="348"/>
        <v>820</v>
      </c>
      <c r="JB20" s="3">
        <f t="shared" si="348"/>
        <v>820</v>
      </c>
      <c r="JC20" s="3">
        <f t="shared" ref="JC20:JG20" si="349">JC14</f>
        <v>820</v>
      </c>
      <c r="JD20" s="3">
        <f t="shared" si="349"/>
        <v>820</v>
      </c>
      <c r="JE20" s="3">
        <f t="shared" si="349"/>
        <v>790</v>
      </c>
      <c r="JF20" s="3">
        <f t="shared" si="349"/>
        <v>790</v>
      </c>
      <c r="JG20" s="3">
        <f t="shared" si="349"/>
        <v>790</v>
      </c>
      <c r="JH20" s="3">
        <f t="shared" ref="JH20:JK20" si="350">JH14</f>
        <v>800</v>
      </c>
      <c r="JI20" s="3">
        <f t="shared" si="350"/>
        <v>790</v>
      </c>
      <c r="JJ20" s="3">
        <f t="shared" si="350"/>
        <v>790</v>
      </c>
      <c r="JK20" s="3">
        <f t="shared" si="350"/>
        <v>800</v>
      </c>
      <c r="JL20" s="3">
        <f t="shared" ref="JL20:JO20" si="351">JL14</f>
        <v>790</v>
      </c>
      <c r="JM20" s="3">
        <f t="shared" si="351"/>
        <v>780</v>
      </c>
      <c r="JN20" s="3">
        <f t="shared" si="351"/>
        <v>780</v>
      </c>
      <c r="JO20" s="3">
        <f t="shared" si="351"/>
        <v>780</v>
      </c>
      <c r="JP20" s="3">
        <f t="shared" ref="JP20:JT20" si="352">JP14</f>
        <v>780</v>
      </c>
      <c r="JQ20" s="3">
        <f t="shared" si="352"/>
        <v>780</v>
      </c>
      <c r="JR20" s="3">
        <f t="shared" si="352"/>
        <v>770</v>
      </c>
      <c r="JS20" s="3">
        <f t="shared" si="352"/>
        <v>760</v>
      </c>
      <c r="JT20" s="3">
        <f t="shared" si="352"/>
        <v>770</v>
      </c>
      <c r="JU20" s="3">
        <f t="shared" ref="JU20:JX20" si="353">JU14</f>
        <v>770</v>
      </c>
      <c r="JV20" s="3">
        <f t="shared" si="353"/>
        <v>770</v>
      </c>
      <c r="JW20" s="3">
        <f t="shared" si="353"/>
        <v>770</v>
      </c>
      <c r="JX20" s="3">
        <f t="shared" si="353"/>
        <v>770</v>
      </c>
      <c r="JY20" s="3">
        <f t="shared" ref="JY20:KB20" si="354">JY14</f>
        <v>770</v>
      </c>
      <c r="JZ20" s="3">
        <f t="shared" si="354"/>
        <v>770</v>
      </c>
      <c r="KA20" s="3">
        <f t="shared" si="354"/>
        <v>770</v>
      </c>
      <c r="KB20" s="3">
        <f t="shared" si="354"/>
        <v>780</v>
      </c>
      <c r="KC20" s="3">
        <f t="shared" ref="KC20:KG20" si="355">KC14</f>
        <v>795</v>
      </c>
      <c r="KD20" s="3">
        <f t="shared" si="355"/>
        <v>795</v>
      </c>
      <c r="KE20" s="3">
        <f t="shared" si="355"/>
        <v>795</v>
      </c>
      <c r="KF20" s="3">
        <f t="shared" si="355"/>
        <v>820</v>
      </c>
      <c r="KG20" s="3">
        <f t="shared" si="355"/>
        <v>820</v>
      </c>
      <c r="KH20" s="3">
        <f t="shared" ref="KH20:KK20" si="356">KH14</f>
        <v>840</v>
      </c>
      <c r="KI20" s="3">
        <f t="shared" si="356"/>
        <v>840</v>
      </c>
      <c r="KJ20" s="3">
        <f t="shared" si="356"/>
        <v>840</v>
      </c>
      <c r="KK20" s="3">
        <f t="shared" si="356"/>
        <v>840</v>
      </c>
      <c r="KL20" s="3">
        <f t="shared" ref="KL20:KO20" si="357">KL14</f>
        <v>935</v>
      </c>
      <c r="KM20" s="3">
        <f t="shared" si="357"/>
        <v>1080</v>
      </c>
      <c r="KN20" s="3">
        <f t="shared" si="357"/>
        <v>1280</v>
      </c>
      <c r="KO20" s="3">
        <f t="shared" si="357"/>
        <v>1140</v>
      </c>
      <c r="KP20" s="3">
        <f t="shared" ref="KP20:KT20" si="358">KP14</f>
        <v>1140</v>
      </c>
      <c r="KQ20" s="3">
        <f t="shared" si="358"/>
        <v>1200</v>
      </c>
      <c r="KR20" s="3">
        <f t="shared" si="358"/>
        <v>1200</v>
      </c>
      <c r="KS20" s="3">
        <f t="shared" si="358"/>
        <v>1200</v>
      </c>
      <c r="KT20" s="3">
        <f t="shared" si="358"/>
        <v>1230</v>
      </c>
      <c r="KU20" s="3">
        <f t="shared" ref="KU20:KX20" si="359">KU14</f>
        <v>1250</v>
      </c>
      <c r="KV20" s="3">
        <f t="shared" si="359"/>
        <v>1230</v>
      </c>
      <c r="KW20" s="3">
        <f t="shared" si="359"/>
        <v>1190</v>
      </c>
      <c r="KX20" s="3">
        <f t="shared" si="359"/>
        <v>1160</v>
      </c>
      <c r="KY20" s="3">
        <f t="shared" ref="KY20:LB20" si="360">KY14</f>
        <v>1140</v>
      </c>
      <c r="KZ20" s="3">
        <f t="shared" si="360"/>
        <v>1140</v>
      </c>
      <c r="LA20" s="3">
        <f t="shared" si="360"/>
        <v>1090</v>
      </c>
      <c r="LB20" s="3">
        <f t="shared" si="360"/>
        <v>1040</v>
      </c>
      <c r="LC20" s="3">
        <f t="shared" ref="LC20:LG20" si="361">LC14</f>
        <v>990</v>
      </c>
      <c r="LD20" s="3">
        <f t="shared" si="361"/>
        <v>960</v>
      </c>
      <c r="LE20" s="3">
        <f t="shared" si="361"/>
        <v>0</v>
      </c>
      <c r="LF20" s="3">
        <f t="shared" si="361"/>
        <v>0</v>
      </c>
      <c r="LG20" s="3">
        <f t="shared" si="361"/>
        <v>0</v>
      </c>
    </row>
    <row r="21" spans="6:319" ht="15.5">
      <c r="F21" s="64"/>
      <c r="H21" s="1" t="s">
        <v>107</v>
      </c>
      <c r="BW21" s="177"/>
      <c r="BX21" s="177"/>
      <c r="BY21" s="177"/>
      <c r="BZ21" s="177"/>
      <c r="CA21" s="177"/>
      <c r="CB21" s="177"/>
      <c r="CF21" s="1" t="s">
        <v>87</v>
      </c>
      <c r="DV21" s="41">
        <v>1303</v>
      </c>
      <c r="DW21" s="41">
        <v>1303</v>
      </c>
      <c r="DX21" s="41">
        <v>1225</v>
      </c>
      <c r="DY21" s="41">
        <v>1225</v>
      </c>
      <c r="DZ21" s="41">
        <v>1225</v>
      </c>
      <c r="EA21" s="41">
        <v>1225</v>
      </c>
      <c r="EB21" s="41">
        <v>1225</v>
      </c>
      <c r="EC21" s="41">
        <v>1225</v>
      </c>
      <c r="ED21" s="41">
        <v>1225</v>
      </c>
      <c r="EE21" s="41">
        <v>1225</v>
      </c>
      <c r="EF21" s="41">
        <v>1225</v>
      </c>
      <c r="EG21" s="41">
        <v>1225</v>
      </c>
      <c r="EH21" s="41">
        <v>1225</v>
      </c>
      <c r="EI21" s="41">
        <v>1225</v>
      </c>
      <c r="EJ21" s="41">
        <v>1225</v>
      </c>
      <c r="EK21" s="41">
        <v>1225</v>
      </c>
      <c r="EL21" s="41">
        <v>1225</v>
      </c>
      <c r="EM21" s="41">
        <v>1225</v>
      </c>
      <c r="EN21" s="41">
        <v>1225</v>
      </c>
      <c r="EO21" s="41">
        <v>1225</v>
      </c>
      <c r="EP21" s="41">
        <v>1225</v>
      </c>
      <c r="EQ21" s="41">
        <v>1225</v>
      </c>
      <c r="ER21" s="41">
        <v>1225</v>
      </c>
      <c r="ES21" s="41">
        <v>1225</v>
      </c>
      <c r="ET21" s="41">
        <v>1225</v>
      </c>
      <c r="EU21" s="41">
        <v>1225</v>
      </c>
      <c r="EV21" s="41">
        <v>1225</v>
      </c>
      <c r="EW21" s="41">
        <v>1225</v>
      </c>
      <c r="EX21" s="41">
        <v>1225</v>
      </c>
      <c r="EY21" s="41">
        <v>1225</v>
      </c>
      <c r="EZ21" s="41">
        <v>1225</v>
      </c>
      <c r="FA21" s="41">
        <v>1225</v>
      </c>
      <c r="FB21" s="41">
        <v>1225</v>
      </c>
      <c r="FC21" s="41">
        <v>1185</v>
      </c>
      <c r="FD21" s="41">
        <v>1185</v>
      </c>
      <c r="FE21" s="41">
        <v>1185</v>
      </c>
      <c r="FF21" s="41">
        <v>1185</v>
      </c>
      <c r="FG21" s="41">
        <v>1133</v>
      </c>
      <c r="FH21" s="41">
        <v>1133</v>
      </c>
      <c r="FI21" s="41">
        <v>1133</v>
      </c>
      <c r="FJ21" s="41">
        <v>1133</v>
      </c>
      <c r="FK21" s="41">
        <v>1133</v>
      </c>
      <c r="FL21" s="41">
        <v>1133</v>
      </c>
      <c r="FM21" s="41">
        <v>1133</v>
      </c>
      <c r="FN21" s="41">
        <v>1151</v>
      </c>
      <c r="FO21" s="41">
        <v>1151</v>
      </c>
      <c r="FP21" s="41">
        <v>1151</v>
      </c>
      <c r="FQ21" s="41">
        <v>1175</v>
      </c>
      <c r="FR21" s="41">
        <v>1175</v>
      </c>
      <c r="FS21" s="41">
        <v>1175</v>
      </c>
      <c r="FT21" s="41">
        <v>1175</v>
      </c>
      <c r="FU21" s="41">
        <v>1175</v>
      </c>
      <c r="FV21" s="41">
        <v>1175</v>
      </c>
      <c r="FW21" s="41">
        <v>1200</v>
      </c>
      <c r="FX21" s="41">
        <v>1200</v>
      </c>
      <c r="FY21" s="41">
        <v>1200</v>
      </c>
      <c r="FZ21" s="41">
        <v>1200</v>
      </c>
      <c r="GA21" s="41">
        <v>1143</v>
      </c>
      <c r="GB21" s="41">
        <v>1143</v>
      </c>
      <c r="GC21" s="41">
        <v>1143</v>
      </c>
      <c r="GD21" s="41">
        <v>1143</v>
      </c>
      <c r="GE21" s="41">
        <v>1143</v>
      </c>
      <c r="GF21" s="41">
        <v>1162</v>
      </c>
      <c r="GG21" s="41">
        <v>1162</v>
      </c>
      <c r="GH21" s="41">
        <v>1162</v>
      </c>
      <c r="GI21" s="41">
        <v>1162</v>
      </c>
      <c r="GJ21" s="41">
        <v>1175</v>
      </c>
      <c r="GK21" s="41">
        <v>1175</v>
      </c>
      <c r="GL21" s="41">
        <v>1175</v>
      </c>
      <c r="GM21" s="41">
        <v>1200</v>
      </c>
      <c r="GN21" s="41">
        <v>1200</v>
      </c>
      <c r="GO21" s="41">
        <v>1200</v>
      </c>
      <c r="GP21" s="41">
        <v>1200</v>
      </c>
      <c r="GQ21" s="41">
        <v>1230</v>
      </c>
      <c r="GR21" s="41">
        <v>1230</v>
      </c>
      <c r="GS21" s="41">
        <v>1230</v>
      </c>
      <c r="GT21" s="41">
        <v>1230</v>
      </c>
      <c r="GU21" s="41">
        <v>1260</v>
      </c>
      <c r="GV21" s="41">
        <v>1260</v>
      </c>
      <c r="GW21" s="41">
        <v>1260</v>
      </c>
      <c r="GX21" s="41">
        <v>1260</v>
      </c>
      <c r="GY21" s="41">
        <v>1260</v>
      </c>
      <c r="GZ21" s="41">
        <v>1250</v>
      </c>
      <c r="HA21" s="41">
        <v>1250</v>
      </c>
      <c r="HB21" s="41">
        <v>1250</v>
      </c>
      <c r="HC21" s="41">
        <v>1250</v>
      </c>
      <c r="HD21" s="41">
        <v>1174</v>
      </c>
      <c r="HE21" s="41">
        <v>1174</v>
      </c>
      <c r="HF21" s="41">
        <v>1174</v>
      </c>
      <c r="HG21" s="41">
        <v>1174</v>
      </c>
      <c r="HH21" s="41">
        <v>1131</v>
      </c>
      <c r="HI21" s="41">
        <v>1131</v>
      </c>
      <c r="HJ21" s="41">
        <v>1131</v>
      </c>
      <c r="HK21" s="41">
        <v>1131</v>
      </c>
      <c r="HL21" s="41">
        <v>1131</v>
      </c>
      <c r="HM21" s="41">
        <v>1154.4175324983562</v>
      </c>
      <c r="HN21" s="41">
        <v>1154.4175324983562</v>
      </c>
      <c r="HO21" s="41">
        <v>1154.4175324983562</v>
      </c>
      <c r="HP21" s="41">
        <v>1154.4175324983562</v>
      </c>
      <c r="HQ21" s="41">
        <v>1161.0768651093263</v>
      </c>
      <c r="HR21" s="41">
        <v>1161.0768651093263</v>
      </c>
      <c r="HS21" s="41">
        <v>1161.0768651093263</v>
      </c>
      <c r="HT21" s="41">
        <v>1161.0768651093263</v>
      </c>
      <c r="HU21" s="41">
        <v>1179.9225619184629</v>
      </c>
      <c r="HV21" s="41">
        <v>1179.9225619184629</v>
      </c>
      <c r="HW21" s="41">
        <v>1179.9225619184629</v>
      </c>
      <c r="HX21" s="41">
        <v>1179.9225619184629</v>
      </c>
      <c r="HY21" s="41">
        <v>1179.9225619184629</v>
      </c>
      <c r="HZ21" s="41">
        <v>1183.4455288794234</v>
      </c>
      <c r="IA21" s="41">
        <v>1183.4455288794234</v>
      </c>
      <c r="IB21" s="41">
        <v>1183.4455288794234</v>
      </c>
      <c r="IC21" s="41">
        <v>1183.4455288794234</v>
      </c>
      <c r="ID21" s="41">
        <v>1181</v>
      </c>
      <c r="IE21" s="41">
        <v>1181</v>
      </c>
      <c r="IF21" s="41">
        <v>1181</v>
      </c>
      <c r="IG21" s="41">
        <v>1181</v>
      </c>
      <c r="IH21" s="41">
        <v>1185.2425317608468</v>
      </c>
      <c r="II21" s="41">
        <v>1185.2425317608468</v>
      </c>
      <c r="IJ21" s="41">
        <v>1185.2425317608468</v>
      </c>
      <c r="IK21" s="41">
        <v>1185.2425317608468</v>
      </c>
      <c r="IL21" s="41">
        <v>1190.7839269244525</v>
      </c>
      <c r="IM21" s="41">
        <v>1190.7839269244525</v>
      </c>
      <c r="IN21" s="41">
        <v>1190.7839269244525</v>
      </c>
      <c r="IO21" s="41">
        <v>1190.7839269244525</v>
      </c>
      <c r="IP21" s="41">
        <v>1188.8989547033088</v>
      </c>
      <c r="IQ21" s="41">
        <v>1188.8989547033088</v>
      </c>
      <c r="IR21" s="41">
        <v>1188.8989547033088</v>
      </c>
      <c r="IS21" s="41">
        <v>1188.8989547033088</v>
      </c>
      <c r="IT21" s="41">
        <v>1208.4563999076058</v>
      </c>
      <c r="IU21" s="41">
        <v>1208.4563999076058</v>
      </c>
      <c r="IV21" s="41">
        <v>1208.4563999076058</v>
      </c>
      <c r="IW21" s="41">
        <v>1208.4563999076058</v>
      </c>
      <c r="IX21" s="41">
        <v>1208.4563999076058</v>
      </c>
      <c r="IY21" s="41">
        <v>1167.8121893749728</v>
      </c>
      <c r="IZ21" s="41">
        <v>1167.8121893749728</v>
      </c>
      <c r="JA21" s="41">
        <v>1167.8121893749728</v>
      </c>
      <c r="JB21" s="41">
        <v>1167.8121893749728</v>
      </c>
      <c r="JC21" s="41">
        <v>1185.3194123375963</v>
      </c>
      <c r="JD21" s="41">
        <v>1185.3194123375963</v>
      </c>
      <c r="JE21" s="41">
        <v>1185.3194123375963</v>
      </c>
      <c r="JF21" s="41">
        <v>1185.3194123375963</v>
      </c>
      <c r="JG21" s="41">
        <v>1185.3194123375963</v>
      </c>
      <c r="JH21" s="41">
        <v>1163.1486661843744</v>
      </c>
      <c r="JI21" s="41">
        <v>1163.1486661843744</v>
      </c>
      <c r="JJ21" s="41">
        <v>1163.1486661843744</v>
      </c>
      <c r="JK21" s="41">
        <v>1163.1486661843744</v>
      </c>
      <c r="JL21" s="41">
        <v>1186.2627781335511</v>
      </c>
      <c r="JM21" s="41">
        <v>1186.2627781335511</v>
      </c>
      <c r="JN21" s="41">
        <v>1186.2627781335511</v>
      </c>
      <c r="JO21" s="41">
        <v>1186.2627781335511</v>
      </c>
      <c r="JP21" s="41">
        <v>1149.7077016074772</v>
      </c>
      <c r="JQ21" s="41">
        <v>1149.7077016074772</v>
      </c>
      <c r="JR21" s="41">
        <v>1149.7077016074772</v>
      </c>
      <c r="JS21" s="41">
        <v>1149.7077016074772</v>
      </c>
      <c r="JT21" s="41">
        <v>1149.7077016074772</v>
      </c>
      <c r="JU21" s="41">
        <v>1070.511623054196</v>
      </c>
      <c r="JV21" s="41">
        <v>1070.511623054196</v>
      </c>
      <c r="JW21" s="41">
        <v>1070.511623054196</v>
      </c>
      <c r="JX21" s="41">
        <v>1070.511623054196</v>
      </c>
      <c r="JY21" s="41">
        <v>1092.8990526695691</v>
      </c>
      <c r="JZ21" s="41">
        <v>1092.8990526695691</v>
      </c>
      <c r="KA21" s="41">
        <v>1092.8990526695691</v>
      </c>
      <c r="KB21" s="41">
        <v>1092.8990526695691</v>
      </c>
      <c r="KC21" s="41">
        <v>1096.8836793746136</v>
      </c>
      <c r="KD21" s="41">
        <v>1096.8836793746136</v>
      </c>
      <c r="KE21" s="41">
        <v>1096.8836793746136</v>
      </c>
      <c r="KF21" s="41">
        <v>1096.8836793746136</v>
      </c>
      <c r="KG21" s="41">
        <v>1096.8836793746136</v>
      </c>
      <c r="KH21" s="41">
        <v>1056.1519929547876</v>
      </c>
      <c r="KI21" s="41">
        <v>1056.1519929547876</v>
      </c>
      <c r="KJ21" s="41">
        <v>1056.1519929547876</v>
      </c>
      <c r="KK21" s="41">
        <v>1056.1519929547876</v>
      </c>
      <c r="KL21" s="41">
        <v>1057.7957262938128</v>
      </c>
      <c r="KM21" s="41">
        <v>1057.7957262938128</v>
      </c>
      <c r="KN21" s="41">
        <v>1057.7957262938128</v>
      </c>
      <c r="KO21" s="41">
        <v>1057.7957262938128</v>
      </c>
      <c r="KP21" s="41">
        <v>1077.9158612626186</v>
      </c>
      <c r="KQ21" s="41">
        <v>1077.9158612626186</v>
      </c>
      <c r="KR21" s="41">
        <v>1077.9158612626186</v>
      </c>
      <c r="KS21" s="41">
        <v>1077.9158612626186</v>
      </c>
      <c r="KT21" s="41">
        <v>1077.9158612626186</v>
      </c>
      <c r="KU21" s="41">
        <v>1157.3856098126769</v>
      </c>
      <c r="KV21" s="41">
        <v>1157.3856098126769</v>
      </c>
      <c r="KW21" s="41">
        <v>1157.3856098126769</v>
      </c>
      <c r="KX21" s="41">
        <v>1157.3856098126769</v>
      </c>
      <c r="KY21" s="41">
        <v>1148.232441827543</v>
      </c>
      <c r="KZ21" s="41">
        <v>1148.232441827543</v>
      </c>
      <c r="LA21" s="41">
        <v>1148.232441827543</v>
      </c>
      <c r="LB21" s="41">
        <v>1148.232441827543</v>
      </c>
      <c r="LC21" s="41">
        <v>1150.4249366139495</v>
      </c>
      <c r="LD21" s="41">
        <v>1150.4249366139495</v>
      </c>
      <c r="LE21" s="41">
        <v>1150.4249366139495</v>
      </c>
      <c r="LF21" s="41">
        <v>1150.4249366139495</v>
      </c>
      <c r="LG21" s="41">
        <v>1150.4249366139495</v>
      </c>
    </row>
    <row r="22" spans="6:319" ht="15.5" hidden="1">
      <c r="F22" s="64"/>
      <c r="CF22" s="1" t="s">
        <v>113</v>
      </c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>
        <f>EG21+35</f>
        <v>1260</v>
      </c>
      <c r="EH22" s="41">
        <f>EH21+35</f>
        <v>1260</v>
      </c>
      <c r="EI22" s="41">
        <f t="shared" ref="EI22:FV22" si="362">EI21+35</f>
        <v>1260</v>
      </c>
      <c r="EJ22" s="41">
        <f t="shared" si="362"/>
        <v>1260</v>
      </c>
      <c r="EK22" s="41">
        <f t="shared" si="362"/>
        <v>1260</v>
      </c>
      <c r="EL22" s="41">
        <f t="shared" si="362"/>
        <v>1260</v>
      </c>
      <c r="EM22" s="41">
        <f t="shared" si="362"/>
        <v>1260</v>
      </c>
      <c r="EN22" s="41">
        <f t="shared" si="362"/>
        <v>1260</v>
      </c>
      <c r="EO22" s="41">
        <f t="shared" si="362"/>
        <v>1260</v>
      </c>
      <c r="EP22" s="41">
        <f t="shared" si="362"/>
        <v>1260</v>
      </c>
      <c r="EQ22" s="41">
        <f t="shared" si="362"/>
        <v>1260</v>
      </c>
      <c r="ER22" s="41">
        <f t="shared" si="362"/>
        <v>1260</v>
      </c>
      <c r="ES22" s="41">
        <f t="shared" si="362"/>
        <v>1260</v>
      </c>
      <c r="ET22" s="41">
        <f t="shared" si="362"/>
        <v>1260</v>
      </c>
      <c r="EU22" s="41">
        <f t="shared" si="362"/>
        <v>1260</v>
      </c>
      <c r="EV22" s="41">
        <f t="shared" si="362"/>
        <v>1260</v>
      </c>
      <c r="EW22" s="41">
        <f t="shared" si="362"/>
        <v>1260</v>
      </c>
      <c r="EX22" s="41">
        <f t="shared" si="362"/>
        <v>1260</v>
      </c>
      <c r="EY22" s="41">
        <f t="shared" si="362"/>
        <v>1260</v>
      </c>
      <c r="EZ22" s="41">
        <f t="shared" si="362"/>
        <v>1260</v>
      </c>
      <c r="FA22" s="41">
        <f t="shared" si="362"/>
        <v>1260</v>
      </c>
      <c r="FB22" s="41">
        <f t="shared" si="362"/>
        <v>1260</v>
      </c>
      <c r="FC22" s="41">
        <f t="shared" si="362"/>
        <v>1220</v>
      </c>
      <c r="FD22" s="41">
        <f t="shared" si="362"/>
        <v>1220</v>
      </c>
      <c r="FE22" s="41">
        <f t="shared" si="362"/>
        <v>1220</v>
      </c>
      <c r="FF22" s="41">
        <f t="shared" si="362"/>
        <v>1220</v>
      </c>
      <c r="FG22" s="41">
        <f t="shared" si="362"/>
        <v>1168</v>
      </c>
      <c r="FH22" s="41">
        <f t="shared" si="362"/>
        <v>1168</v>
      </c>
      <c r="FI22" s="41">
        <f t="shared" si="362"/>
        <v>1168</v>
      </c>
      <c r="FJ22" s="41">
        <f t="shared" si="362"/>
        <v>1168</v>
      </c>
      <c r="FK22" s="41">
        <f t="shared" si="362"/>
        <v>1168</v>
      </c>
      <c r="FL22" s="41">
        <f t="shared" si="362"/>
        <v>1168</v>
      </c>
      <c r="FM22" s="41">
        <f t="shared" si="362"/>
        <v>1168</v>
      </c>
      <c r="FN22" s="41">
        <f t="shared" si="362"/>
        <v>1186</v>
      </c>
      <c r="FO22" s="41">
        <f t="shared" si="362"/>
        <v>1186</v>
      </c>
      <c r="FP22" s="41">
        <f t="shared" si="362"/>
        <v>1186</v>
      </c>
      <c r="FQ22" s="41">
        <f t="shared" si="362"/>
        <v>1210</v>
      </c>
      <c r="FR22" s="41">
        <f t="shared" si="362"/>
        <v>1210</v>
      </c>
      <c r="FS22" s="41">
        <f t="shared" si="362"/>
        <v>1210</v>
      </c>
      <c r="FT22" s="41">
        <f t="shared" si="362"/>
        <v>1210</v>
      </c>
      <c r="FU22" s="41">
        <f t="shared" si="362"/>
        <v>1210</v>
      </c>
      <c r="FV22" s="41">
        <f t="shared" si="362"/>
        <v>1210</v>
      </c>
      <c r="FW22" s="41">
        <f t="shared" ref="FW22:FX22" si="363">FW21+35</f>
        <v>1235</v>
      </c>
      <c r="FX22" s="41">
        <f t="shared" si="363"/>
        <v>1235</v>
      </c>
      <c r="FY22" s="41">
        <f t="shared" ref="FY22:FZ22" si="364">FY21+35</f>
        <v>1235</v>
      </c>
      <c r="FZ22" s="41">
        <f t="shared" si="364"/>
        <v>1235</v>
      </c>
      <c r="GA22" s="41">
        <f t="shared" ref="GA22" si="365">GA21+35</f>
        <v>1178</v>
      </c>
      <c r="GB22" s="41">
        <f>GB21+20</f>
        <v>1163</v>
      </c>
      <c r="GC22" s="41">
        <f t="shared" ref="GC22:GD22" si="366">GC21+20</f>
        <v>1163</v>
      </c>
      <c r="GD22" s="41">
        <f t="shared" si="366"/>
        <v>1163</v>
      </c>
      <c r="GE22" s="41">
        <f t="shared" ref="GE22:GF22" si="367">GE21+20</f>
        <v>1163</v>
      </c>
      <c r="GF22" s="41">
        <f t="shared" si="367"/>
        <v>1182</v>
      </c>
      <c r="GG22" s="41">
        <f t="shared" ref="GG22:GH22" si="368">GG21+20</f>
        <v>1182</v>
      </c>
      <c r="GH22" s="41">
        <f t="shared" si="368"/>
        <v>1182</v>
      </c>
      <c r="GI22" s="41">
        <f t="shared" ref="GI22:GJ22" si="369">GI21+20</f>
        <v>1182</v>
      </c>
      <c r="GJ22" s="41">
        <f t="shared" si="369"/>
        <v>1195</v>
      </c>
      <c r="GK22" s="41">
        <f t="shared" ref="GK22:GM22" si="370">GK21+20</f>
        <v>1195</v>
      </c>
      <c r="GL22" s="41">
        <f t="shared" si="370"/>
        <v>1195</v>
      </c>
      <c r="GM22" s="41">
        <f t="shared" si="370"/>
        <v>1220</v>
      </c>
      <c r="GN22" s="41">
        <f t="shared" ref="GN22:GO22" si="371">GN21+20</f>
        <v>1220</v>
      </c>
      <c r="GO22" s="41">
        <f t="shared" si="371"/>
        <v>1220</v>
      </c>
      <c r="GP22" s="41">
        <f t="shared" ref="GP22:GQ22" si="372">GP21+20</f>
        <v>1220</v>
      </c>
      <c r="GQ22" s="41">
        <f t="shared" si="372"/>
        <v>1250</v>
      </c>
      <c r="GR22" s="41">
        <f t="shared" ref="GR22:GT22" si="373">GR21+20</f>
        <v>1250</v>
      </c>
      <c r="GS22" s="41">
        <f t="shared" si="373"/>
        <v>1250</v>
      </c>
      <c r="GT22" s="41">
        <f t="shared" si="373"/>
        <v>1250</v>
      </c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41"/>
      <c r="JQ22" s="4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41"/>
      <c r="KR22" s="41"/>
      <c r="KS22" s="41"/>
      <c r="KT22" s="41"/>
      <c r="KU22" s="41"/>
      <c r="KV22" s="41"/>
      <c r="KW22" s="41"/>
      <c r="KX22" s="41"/>
      <c r="KY22" s="41"/>
      <c r="KZ22" s="41"/>
      <c r="LA22" s="41"/>
      <c r="LB22" s="41"/>
      <c r="LC22" s="41"/>
      <c r="LD22" s="41"/>
      <c r="LE22" s="41"/>
      <c r="LF22" s="41"/>
      <c r="LG22" s="41"/>
    </row>
    <row r="23" spans="6:319" ht="15">
      <c r="F23" s="62"/>
      <c r="H23" s="1" t="s">
        <v>108</v>
      </c>
      <c r="AS23" s="1">
        <v>1220</v>
      </c>
      <c r="AT23" s="1">
        <v>1220</v>
      </c>
      <c r="AU23" s="1">
        <v>1220</v>
      </c>
      <c r="CF23" s="1" t="s">
        <v>109</v>
      </c>
      <c r="EG23" s="41">
        <f t="shared" ref="EG23:FI23" si="374">EG21+34</f>
        <v>1259</v>
      </c>
      <c r="EH23" s="41">
        <f t="shared" si="374"/>
        <v>1259</v>
      </c>
      <c r="EI23" s="41">
        <f t="shared" si="374"/>
        <v>1259</v>
      </c>
      <c r="EJ23" s="41">
        <f t="shared" si="374"/>
        <v>1259</v>
      </c>
      <c r="EK23" s="41">
        <f t="shared" si="374"/>
        <v>1259</v>
      </c>
      <c r="EL23" s="41">
        <f t="shared" si="374"/>
        <v>1259</v>
      </c>
      <c r="EM23" s="41">
        <f t="shared" si="374"/>
        <v>1259</v>
      </c>
      <c r="EN23" s="41">
        <f t="shared" si="374"/>
        <v>1259</v>
      </c>
      <c r="EO23" s="41">
        <f t="shared" si="374"/>
        <v>1259</v>
      </c>
      <c r="EP23" s="41">
        <f t="shared" si="374"/>
        <v>1259</v>
      </c>
      <c r="EQ23" s="41">
        <f t="shared" si="374"/>
        <v>1259</v>
      </c>
      <c r="ER23" s="41">
        <f t="shared" si="374"/>
        <v>1259</v>
      </c>
      <c r="ES23" s="41">
        <f t="shared" si="374"/>
        <v>1259</v>
      </c>
      <c r="ET23" s="41">
        <f t="shared" si="374"/>
        <v>1259</v>
      </c>
      <c r="EU23" s="41">
        <f t="shared" si="374"/>
        <v>1259</v>
      </c>
      <c r="EV23" s="41">
        <f t="shared" si="374"/>
        <v>1259</v>
      </c>
      <c r="EW23" s="41">
        <f t="shared" si="374"/>
        <v>1259</v>
      </c>
      <c r="EX23" s="41">
        <f t="shared" si="374"/>
        <v>1259</v>
      </c>
      <c r="EY23" s="41">
        <f t="shared" si="374"/>
        <v>1259</v>
      </c>
      <c r="EZ23" s="41">
        <f t="shared" si="374"/>
        <v>1259</v>
      </c>
      <c r="FA23" s="41">
        <f t="shared" si="374"/>
        <v>1259</v>
      </c>
      <c r="FB23" s="41">
        <f t="shared" si="374"/>
        <v>1259</v>
      </c>
      <c r="FC23" s="41">
        <f t="shared" si="374"/>
        <v>1219</v>
      </c>
      <c r="FD23" s="41">
        <f t="shared" si="374"/>
        <v>1219</v>
      </c>
      <c r="FE23" s="41">
        <f t="shared" si="374"/>
        <v>1219</v>
      </c>
      <c r="FF23" s="41">
        <f t="shared" si="374"/>
        <v>1219</v>
      </c>
      <c r="FG23" s="41">
        <f t="shared" si="374"/>
        <v>1167</v>
      </c>
      <c r="FH23" s="41">
        <f t="shared" si="374"/>
        <v>1167</v>
      </c>
      <c r="FI23" s="41">
        <f t="shared" si="374"/>
        <v>1167</v>
      </c>
      <c r="FJ23" s="41">
        <f>FJ21+34</f>
        <v>1167</v>
      </c>
      <c r="FK23" s="41">
        <f>FK21+34</f>
        <v>1167</v>
      </c>
      <c r="FL23" s="41">
        <f>FL21+34</f>
        <v>1167</v>
      </c>
      <c r="FM23" s="41">
        <f>FM21+34</f>
        <v>1167</v>
      </c>
      <c r="FN23" s="41">
        <v>1182</v>
      </c>
      <c r="FO23" s="41">
        <v>1182</v>
      </c>
      <c r="FP23" s="41">
        <v>1182</v>
      </c>
      <c r="FQ23" s="41">
        <v>1182</v>
      </c>
      <c r="FR23" s="41">
        <v>1182</v>
      </c>
      <c r="FS23" s="41">
        <v>1234</v>
      </c>
      <c r="FT23" s="41">
        <v>1234</v>
      </c>
      <c r="FU23" s="41">
        <v>1234</v>
      </c>
      <c r="FV23" s="41">
        <v>1234</v>
      </c>
      <c r="FW23" s="41">
        <v>1234</v>
      </c>
      <c r="FX23" s="41">
        <v>1234</v>
      </c>
      <c r="FY23" s="41">
        <v>1234</v>
      </c>
      <c r="FZ23" s="41">
        <v>1234</v>
      </c>
      <c r="GA23" s="41">
        <v>1234</v>
      </c>
      <c r="GB23" s="41">
        <v>1234</v>
      </c>
      <c r="GC23" s="41">
        <v>1234</v>
      </c>
      <c r="GD23" s="41">
        <v>1234</v>
      </c>
      <c r="GE23" s="41">
        <v>1234</v>
      </c>
      <c r="GF23" s="41">
        <v>1234</v>
      </c>
      <c r="GG23" s="41">
        <v>1234</v>
      </c>
      <c r="GH23" s="41">
        <v>1234</v>
      </c>
      <c r="GI23" s="41">
        <v>1234</v>
      </c>
      <c r="GJ23" s="41">
        <v>1234</v>
      </c>
      <c r="GK23" s="41">
        <v>1234</v>
      </c>
      <c r="GL23" s="41">
        <v>1234</v>
      </c>
      <c r="GM23" s="41">
        <v>1234</v>
      </c>
      <c r="GN23" s="41">
        <v>1234</v>
      </c>
      <c r="GO23" s="41">
        <v>1234</v>
      </c>
      <c r="GP23" s="41">
        <v>1234</v>
      </c>
      <c r="GQ23" s="41">
        <v>1234</v>
      </c>
      <c r="GR23" s="41">
        <v>1234</v>
      </c>
      <c r="GS23" s="41">
        <v>1234</v>
      </c>
      <c r="GT23" s="41">
        <v>1234</v>
      </c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41"/>
      <c r="JQ23" s="4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41"/>
      <c r="KR23" s="41"/>
      <c r="KS23" s="41"/>
      <c r="KT23" s="41"/>
      <c r="KU23" s="41"/>
      <c r="KV23" s="41"/>
      <c r="KW23" s="41"/>
      <c r="KX23" s="41"/>
      <c r="KY23" s="41"/>
      <c r="KZ23" s="41"/>
      <c r="LA23" s="41"/>
      <c r="LB23" s="41"/>
      <c r="LC23" s="41"/>
      <c r="LD23" s="41"/>
      <c r="LE23" s="41"/>
      <c r="LF23" s="41"/>
      <c r="LG23" s="41"/>
    </row>
    <row r="24" spans="6:319">
      <c r="H24" s="1" t="s">
        <v>99</v>
      </c>
      <c r="X24" s="143">
        <v>1360</v>
      </c>
      <c r="Y24" s="143">
        <v>1360</v>
      </c>
      <c r="Z24" s="143">
        <v>1360</v>
      </c>
      <c r="AA24" s="143">
        <v>1550</v>
      </c>
      <c r="AB24" s="143">
        <v>1550</v>
      </c>
      <c r="AC24" s="143">
        <v>1550</v>
      </c>
      <c r="AD24" s="143">
        <v>1550</v>
      </c>
      <c r="AE24" s="143">
        <v>1534</v>
      </c>
      <c r="AF24" s="143">
        <v>1534</v>
      </c>
      <c r="AG24" s="143">
        <v>1534</v>
      </c>
      <c r="AH24" s="143">
        <v>1534</v>
      </c>
      <c r="AI24" s="143">
        <v>1534</v>
      </c>
      <c r="AJ24" s="143">
        <v>1534</v>
      </c>
      <c r="AK24" s="143">
        <v>1534</v>
      </c>
      <c r="AL24" s="143">
        <v>1445</v>
      </c>
      <c r="AM24" s="143">
        <v>1445</v>
      </c>
      <c r="AN24" s="143">
        <v>1445</v>
      </c>
      <c r="AO24" s="143">
        <v>1500</v>
      </c>
      <c r="AP24" s="143">
        <v>1500</v>
      </c>
      <c r="AQ24" s="143">
        <v>1500</v>
      </c>
      <c r="AR24" s="144">
        <v>1450</v>
      </c>
      <c r="AS24" s="144">
        <v>1450</v>
      </c>
      <c r="AT24" s="144">
        <v>1450</v>
      </c>
      <c r="AU24" s="144">
        <v>1350</v>
      </c>
      <c r="AV24" s="144">
        <v>1350</v>
      </c>
      <c r="AW24" s="144">
        <v>1350</v>
      </c>
      <c r="AX24" s="144">
        <v>1320</v>
      </c>
      <c r="AY24" s="144">
        <v>1320</v>
      </c>
      <c r="AZ24" s="144">
        <v>1320</v>
      </c>
      <c r="BA24" s="144">
        <v>1320</v>
      </c>
      <c r="BB24" s="144">
        <v>1320</v>
      </c>
      <c r="BC24" s="144">
        <v>1320</v>
      </c>
      <c r="BD24" s="172">
        <v>1300</v>
      </c>
      <c r="BE24" s="172">
        <v>1300</v>
      </c>
      <c r="BF24" s="172">
        <v>1300</v>
      </c>
      <c r="BG24" s="172">
        <v>1300</v>
      </c>
      <c r="BH24" s="172">
        <v>1300</v>
      </c>
      <c r="BI24" s="172">
        <v>1300</v>
      </c>
      <c r="BJ24" s="172">
        <v>1300</v>
      </c>
      <c r="BK24" s="172">
        <v>1300</v>
      </c>
      <c r="BL24" s="172">
        <v>1250</v>
      </c>
      <c r="BM24" s="172">
        <v>1250</v>
      </c>
      <c r="BN24" s="172">
        <v>1250</v>
      </c>
      <c r="BO24" s="172">
        <v>1250</v>
      </c>
      <c r="BP24" s="172">
        <v>1280</v>
      </c>
      <c r="BQ24" s="172">
        <v>1280</v>
      </c>
      <c r="BR24" s="172">
        <v>1280</v>
      </c>
      <c r="BS24" s="172">
        <v>1280</v>
      </c>
      <c r="BT24" s="172">
        <v>1280</v>
      </c>
      <c r="BU24" s="172">
        <v>1280</v>
      </c>
      <c r="BV24" s="172">
        <v>1250</v>
      </c>
      <c r="BW24" s="172">
        <v>1250</v>
      </c>
      <c r="BX24" s="172">
        <v>1250</v>
      </c>
      <c r="BY24" s="183">
        <f>1109+75</f>
        <v>1184</v>
      </c>
      <c r="BZ24" s="183">
        <f>1109+75</f>
        <v>1184</v>
      </c>
      <c r="CA24" s="183">
        <f>1109+75</f>
        <v>1184</v>
      </c>
      <c r="CB24" s="183">
        <v>1355</v>
      </c>
      <c r="CF24" s="1" t="s">
        <v>108</v>
      </c>
      <c r="FG24" s="3">
        <v>1200</v>
      </c>
      <c r="FH24" s="3"/>
      <c r="FI24" s="3"/>
      <c r="FJ24" s="3">
        <v>1200</v>
      </c>
      <c r="FK24" s="3">
        <v>1200</v>
      </c>
      <c r="FL24" s="3">
        <v>1200</v>
      </c>
      <c r="FM24" s="3">
        <v>1200</v>
      </c>
      <c r="FN24" s="3">
        <v>1200</v>
      </c>
      <c r="FO24" s="3">
        <v>1200</v>
      </c>
      <c r="FP24" s="3">
        <v>1200</v>
      </c>
      <c r="FQ24" s="3">
        <v>1200</v>
      </c>
      <c r="FR24" s="3">
        <v>1200</v>
      </c>
      <c r="FS24" s="3">
        <v>1200</v>
      </c>
      <c r="FT24" s="3">
        <v>1200</v>
      </c>
      <c r="FU24" s="3">
        <v>1200</v>
      </c>
      <c r="FV24" s="3">
        <v>1100</v>
      </c>
      <c r="FW24" s="3">
        <v>1100</v>
      </c>
      <c r="FX24" s="3">
        <v>1100</v>
      </c>
      <c r="FY24" s="3">
        <v>1100</v>
      </c>
      <c r="FZ24" s="3">
        <v>1100</v>
      </c>
      <c r="GA24" s="3">
        <v>1100</v>
      </c>
      <c r="GB24" s="3">
        <v>1100</v>
      </c>
      <c r="GC24" s="3">
        <v>1100</v>
      </c>
      <c r="GD24" s="3">
        <v>1100</v>
      </c>
      <c r="GE24" s="3">
        <v>1100</v>
      </c>
      <c r="GF24" s="3">
        <v>1100</v>
      </c>
      <c r="GG24" s="3">
        <v>1100</v>
      </c>
      <c r="GH24" s="3">
        <v>1100</v>
      </c>
      <c r="GI24" s="3">
        <v>1100</v>
      </c>
      <c r="GJ24" s="3">
        <v>1100</v>
      </c>
      <c r="GK24" s="3">
        <v>1100</v>
      </c>
      <c r="GL24" s="3">
        <v>1100</v>
      </c>
      <c r="GM24" s="3">
        <v>1100</v>
      </c>
      <c r="GN24" s="3">
        <v>1100</v>
      </c>
      <c r="GO24" s="3">
        <v>1100</v>
      </c>
      <c r="GP24" s="3">
        <v>1100</v>
      </c>
      <c r="GQ24" s="3">
        <v>1100</v>
      </c>
      <c r="GR24" s="3">
        <v>1100</v>
      </c>
      <c r="GS24" s="3">
        <v>1100</v>
      </c>
      <c r="GT24" s="3">
        <v>1100</v>
      </c>
      <c r="GU24" s="3">
        <v>1100</v>
      </c>
      <c r="GV24" s="3">
        <v>1100</v>
      </c>
      <c r="GW24" s="3">
        <v>1100</v>
      </c>
      <c r="GX24" s="3">
        <v>1100</v>
      </c>
      <c r="GY24" s="3">
        <v>1100</v>
      </c>
      <c r="GZ24" s="3">
        <v>1100</v>
      </c>
      <c r="HA24" s="3">
        <v>1100</v>
      </c>
      <c r="HB24" s="3">
        <v>1100</v>
      </c>
      <c r="HC24" s="3">
        <v>1100</v>
      </c>
      <c r="HD24" s="3">
        <v>1100</v>
      </c>
      <c r="HE24" s="3">
        <v>1100</v>
      </c>
      <c r="HF24" s="3">
        <v>1100</v>
      </c>
      <c r="HG24" s="3">
        <v>1100</v>
      </c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</row>
    <row r="25" spans="6:319">
      <c r="CF25" s="1" t="s">
        <v>133</v>
      </c>
      <c r="EG25" s="142">
        <v>1445</v>
      </c>
      <c r="EH25" s="142">
        <v>1445</v>
      </c>
      <c r="EI25" s="142">
        <v>1445</v>
      </c>
      <c r="EJ25" s="142">
        <v>1445</v>
      </c>
      <c r="EK25" s="142">
        <v>1445</v>
      </c>
      <c r="EL25" s="142">
        <v>1445</v>
      </c>
      <c r="EM25" s="142">
        <v>1445</v>
      </c>
      <c r="EN25" s="142">
        <v>1445</v>
      </c>
      <c r="EO25" s="142">
        <v>1445</v>
      </c>
      <c r="EP25" s="142">
        <v>1445</v>
      </c>
      <c r="EQ25" s="142">
        <v>1445</v>
      </c>
      <c r="ER25" s="142">
        <v>1445</v>
      </c>
      <c r="ES25" s="142">
        <v>1500</v>
      </c>
      <c r="ET25" s="142">
        <v>1500</v>
      </c>
      <c r="EU25" s="142">
        <v>1500</v>
      </c>
      <c r="EV25" s="142">
        <v>1500</v>
      </c>
      <c r="EW25" s="142">
        <v>1500</v>
      </c>
      <c r="EX25" s="142">
        <v>1500</v>
      </c>
      <c r="EY25" s="142">
        <v>1500</v>
      </c>
      <c r="EZ25" s="142">
        <v>1500</v>
      </c>
      <c r="FA25" s="142">
        <v>1500</v>
      </c>
      <c r="FB25" s="142">
        <v>1500</v>
      </c>
      <c r="FC25" s="142">
        <v>1500</v>
      </c>
      <c r="FD25" s="142">
        <v>1500</v>
      </c>
      <c r="FE25" s="142">
        <v>1500</v>
      </c>
      <c r="FF25" s="142">
        <v>1500</v>
      </c>
      <c r="FG25" s="142">
        <v>1450</v>
      </c>
      <c r="FH25" s="142">
        <v>1450</v>
      </c>
      <c r="FI25" s="142">
        <v>1450</v>
      </c>
      <c r="FJ25" s="142">
        <v>1450</v>
      </c>
      <c r="FK25" s="142">
        <v>1450</v>
      </c>
      <c r="FL25" s="142">
        <v>1450</v>
      </c>
      <c r="FM25" s="142">
        <v>1450</v>
      </c>
      <c r="FN25" s="142">
        <v>1450</v>
      </c>
      <c r="FO25" s="142">
        <v>1450</v>
      </c>
      <c r="FP25" s="142">
        <v>1450</v>
      </c>
      <c r="FQ25" s="142">
        <v>1450</v>
      </c>
      <c r="FR25" s="142">
        <v>1450</v>
      </c>
      <c r="FS25" s="142">
        <v>1350</v>
      </c>
      <c r="FT25" s="142">
        <v>1350</v>
      </c>
      <c r="FU25" s="142">
        <v>1350</v>
      </c>
      <c r="FV25" s="142">
        <v>1350</v>
      </c>
      <c r="FW25" s="142">
        <v>1350</v>
      </c>
      <c r="FX25" s="142">
        <v>1350</v>
      </c>
      <c r="FY25" s="142">
        <v>1350</v>
      </c>
      <c r="FZ25" s="142">
        <v>1350</v>
      </c>
      <c r="GA25" s="142">
        <v>1350</v>
      </c>
      <c r="GB25" s="142">
        <v>1350</v>
      </c>
      <c r="GC25" s="142">
        <v>1350</v>
      </c>
      <c r="GD25" s="142">
        <v>1350</v>
      </c>
      <c r="GE25" s="142">
        <v>1350</v>
      </c>
      <c r="GF25" s="142">
        <v>1320</v>
      </c>
      <c r="GG25" s="142">
        <v>1320</v>
      </c>
      <c r="GH25" s="142">
        <v>1320</v>
      </c>
      <c r="GI25" s="142">
        <v>1320</v>
      </c>
      <c r="GJ25" s="142">
        <v>1320</v>
      </c>
      <c r="GK25" s="142">
        <v>1320</v>
      </c>
      <c r="GL25" s="142">
        <v>1320</v>
      </c>
      <c r="GM25" s="142">
        <v>1320</v>
      </c>
      <c r="GN25" s="142">
        <v>1320</v>
      </c>
      <c r="GO25" s="142">
        <v>1320</v>
      </c>
      <c r="GP25" s="142">
        <v>1320</v>
      </c>
      <c r="GQ25" s="142">
        <v>1320</v>
      </c>
      <c r="GR25" s="142">
        <v>1320</v>
      </c>
      <c r="GS25" s="142">
        <v>1320</v>
      </c>
      <c r="GT25" s="142">
        <v>1320</v>
      </c>
      <c r="GU25" s="142">
        <v>1320</v>
      </c>
      <c r="GV25" s="142">
        <v>1320</v>
      </c>
      <c r="GW25" s="142">
        <v>1320</v>
      </c>
      <c r="GX25" s="142">
        <v>1320</v>
      </c>
      <c r="GY25" s="142">
        <v>1320</v>
      </c>
      <c r="GZ25" s="142">
        <v>1320</v>
      </c>
      <c r="HA25" s="142">
        <v>1320</v>
      </c>
      <c r="HB25" s="142">
        <v>1320</v>
      </c>
      <c r="HC25" s="142">
        <v>1320</v>
      </c>
      <c r="HD25" s="142">
        <v>1300</v>
      </c>
      <c r="HE25" s="142">
        <v>1300</v>
      </c>
      <c r="HF25" s="142">
        <v>1300</v>
      </c>
      <c r="HG25" s="142">
        <v>1300</v>
      </c>
      <c r="HH25" s="142">
        <v>1300</v>
      </c>
      <c r="HI25" s="142">
        <v>1300</v>
      </c>
      <c r="HJ25" s="142">
        <v>1300</v>
      </c>
      <c r="HK25" s="142">
        <v>1300</v>
      </c>
      <c r="HL25" s="142">
        <v>1300</v>
      </c>
      <c r="HM25" s="142">
        <v>1300</v>
      </c>
      <c r="HN25" s="142">
        <v>1300</v>
      </c>
      <c r="HO25" s="142">
        <v>1300</v>
      </c>
      <c r="HP25" s="142">
        <v>1300</v>
      </c>
      <c r="HQ25" s="142">
        <v>1300</v>
      </c>
      <c r="HR25" s="142">
        <v>1300</v>
      </c>
      <c r="HS25" s="142">
        <v>1300</v>
      </c>
      <c r="HT25" s="142">
        <v>1300</v>
      </c>
      <c r="HU25" s="142">
        <v>1300</v>
      </c>
      <c r="HV25" s="142">
        <v>1300</v>
      </c>
      <c r="HW25" s="142">
        <v>1300</v>
      </c>
      <c r="HX25" s="142">
        <v>1300</v>
      </c>
      <c r="HY25" s="142">
        <v>1300</v>
      </c>
      <c r="HZ25" s="142">
        <v>1300</v>
      </c>
      <c r="IA25" s="142">
        <v>1300</v>
      </c>
      <c r="IB25" s="142">
        <v>1300</v>
      </c>
      <c r="IC25" s="142">
        <v>1300</v>
      </c>
      <c r="ID25" s="142">
        <v>1300</v>
      </c>
      <c r="IE25" s="142">
        <v>1300</v>
      </c>
      <c r="IF25" s="142">
        <v>1300</v>
      </c>
      <c r="IG25" s="142">
        <v>1300</v>
      </c>
      <c r="IH25" s="142">
        <v>1300</v>
      </c>
      <c r="II25" s="142">
        <v>1300</v>
      </c>
      <c r="IJ25" s="142">
        <v>1300</v>
      </c>
      <c r="IK25" s="142">
        <v>1300</v>
      </c>
      <c r="IL25" s="176">
        <v>1250</v>
      </c>
      <c r="IM25" s="176">
        <v>1250</v>
      </c>
      <c r="IN25" s="176">
        <v>1250</v>
      </c>
      <c r="IO25" s="176">
        <v>1250</v>
      </c>
      <c r="IP25" s="176">
        <v>1250</v>
      </c>
      <c r="IQ25" s="176">
        <v>1250</v>
      </c>
      <c r="IR25" s="176">
        <v>1250</v>
      </c>
      <c r="IS25" s="176">
        <v>1250</v>
      </c>
      <c r="IT25" s="176">
        <v>1250</v>
      </c>
      <c r="IU25" s="176">
        <v>1250</v>
      </c>
      <c r="IV25" s="176">
        <v>1250</v>
      </c>
      <c r="IW25" s="176">
        <v>1250</v>
      </c>
      <c r="IX25" s="176">
        <v>1250</v>
      </c>
      <c r="IY25" s="176">
        <v>1250</v>
      </c>
      <c r="IZ25" s="176">
        <v>1250</v>
      </c>
      <c r="JA25" s="176">
        <v>1250</v>
      </c>
      <c r="JB25" s="176">
        <v>1250</v>
      </c>
      <c r="JC25" s="176">
        <v>1280</v>
      </c>
      <c r="JD25" s="176">
        <v>1280</v>
      </c>
      <c r="JE25" s="176">
        <v>1280</v>
      </c>
      <c r="JF25" s="176">
        <v>1280</v>
      </c>
      <c r="JG25" s="176">
        <v>1280</v>
      </c>
      <c r="JH25" s="176">
        <v>1280</v>
      </c>
      <c r="JI25" s="176">
        <v>1280</v>
      </c>
      <c r="JJ25" s="176">
        <v>1280</v>
      </c>
      <c r="JK25" s="176">
        <v>1280</v>
      </c>
      <c r="JL25" s="176">
        <v>1280</v>
      </c>
      <c r="JM25" s="176">
        <v>1280</v>
      </c>
      <c r="JN25" s="176">
        <v>1280</v>
      </c>
      <c r="JO25" s="176">
        <v>1280</v>
      </c>
      <c r="JP25" s="176">
        <v>1280</v>
      </c>
      <c r="JQ25" s="176">
        <v>1280</v>
      </c>
      <c r="JR25" s="176">
        <v>1280</v>
      </c>
      <c r="JS25" s="176">
        <v>1280</v>
      </c>
      <c r="JT25" s="176">
        <v>1280</v>
      </c>
      <c r="JU25" s="176">
        <v>1280</v>
      </c>
      <c r="JV25" s="176">
        <v>1280</v>
      </c>
      <c r="JW25" s="176">
        <v>1280</v>
      </c>
      <c r="JX25" s="176">
        <v>1280</v>
      </c>
      <c r="JY25" s="176">
        <v>1280</v>
      </c>
      <c r="JZ25" s="176">
        <v>1280</v>
      </c>
      <c r="KA25" s="176">
        <v>1280</v>
      </c>
      <c r="KB25" s="176">
        <v>1280</v>
      </c>
      <c r="KC25" s="176">
        <v>1250</v>
      </c>
      <c r="KD25" s="176">
        <v>1250</v>
      </c>
      <c r="KE25" s="176">
        <v>1250</v>
      </c>
      <c r="KF25" s="176">
        <v>1250</v>
      </c>
      <c r="KG25" s="176">
        <v>1250</v>
      </c>
      <c r="KH25" s="176">
        <v>1250</v>
      </c>
      <c r="KI25" s="176">
        <v>1250</v>
      </c>
      <c r="KJ25" s="176">
        <v>1250</v>
      </c>
      <c r="KK25" s="176">
        <v>1250</v>
      </c>
      <c r="KL25" s="176">
        <v>1250</v>
      </c>
      <c r="KM25" s="176">
        <v>1250</v>
      </c>
      <c r="KN25" s="176">
        <v>1250</v>
      </c>
      <c r="KO25" s="176">
        <v>1250</v>
      </c>
      <c r="KP25" s="176">
        <v>1184</v>
      </c>
      <c r="KQ25" s="176">
        <v>1184</v>
      </c>
      <c r="KR25" s="176">
        <v>1184</v>
      </c>
      <c r="KS25" s="176">
        <v>1184</v>
      </c>
      <c r="KT25" s="176">
        <v>1184</v>
      </c>
      <c r="KU25" s="176">
        <v>1184</v>
      </c>
      <c r="KV25" s="176">
        <v>1184</v>
      </c>
      <c r="KW25" s="176">
        <v>1184</v>
      </c>
      <c r="KX25" s="176">
        <v>1184</v>
      </c>
      <c r="KY25" s="176">
        <v>1184</v>
      </c>
      <c r="KZ25" s="176">
        <v>1184</v>
      </c>
      <c r="LA25" s="176">
        <v>1184</v>
      </c>
      <c r="LB25" s="176">
        <v>1184</v>
      </c>
      <c r="LC25" s="176">
        <v>1355</v>
      </c>
      <c r="LD25" s="176">
        <v>1355</v>
      </c>
      <c r="LE25" s="176">
        <v>1355</v>
      </c>
      <c r="LF25" s="176">
        <v>1355</v>
      </c>
      <c r="LG25" s="176">
        <v>1355</v>
      </c>
    </row>
    <row r="28" spans="6:319">
      <c r="BY28" s="142"/>
      <c r="BZ28" s="142"/>
      <c r="CA28" s="142"/>
      <c r="CB28" s="142"/>
      <c r="FR28" s="41"/>
    </row>
    <row r="31" spans="6:319">
      <c r="GM31" s="41"/>
    </row>
    <row r="32" spans="6:319">
      <c r="GM32" s="51"/>
    </row>
    <row r="41" spans="6:21"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</row>
    <row r="42" spans="6:21"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</row>
    <row r="43" spans="6:21"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</row>
    <row r="44" spans="6:21"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</row>
    <row r="45" spans="6:21"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</row>
    <row r="46" spans="6:21">
      <c r="F46" s="31"/>
      <c r="G46" s="32"/>
      <c r="H46" s="31"/>
      <c r="I46" s="32"/>
      <c r="J46" s="32"/>
      <c r="K46" s="32"/>
      <c r="L46" s="32"/>
      <c r="M46" s="32"/>
      <c r="N46" s="32"/>
      <c r="O46" s="32"/>
      <c r="P46" s="32"/>
      <c r="Q46" s="31"/>
      <c r="R46" s="32"/>
      <c r="S46" s="32"/>
      <c r="T46" s="32"/>
      <c r="U46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ignoredErrors>
    <ignoredError sqref="V8:Y8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9885-4F9E-4D5D-B903-5F1429A823BC}">
  <sheetPr>
    <tabColor theme="7"/>
  </sheetPr>
  <dimension ref="E48:T79"/>
  <sheetViews>
    <sheetView showGridLines="0" topLeftCell="A16" zoomScale="80" zoomScaleNormal="80" workbookViewId="0">
      <selection activeCell="C36" sqref="C36"/>
    </sheetView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7" max="17" width="16.81640625" customWidth="1"/>
    <col min="18" max="18" width="13.54296875" customWidth="1"/>
  </cols>
  <sheetData>
    <row r="48" spans="17:17">
      <c r="Q48" s="194"/>
    </row>
    <row r="49" spans="15:20">
      <c r="Q49" s="194"/>
    </row>
    <row r="50" spans="15:20" ht="21" customHeight="1">
      <c r="Q50" s="194"/>
    </row>
    <row r="51" spans="15:20" ht="14.9" customHeight="1">
      <c r="O51" s="195"/>
      <c r="Q51" s="194"/>
    </row>
    <row r="52" spans="15:20" ht="14.9" customHeight="1">
      <c r="O52" s="195"/>
      <c r="Q52" s="194"/>
    </row>
    <row r="53" spans="15:20" ht="14.9" customHeight="1">
      <c r="O53" s="195"/>
      <c r="Q53" s="88"/>
    </row>
    <row r="54" spans="15:20" ht="14.9" customHeight="1">
      <c r="O54" s="195"/>
      <c r="Q54" s="88"/>
    </row>
    <row r="55" spans="15:20" ht="14.9" customHeight="1">
      <c r="Q55" s="196"/>
      <c r="T55" s="195"/>
    </row>
    <row r="56" spans="15:20" ht="14.9" customHeight="1">
      <c r="Q56" s="196"/>
      <c r="T56" s="195"/>
    </row>
    <row r="57" spans="15:20" ht="14.9" customHeight="1">
      <c r="T57" s="195"/>
    </row>
    <row r="59" spans="15:20" ht="14.9" customHeight="1">
      <c r="T59" s="195"/>
    </row>
    <row r="60" spans="15:20" ht="24" customHeight="1">
      <c r="T60" s="195"/>
    </row>
    <row r="61" spans="15:20" ht="14.9" customHeight="1">
      <c r="T61" s="195"/>
    </row>
    <row r="62" spans="15:20" ht="14.9" customHeight="1">
      <c r="R62" s="87"/>
    </row>
    <row r="63" spans="15:20" ht="18" customHeight="1"/>
    <row r="64" spans="15:20" ht="18" customHeight="1"/>
    <row r="65" spans="5:17" ht="18" customHeight="1">
      <c r="I65" s="62"/>
    </row>
    <row r="66" spans="5:17" ht="14.9" customHeight="1">
      <c r="Q66" s="76"/>
    </row>
    <row r="67" spans="5:17" ht="14.9" customHeight="1"/>
    <row r="70" spans="5:17" ht="15">
      <c r="I70" s="62"/>
    </row>
    <row r="71" spans="5:17">
      <c r="E71" s="98"/>
      <c r="G71" s="113"/>
    </row>
    <row r="72" spans="5:17">
      <c r="F72" s="76"/>
    </row>
    <row r="79" spans="5:17">
      <c r="M79" s="193"/>
      <c r="N79" s="193"/>
    </row>
  </sheetData>
  <mergeCells count="6">
    <mergeCell ref="M79:N79"/>
    <mergeCell ref="Q48:Q52"/>
    <mergeCell ref="O51:O54"/>
    <mergeCell ref="Q55:Q56"/>
    <mergeCell ref="T55:T57"/>
    <mergeCell ref="T59:T61"/>
  </mergeCells>
  <printOptions horizontalCentered="1"/>
  <pageMargins left="0.196850393700787" right="0.196850393700787" top="0" bottom="0" header="0.31496062992126" footer="0.31496062992126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D3B-E547-4509-AD45-D4308C1365D7}">
  <sheetPr>
    <tabColor theme="7"/>
  </sheetPr>
  <dimension ref="E48:T79"/>
  <sheetViews>
    <sheetView showGridLines="0" topLeftCell="A4" zoomScale="70" zoomScaleNormal="70" workbookViewId="0">
      <selection activeCell="Q16" sqref="Q16"/>
    </sheetView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7" max="17" width="16.81640625" customWidth="1"/>
    <col min="18" max="18" width="13.54296875" customWidth="1"/>
  </cols>
  <sheetData>
    <row r="48" spans="17:17">
      <c r="Q48" s="194"/>
    </row>
    <row r="49" spans="15:20">
      <c r="Q49" s="194"/>
    </row>
    <row r="50" spans="15:20" ht="21" customHeight="1">
      <c r="Q50" s="194"/>
    </row>
    <row r="51" spans="15:20" ht="14.9" customHeight="1">
      <c r="O51" s="195"/>
      <c r="Q51" s="194"/>
    </row>
    <row r="52" spans="15:20" ht="14.9" customHeight="1">
      <c r="O52" s="195"/>
      <c r="Q52" s="194"/>
    </row>
    <row r="53" spans="15:20" ht="14.9" customHeight="1">
      <c r="O53" s="195"/>
      <c r="Q53" s="88"/>
    </row>
    <row r="54" spans="15:20" ht="14.9" customHeight="1">
      <c r="O54" s="195"/>
      <c r="Q54" s="88"/>
    </row>
    <row r="55" spans="15:20" ht="14.9" customHeight="1">
      <c r="Q55" s="196"/>
      <c r="T55" s="195"/>
    </row>
    <row r="56" spans="15:20" ht="14.9" customHeight="1">
      <c r="Q56" s="196"/>
      <c r="T56" s="195"/>
    </row>
    <row r="57" spans="15:20" ht="14.9" customHeight="1">
      <c r="T57" s="195"/>
    </row>
    <row r="59" spans="15:20" ht="14.9" customHeight="1">
      <c r="T59" s="195"/>
    </row>
    <row r="60" spans="15:20" ht="24" customHeight="1">
      <c r="T60" s="195"/>
    </row>
    <row r="61" spans="15:20" ht="14.9" customHeight="1">
      <c r="T61" s="195"/>
    </row>
    <row r="62" spans="15:20" ht="14.9" customHeight="1">
      <c r="R62" s="87"/>
    </row>
    <row r="63" spans="15:20" ht="18" customHeight="1"/>
    <row r="64" spans="15:20" ht="18" customHeight="1"/>
    <row r="65" spans="5:17" ht="18" customHeight="1">
      <c r="I65" s="62"/>
    </row>
    <row r="66" spans="5:17" ht="14.9" customHeight="1"/>
    <row r="67" spans="5:17" ht="14.9" customHeight="1">
      <c r="Q67" s="76"/>
    </row>
    <row r="70" spans="5:17" ht="15">
      <c r="I70" s="62"/>
    </row>
    <row r="71" spans="5:17">
      <c r="E71" s="98"/>
      <c r="G71" s="113"/>
    </row>
    <row r="72" spans="5:17">
      <c r="F72" s="76"/>
    </row>
    <row r="79" spans="5:17">
      <c r="M79" s="193"/>
      <c r="N79" s="193"/>
    </row>
  </sheetData>
  <mergeCells count="6">
    <mergeCell ref="M79:N79"/>
    <mergeCell ref="Q48:Q52"/>
    <mergeCell ref="O51:O54"/>
    <mergeCell ref="Q55:Q56"/>
    <mergeCell ref="T55:T57"/>
    <mergeCell ref="T59:T61"/>
  </mergeCells>
  <printOptions horizontalCentered="1"/>
  <pageMargins left="0.196850393700787" right="0.196850393700787" top="0" bottom="0" header="0.31496062992126" footer="0.31496062992126"/>
  <pageSetup paperSize="9" scale="8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A03C-74EB-4E2F-AEA5-6692C88F91C8}">
  <dimension ref="A1:GN32"/>
  <sheetViews>
    <sheetView showGridLines="0" topLeftCell="D3" zoomScale="90" zoomScaleNormal="90" workbookViewId="0">
      <pane xSplit="3" ySplit="3" topLeftCell="FJ6" activePane="bottomRight" state="frozen"/>
      <selection activeCell="CA16" sqref="CA16"/>
      <selection pane="topRight" activeCell="CA16" sqref="CA16"/>
      <selection pane="bottomLeft" activeCell="CA16" sqref="CA16"/>
      <selection pane="bottomRight" activeCell="GK3" sqref="GK1:GK1048576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customWidth="1"/>
    <col min="5" max="5" width="33.1796875" style="1" hidden="1" customWidth="1"/>
    <col min="6" max="6" width="42.81640625" style="1" hidden="1" customWidth="1"/>
    <col min="7" max="7" width="10.54296875" style="1" hidden="1" customWidth="1"/>
    <col min="8" max="8" width="28.1796875" style="1" bestFit="1" customWidth="1"/>
    <col min="9" max="9" width="10.81640625" style="3" hidden="1" customWidth="1"/>
    <col min="10" max="13" width="10.1796875" style="3" hidden="1" customWidth="1"/>
    <col min="14" max="24" width="9.54296875" style="3" hidden="1" customWidth="1"/>
    <col min="25" max="25" width="9.54296875" style="3" customWidth="1"/>
    <col min="26" max="43" width="7.81640625" style="3" customWidth="1"/>
    <col min="44" max="45" width="9.1796875" style="1"/>
    <col min="46" max="46" width="0" style="1" hidden="1" customWidth="1"/>
    <col min="47" max="47" width="18.81640625" style="1" customWidth="1"/>
    <col min="48" max="64" width="9.1796875" style="1" hidden="1" customWidth="1"/>
    <col min="65" max="165" width="7.81640625" style="1" hidden="1" customWidth="1"/>
    <col min="166" max="170" width="7.81640625" style="1" customWidth="1"/>
    <col min="171" max="177" width="9.1796875" style="1"/>
    <col min="178" max="182" width="8.81640625" style="1" customWidth="1"/>
    <col min="183" max="196" width="8.36328125" style="1" customWidth="1"/>
    <col min="197" max="16384" width="9.1796875" style="1"/>
  </cols>
  <sheetData>
    <row r="1" spans="1:196" hidden="1"/>
    <row r="2" spans="1:196" hidden="1"/>
    <row r="3" spans="1:196" ht="19.399999999999999" customHeight="1">
      <c r="D3" s="15" t="s">
        <v>58</v>
      </c>
      <c r="F3" s="15" t="s">
        <v>58</v>
      </c>
      <c r="H3" s="15"/>
      <c r="AV3" s="170">
        <v>2023</v>
      </c>
      <c r="BM3" s="170">
        <v>2024</v>
      </c>
    </row>
    <row r="4" spans="1:196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154">
        <v>24000</v>
      </c>
      <c r="J4" s="154">
        <v>24000</v>
      </c>
      <c r="K4" s="154">
        <v>24000</v>
      </c>
      <c r="L4" s="154">
        <v>24000</v>
      </c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V4" s="74">
        <v>24000</v>
      </c>
      <c r="AW4" s="74">
        <v>24000</v>
      </c>
      <c r="AX4" s="74">
        <v>24000</v>
      </c>
      <c r="AY4" s="74">
        <v>24000</v>
      </c>
      <c r="AZ4" s="74">
        <v>24000</v>
      </c>
      <c r="BA4" s="74">
        <v>24000</v>
      </c>
      <c r="BB4" s="74">
        <v>24000</v>
      </c>
      <c r="BC4" s="74">
        <v>24000</v>
      </c>
      <c r="BD4" s="74">
        <v>24000</v>
      </c>
      <c r="BE4" s="74">
        <v>24000</v>
      </c>
      <c r="BF4" s="74">
        <v>24000</v>
      </c>
      <c r="BG4" s="74">
        <v>24000</v>
      </c>
      <c r="BH4" s="74">
        <v>24000</v>
      </c>
      <c r="BI4" s="74">
        <v>24000</v>
      </c>
      <c r="BJ4" s="74">
        <v>24000</v>
      </c>
      <c r="BK4" s="74">
        <v>24000</v>
      </c>
      <c r="BL4" s="74">
        <v>24000</v>
      </c>
      <c r="BM4" s="74">
        <v>24000</v>
      </c>
      <c r="BN4" s="74">
        <v>24000</v>
      </c>
      <c r="BO4" s="74">
        <v>24000</v>
      </c>
      <c r="BP4" s="74">
        <v>24000</v>
      </c>
      <c r="BQ4" s="74"/>
      <c r="BR4" s="74"/>
      <c r="BS4" s="74"/>
      <c r="BT4" s="74"/>
      <c r="BU4" s="74"/>
      <c r="BV4" s="74"/>
      <c r="BW4" s="74"/>
      <c r="DK4" s="178">
        <v>2025</v>
      </c>
      <c r="FJ4" s="178">
        <v>2026</v>
      </c>
    </row>
    <row r="5" spans="1:196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90">
        <v>9</v>
      </c>
      <c r="J5" s="90">
        <v>10</v>
      </c>
      <c r="K5" s="101">
        <v>11</v>
      </c>
      <c r="L5" s="101">
        <v>12</v>
      </c>
      <c r="M5" s="101" t="s">
        <v>122</v>
      </c>
      <c r="N5" s="101">
        <v>2</v>
      </c>
      <c r="O5" s="101">
        <v>3</v>
      </c>
      <c r="P5" s="101">
        <v>4</v>
      </c>
      <c r="Q5" s="101">
        <v>5</v>
      </c>
      <c r="R5" s="101">
        <v>6</v>
      </c>
      <c r="S5" s="101">
        <v>7</v>
      </c>
      <c r="T5" s="101">
        <v>8</v>
      </c>
      <c r="U5" s="101">
        <v>9</v>
      </c>
      <c r="V5" s="101">
        <v>10</v>
      </c>
      <c r="W5" s="101">
        <v>11</v>
      </c>
      <c r="X5" s="101">
        <v>12</v>
      </c>
      <c r="Y5" s="101" t="s">
        <v>169</v>
      </c>
      <c r="Z5" s="101">
        <v>2</v>
      </c>
      <c r="AA5" s="101">
        <v>3</v>
      </c>
      <c r="AB5" s="101">
        <v>4</v>
      </c>
      <c r="AC5" s="101">
        <v>5</v>
      </c>
      <c r="AD5" s="101">
        <v>6</v>
      </c>
      <c r="AE5" s="101">
        <v>7</v>
      </c>
      <c r="AF5" s="101">
        <v>8</v>
      </c>
      <c r="AG5" s="101">
        <v>9</v>
      </c>
      <c r="AH5" s="101">
        <v>10</v>
      </c>
      <c r="AI5" s="101">
        <v>11</v>
      </c>
      <c r="AJ5" s="101">
        <v>12</v>
      </c>
      <c r="AK5" s="101" t="s">
        <v>193</v>
      </c>
      <c r="AL5" s="101">
        <v>2</v>
      </c>
      <c r="AM5" s="101">
        <v>3</v>
      </c>
      <c r="AN5" s="101">
        <v>4</v>
      </c>
      <c r="AO5" s="101">
        <v>5</v>
      </c>
      <c r="AP5" s="101">
        <v>6</v>
      </c>
      <c r="AQ5" s="101">
        <v>7</v>
      </c>
      <c r="AS5" s="34" t="s">
        <v>5</v>
      </c>
      <c r="AT5" s="33" t="s">
        <v>6</v>
      </c>
      <c r="AU5" s="33" t="s">
        <v>2</v>
      </c>
      <c r="AV5" s="101">
        <v>36</v>
      </c>
      <c r="AW5" s="101">
        <v>37</v>
      </c>
      <c r="AX5" s="101">
        <v>38</v>
      </c>
      <c r="AY5" s="101">
        <v>39</v>
      </c>
      <c r="AZ5" s="101">
        <v>40</v>
      </c>
      <c r="BA5" s="101">
        <v>41</v>
      </c>
      <c r="BB5" s="101">
        <v>42</v>
      </c>
      <c r="BC5" s="101">
        <v>43</v>
      </c>
      <c r="BD5" s="101">
        <v>44</v>
      </c>
      <c r="BE5" s="101">
        <v>45</v>
      </c>
      <c r="BF5" s="101">
        <v>46</v>
      </c>
      <c r="BG5" s="101">
        <v>47</v>
      </c>
      <c r="BH5" s="101">
        <v>48</v>
      </c>
      <c r="BI5" s="101">
        <v>49</v>
      </c>
      <c r="BJ5" s="101">
        <v>50</v>
      </c>
      <c r="BK5" s="101">
        <v>51</v>
      </c>
      <c r="BL5" s="101">
        <v>52</v>
      </c>
      <c r="BM5" s="101" t="s">
        <v>117</v>
      </c>
      <c r="BN5" s="90" t="s">
        <v>123</v>
      </c>
      <c r="BO5" s="90" t="s">
        <v>124</v>
      </c>
      <c r="BP5" s="90" t="s">
        <v>125</v>
      </c>
      <c r="BQ5" s="90" t="s">
        <v>126</v>
      </c>
      <c r="BR5" s="90" t="s">
        <v>142</v>
      </c>
      <c r="BS5" s="90" t="s">
        <v>143</v>
      </c>
      <c r="BT5" s="90" t="s">
        <v>144</v>
      </c>
      <c r="BU5" s="90" t="s">
        <v>145</v>
      </c>
      <c r="BV5" s="90" t="s">
        <v>146</v>
      </c>
      <c r="BW5" s="90">
        <v>13</v>
      </c>
      <c r="BX5" s="90">
        <v>14</v>
      </c>
      <c r="BY5" s="90">
        <v>15</v>
      </c>
      <c r="BZ5" s="90">
        <v>16</v>
      </c>
      <c r="CA5" s="90">
        <v>17</v>
      </c>
      <c r="CB5" s="90">
        <v>18</v>
      </c>
      <c r="CC5" s="90">
        <v>19</v>
      </c>
      <c r="CD5" s="90">
        <v>20</v>
      </c>
      <c r="CE5" s="90">
        <v>21</v>
      </c>
      <c r="CF5" s="90">
        <v>22</v>
      </c>
      <c r="CG5" s="90">
        <v>23</v>
      </c>
      <c r="CH5" s="90">
        <v>24</v>
      </c>
      <c r="CI5" s="90">
        <v>25</v>
      </c>
      <c r="CJ5" s="90">
        <v>26</v>
      </c>
      <c r="CK5" s="90">
        <v>27</v>
      </c>
      <c r="CL5" s="90">
        <v>28</v>
      </c>
      <c r="CM5" s="90">
        <v>29</v>
      </c>
      <c r="CN5" s="90">
        <v>30</v>
      </c>
      <c r="CO5" s="90">
        <v>31</v>
      </c>
      <c r="CP5" s="90">
        <v>32</v>
      </c>
      <c r="CQ5" s="90">
        <v>33</v>
      </c>
      <c r="CR5" s="90">
        <v>34</v>
      </c>
      <c r="CS5" s="90">
        <v>35</v>
      </c>
      <c r="CT5" s="90">
        <v>36</v>
      </c>
      <c r="CU5" s="90">
        <v>37</v>
      </c>
      <c r="CV5" s="90">
        <v>38</v>
      </c>
      <c r="CW5" s="90">
        <v>39</v>
      </c>
      <c r="CX5" s="90">
        <v>40</v>
      </c>
      <c r="CY5" s="90">
        <v>41</v>
      </c>
      <c r="CZ5" s="90">
        <v>42</v>
      </c>
      <c r="DA5" s="90">
        <v>43</v>
      </c>
      <c r="DB5" s="90">
        <v>44</v>
      </c>
      <c r="DC5" s="90">
        <v>45</v>
      </c>
      <c r="DD5" s="90">
        <v>46</v>
      </c>
      <c r="DE5" s="90">
        <v>47</v>
      </c>
      <c r="DF5" s="90">
        <v>48</v>
      </c>
      <c r="DG5" s="90">
        <v>49</v>
      </c>
      <c r="DH5" s="90">
        <v>50</v>
      </c>
      <c r="DI5" s="90">
        <v>51</v>
      </c>
      <c r="DJ5" s="90">
        <v>52</v>
      </c>
      <c r="DK5" s="90" t="s">
        <v>121</v>
      </c>
      <c r="DL5" s="90" t="s">
        <v>123</v>
      </c>
      <c r="DM5" s="90" t="s">
        <v>124</v>
      </c>
      <c r="DN5" s="90" t="s">
        <v>125</v>
      </c>
      <c r="DO5" s="90" t="s">
        <v>170</v>
      </c>
      <c r="DP5" s="90" t="s">
        <v>172</v>
      </c>
      <c r="DQ5" s="90" t="s">
        <v>142</v>
      </c>
      <c r="DR5" s="90" t="s">
        <v>143</v>
      </c>
      <c r="DS5" s="90" t="s">
        <v>144</v>
      </c>
      <c r="DT5" s="90" t="s">
        <v>145</v>
      </c>
      <c r="DU5" s="90" t="s">
        <v>146</v>
      </c>
      <c r="DV5" s="90" t="s">
        <v>147</v>
      </c>
      <c r="DW5" s="90" t="s">
        <v>148</v>
      </c>
      <c r="DX5" s="90" t="s">
        <v>149</v>
      </c>
      <c r="DY5" s="90" t="s">
        <v>150</v>
      </c>
      <c r="DZ5" s="90" t="s">
        <v>151</v>
      </c>
      <c r="EA5" s="90" t="s">
        <v>152</v>
      </c>
      <c r="EB5" s="90" t="s">
        <v>153</v>
      </c>
      <c r="EC5" s="90" t="s">
        <v>154</v>
      </c>
      <c r="ED5" s="90" t="s">
        <v>155</v>
      </c>
      <c r="EE5" s="90" t="s">
        <v>157</v>
      </c>
      <c r="EF5" s="90" t="s">
        <v>158</v>
      </c>
      <c r="EG5" s="90" t="s">
        <v>159</v>
      </c>
      <c r="EH5" s="90" t="s">
        <v>160</v>
      </c>
      <c r="EI5" s="90" t="s">
        <v>161</v>
      </c>
      <c r="EJ5" s="90" t="s">
        <v>162</v>
      </c>
      <c r="EK5" s="90" t="s">
        <v>163</v>
      </c>
      <c r="EL5" s="90" t="s">
        <v>164</v>
      </c>
      <c r="EM5" s="90" t="s">
        <v>165</v>
      </c>
      <c r="EN5" s="90" t="s">
        <v>166</v>
      </c>
      <c r="EO5" s="90" t="s">
        <v>167</v>
      </c>
      <c r="EP5" s="90" t="s">
        <v>168</v>
      </c>
      <c r="EQ5" s="90" t="s">
        <v>174</v>
      </c>
      <c r="ER5" s="90" t="s">
        <v>175</v>
      </c>
      <c r="ES5" s="90" t="s">
        <v>176</v>
      </c>
      <c r="ET5" s="90" t="s">
        <v>177</v>
      </c>
      <c r="EU5" s="90" t="s">
        <v>178</v>
      </c>
      <c r="EV5" s="90" t="s">
        <v>179</v>
      </c>
      <c r="EW5" s="90" t="s">
        <v>180</v>
      </c>
      <c r="EX5" s="90" t="s">
        <v>181</v>
      </c>
      <c r="EY5" s="90" t="s">
        <v>182</v>
      </c>
      <c r="EZ5" s="90" t="s">
        <v>183</v>
      </c>
      <c r="FA5" s="90" t="s">
        <v>184</v>
      </c>
      <c r="FB5" s="90" t="s">
        <v>185</v>
      </c>
      <c r="FC5" s="90" t="s">
        <v>186</v>
      </c>
      <c r="FD5" s="90" t="s">
        <v>187</v>
      </c>
      <c r="FE5" s="90" t="s">
        <v>188</v>
      </c>
      <c r="FF5" s="90" t="s">
        <v>189</v>
      </c>
      <c r="FG5" s="90" t="s">
        <v>190</v>
      </c>
      <c r="FH5" s="90" t="s">
        <v>191</v>
      </c>
      <c r="FI5" s="90" t="s">
        <v>192</v>
      </c>
      <c r="FJ5" s="90" t="s">
        <v>121</v>
      </c>
      <c r="FK5" s="90" t="s">
        <v>123</v>
      </c>
      <c r="FL5" s="90" t="s">
        <v>124</v>
      </c>
      <c r="FM5" s="90" t="s">
        <v>125</v>
      </c>
      <c r="FN5" s="90" t="s">
        <v>126</v>
      </c>
      <c r="FO5" s="90" t="s">
        <v>170</v>
      </c>
      <c r="FP5" s="90" t="s">
        <v>172</v>
      </c>
      <c r="FQ5" s="90" t="s">
        <v>142</v>
      </c>
      <c r="FR5" s="90" t="s">
        <v>143</v>
      </c>
      <c r="FS5" s="90" t="s">
        <v>144</v>
      </c>
      <c r="FT5" s="90" t="s">
        <v>145</v>
      </c>
      <c r="FU5" s="90" t="s">
        <v>146</v>
      </c>
      <c r="FV5" s="90" t="s">
        <v>147</v>
      </c>
      <c r="FW5" s="90" t="s">
        <v>148</v>
      </c>
      <c r="FX5" s="90" t="s">
        <v>149</v>
      </c>
      <c r="FY5" s="90" t="s">
        <v>150</v>
      </c>
      <c r="FZ5" s="90" t="s">
        <v>151</v>
      </c>
      <c r="GA5" s="90" t="s">
        <v>152</v>
      </c>
      <c r="GB5" s="90" t="s">
        <v>153</v>
      </c>
      <c r="GC5" s="90" t="s">
        <v>154</v>
      </c>
      <c r="GD5" s="90" t="s">
        <v>155</v>
      </c>
      <c r="GE5" s="90" t="s">
        <v>157</v>
      </c>
      <c r="GF5" s="90" t="s">
        <v>158</v>
      </c>
      <c r="GG5" s="90" t="s">
        <v>159</v>
      </c>
      <c r="GH5" s="90" t="s">
        <v>160</v>
      </c>
      <c r="GI5" s="90" t="s">
        <v>161</v>
      </c>
      <c r="GJ5" s="90" t="s">
        <v>162</v>
      </c>
      <c r="GK5" s="90" t="s">
        <v>163</v>
      </c>
      <c r="GL5" s="90" t="s">
        <v>164</v>
      </c>
      <c r="GM5" s="90" t="s">
        <v>165</v>
      </c>
      <c r="GN5" s="90" t="s">
        <v>166</v>
      </c>
    </row>
    <row r="6" spans="1:196" ht="14">
      <c r="A6" s="9"/>
      <c r="B6" s="11"/>
      <c r="C6" s="11"/>
      <c r="D6" s="9"/>
      <c r="E6" s="11"/>
      <c r="F6" s="11"/>
      <c r="G6" s="9"/>
      <c r="H6" s="11" t="s">
        <v>136</v>
      </c>
      <c r="I6" s="155"/>
      <c r="J6" s="155">
        <f>'Ma trận PET'!AU6</f>
        <v>1250</v>
      </c>
      <c r="K6" s="155">
        <f>'Ma trận PET'!AV6</f>
        <v>1250</v>
      </c>
      <c r="L6" s="155">
        <f>'Ma trận PET'!AW6</f>
        <v>1250</v>
      </c>
      <c r="M6" s="155">
        <f>'Ma trận PET'!AX6</f>
        <v>1250</v>
      </c>
      <c r="N6" s="155">
        <f>'Ma trận PET'!AY6</f>
        <v>1250</v>
      </c>
      <c r="O6" s="155">
        <f>'Ma trận PET'!AZ6</f>
        <v>1250</v>
      </c>
      <c r="P6" s="155">
        <f>'Ma trận PET'!BA6</f>
        <v>1250</v>
      </c>
      <c r="Q6" s="155">
        <f>'Ma trận PET'!BB6</f>
        <v>1300</v>
      </c>
      <c r="R6" s="155">
        <f>'Ma trận PET'!BC6</f>
        <v>1300</v>
      </c>
      <c r="S6" s="155">
        <f>'Ma trận PET'!BD6</f>
        <v>1300</v>
      </c>
      <c r="T6" s="155">
        <f>'Ma trận PET'!BE6</f>
        <v>1300</v>
      </c>
      <c r="U6" s="155">
        <f>'Ma trận PET'!BF6</f>
        <v>1310</v>
      </c>
      <c r="V6" s="155">
        <f>U6+15</f>
        <v>1325</v>
      </c>
      <c r="W6" s="155">
        <f>V6</f>
        <v>1325</v>
      </c>
      <c r="X6" s="155">
        <f>W6-50</f>
        <v>1275</v>
      </c>
      <c r="Y6" s="155">
        <f>X6-45</f>
        <v>1230</v>
      </c>
      <c r="Z6" s="155">
        <f>Y6</f>
        <v>1230</v>
      </c>
      <c r="AA6" s="155">
        <f>Z6</f>
        <v>1230</v>
      </c>
      <c r="AB6" s="155">
        <f>AA6+20</f>
        <v>1250</v>
      </c>
      <c r="AC6" s="155">
        <f>AB6</f>
        <v>1250</v>
      </c>
      <c r="AD6" s="155">
        <f>AC6</f>
        <v>1250</v>
      </c>
      <c r="AE6" s="155">
        <f>AD6</f>
        <v>1250</v>
      </c>
      <c r="AF6" s="155">
        <f>AE6-20-10</f>
        <v>1220</v>
      </c>
      <c r="AG6" s="155">
        <f>AF6</f>
        <v>1220</v>
      </c>
      <c r="AH6" s="155">
        <v>1210</v>
      </c>
      <c r="AI6" s="155">
        <v>1200</v>
      </c>
      <c r="AJ6" s="155">
        <v>1200</v>
      </c>
      <c r="AK6" s="155">
        <v>1160</v>
      </c>
      <c r="AL6" s="155">
        <v>1160</v>
      </c>
      <c r="AM6" s="155">
        <v>1160</v>
      </c>
      <c r="AN6" s="155">
        <v>1280</v>
      </c>
      <c r="AO6" s="155">
        <v>1380</v>
      </c>
      <c r="AP6" s="155">
        <v>1350</v>
      </c>
      <c r="AQ6" s="155">
        <v>1350</v>
      </c>
      <c r="AS6" s="9"/>
      <c r="AT6" s="11"/>
      <c r="AU6" s="1" t="s">
        <v>136</v>
      </c>
      <c r="AV6" s="50">
        <f>'Ma trận PET'!FO6</f>
        <v>1250</v>
      </c>
      <c r="AW6" s="50">
        <f>'Ma trận PET'!FP6</f>
        <v>1250</v>
      </c>
      <c r="AX6" s="50">
        <f>'Ma trận PET'!FQ6</f>
        <v>1250</v>
      </c>
      <c r="AY6" s="50">
        <f>'Ma trận PET'!FR6</f>
        <v>1250</v>
      </c>
      <c r="AZ6" s="50">
        <f>'Ma trận PET'!FS6</f>
        <v>1250</v>
      </c>
      <c r="BA6" s="50">
        <f>'Ma trận PET'!FT6</f>
        <v>1250</v>
      </c>
      <c r="BB6" s="50">
        <f>'Ma trận PET'!FU6</f>
        <v>1250</v>
      </c>
      <c r="BC6" s="50">
        <f>'Ma trận PET'!FV6</f>
        <v>1250</v>
      </c>
      <c r="BD6" s="50">
        <f>'Ma trận PET'!FW6</f>
        <v>1250</v>
      </c>
      <c r="BE6" s="50">
        <f>'Ma trận PET'!FX6</f>
        <v>1250</v>
      </c>
      <c r="BF6" s="50">
        <f>'Ma trận PET'!FY6</f>
        <v>1250</v>
      </c>
      <c r="BG6" s="50">
        <f>'Ma trận PET'!FZ6</f>
        <v>1250</v>
      </c>
      <c r="BH6" s="50">
        <f>'Ma trận PET'!GA6</f>
        <v>1250</v>
      </c>
      <c r="BI6" s="50">
        <f>'Ma trận PET'!GB6</f>
        <v>1250</v>
      </c>
      <c r="BJ6" s="50">
        <f>'Ma trận PET'!GC6</f>
        <v>1250</v>
      </c>
      <c r="BK6" s="50">
        <f>'Ma trận PET'!GD6</f>
        <v>1250</v>
      </c>
      <c r="BL6" s="50">
        <f>'Ma trận PET'!GE6</f>
        <v>1250</v>
      </c>
      <c r="BM6" s="50">
        <f>'Ma trận PET'!GF6</f>
        <v>1250</v>
      </c>
      <c r="BN6" s="50">
        <f>'Ma trận PET'!GG6</f>
        <v>1250</v>
      </c>
      <c r="BO6" s="50">
        <f>'Ma trận PET'!GH6</f>
        <v>1250</v>
      </c>
      <c r="BP6" s="50">
        <f>'Ma trận PET'!GI6</f>
        <v>1250</v>
      </c>
      <c r="BQ6" s="50">
        <f>'Ma trận PET'!GJ6</f>
        <v>1250</v>
      </c>
      <c r="BR6" s="50">
        <v>1250</v>
      </c>
      <c r="BS6" s="50">
        <v>1250</v>
      </c>
      <c r="BT6" s="50">
        <v>1250</v>
      </c>
      <c r="BU6" s="50">
        <v>1250</v>
      </c>
      <c r="BV6" s="50">
        <v>1250</v>
      </c>
      <c r="BW6" s="50">
        <v>1250</v>
      </c>
      <c r="BX6" s="50">
        <v>1250</v>
      </c>
      <c r="BY6" s="50">
        <v>1250</v>
      </c>
      <c r="BZ6" s="50">
        <v>1250</v>
      </c>
      <c r="CA6" s="50">
        <v>1250</v>
      </c>
      <c r="CB6" s="50">
        <v>1300</v>
      </c>
      <c r="CC6" s="50">
        <v>1300</v>
      </c>
      <c r="CD6" s="50">
        <v>1300</v>
      </c>
      <c r="CE6" s="50">
        <v>1300</v>
      </c>
      <c r="CF6" s="50">
        <v>1300</v>
      </c>
      <c r="CG6" s="50">
        <v>1300</v>
      </c>
      <c r="CH6" s="50">
        <v>1300</v>
      </c>
      <c r="CI6" s="50">
        <v>1300</v>
      </c>
      <c r="CJ6" s="50">
        <v>1300</v>
      </c>
      <c r="CK6" s="50">
        <v>1300</v>
      </c>
      <c r="CL6" s="50">
        <v>1300</v>
      </c>
      <c r="CM6" s="50">
        <v>1300</v>
      </c>
      <c r="CN6" s="50">
        <v>1300</v>
      </c>
      <c r="CO6" s="50">
        <v>1300</v>
      </c>
      <c r="CP6" s="50">
        <v>1300</v>
      </c>
      <c r="CQ6" s="50">
        <v>1300</v>
      </c>
      <c r="CR6" s="50">
        <v>1300</v>
      </c>
      <c r="CS6" s="50">
        <v>1300</v>
      </c>
      <c r="CT6" s="50">
        <v>1310</v>
      </c>
      <c r="CU6" s="50">
        <v>1310</v>
      </c>
      <c r="CV6" s="50">
        <v>1310</v>
      </c>
      <c r="CW6" s="50">
        <v>1310</v>
      </c>
      <c r="CX6" s="50">
        <v>1325</v>
      </c>
      <c r="CY6" s="50">
        <v>1325</v>
      </c>
      <c r="CZ6" s="50">
        <v>1325</v>
      </c>
      <c r="DA6" s="50">
        <v>1325</v>
      </c>
      <c r="DB6" s="50">
        <v>1325</v>
      </c>
      <c r="DC6" s="50">
        <v>1325</v>
      </c>
      <c r="DD6" s="50">
        <v>1325</v>
      </c>
      <c r="DE6" s="50">
        <v>1325</v>
      </c>
      <c r="DF6" s="50">
        <v>1325</v>
      </c>
      <c r="DG6" s="50">
        <f>1325-50</f>
        <v>1275</v>
      </c>
      <c r="DH6" s="50">
        <f t="shared" ref="DH6:DJ6" si="0">1325-50</f>
        <v>1275</v>
      </c>
      <c r="DI6" s="50">
        <f t="shared" si="0"/>
        <v>1275</v>
      </c>
      <c r="DJ6" s="50">
        <f t="shared" si="0"/>
        <v>1275</v>
      </c>
      <c r="DK6" s="50">
        <f>1325-50-45</f>
        <v>1230</v>
      </c>
      <c r="DL6" s="50">
        <f t="shared" ref="DL6:DV6" si="1">1325-50-45</f>
        <v>1230</v>
      </c>
      <c r="DM6" s="50">
        <f t="shared" si="1"/>
        <v>1230</v>
      </c>
      <c r="DN6" s="50">
        <f t="shared" si="1"/>
        <v>1230</v>
      </c>
      <c r="DO6" s="50">
        <f t="shared" si="1"/>
        <v>1230</v>
      </c>
      <c r="DP6" s="50">
        <f t="shared" si="1"/>
        <v>1230</v>
      </c>
      <c r="DQ6" s="50">
        <f t="shared" si="1"/>
        <v>1230</v>
      </c>
      <c r="DR6" s="50">
        <f t="shared" si="1"/>
        <v>1230</v>
      </c>
      <c r="DS6" s="50">
        <f t="shared" si="1"/>
        <v>1230</v>
      </c>
      <c r="DT6" s="50">
        <f t="shared" si="1"/>
        <v>1230</v>
      </c>
      <c r="DU6" s="50">
        <f t="shared" si="1"/>
        <v>1230</v>
      </c>
      <c r="DV6" s="50">
        <f t="shared" si="1"/>
        <v>1230</v>
      </c>
      <c r="DW6" s="50">
        <f>1325-50-45+20</f>
        <v>1250</v>
      </c>
      <c r="DX6" s="50">
        <f t="shared" ref="DX6:EN6" si="2">1325-50-45+20</f>
        <v>1250</v>
      </c>
      <c r="DY6" s="50">
        <f t="shared" si="2"/>
        <v>1250</v>
      </c>
      <c r="DZ6" s="50">
        <f t="shared" si="2"/>
        <v>1250</v>
      </c>
      <c r="EA6" s="50">
        <f t="shared" si="2"/>
        <v>1250</v>
      </c>
      <c r="EB6" s="50">
        <f t="shared" si="2"/>
        <v>1250</v>
      </c>
      <c r="EC6" s="50">
        <f t="shared" si="2"/>
        <v>1250</v>
      </c>
      <c r="ED6" s="50">
        <f t="shared" si="2"/>
        <v>1250</v>
      </c>
      <c r="EE6" s="50">
        <f t="shared" si="2"/>
        <v>1250</v>
      </c>
      <c r="EF6" s="50">
        <f t="shared" si="2"/>
        <v>1250</v>
      </c>
      <c r="EG6" s="50">
        <f t="shared" si="2"/>
        <v>1250</v>
      </c>
      <c r="EH6" s="50">
        <f t="shared" si="2"/>
        <v>1250</v>
      </c>
      <c r="EI6" s="50">
        <f t="shared" si="2"/>
        <v>1250</v>
      </c>
      <c r="EJ6" s="50">
        <f t="shared" si="2"/>
        <v>1250</v>
      </c>
      <c r="EK6" s="50">
        <f t="shared" si="2"/>
        <v>1250</v>
      </c>
      <c r="EL6" s="50">
        <f t="shared" si="2"/>
        <v>1250</v>
      </c>
      <c r="EM6" s="50">
        <f t="shared" si="2"/>
        <v>1250</v>
      </c>
      <c r="EN6" s="50">
        <f t="shared" si="2"/>
        <v>1250</v>
      </c>
      <c r="EO6" s="50">
        <f>1325-50-45+20-20-10</f>
        <v>1220</v>
      </c>
      <c r="EP6" s="50">
        <f t="shared" ref="EP6:EV6" si="3">1325-50-45+20-20-10</f>
        <v>1220</v>
      </c>
      <c r="EQ6" s="50">
        <f t="shared" si="3"/>
        <v>1220</v>
      </c>
      <c r="ER6" s="50">
        <f t="shared" si="3"/>
        <v>1220</v>
      </c>
      <c r="ES6" s="50">
        <f t="shared" si="3"/>
        <v>1220</v>
      </c>
      <c r="ET6" s="50">
        <f t="shared" si="3"/>
        <v>1220</v>
      </c>
      <c r="EU6" s="50">
        <f t="shared" si="3"/>
        <v>1220</v>
      </c>
      <c r="EV6" s="50">
        <f t="shared" si="3"/>
        <v>1220</v>
      </c>
      <c r="EW6" s="50">
        <f>1325-50-45+20-20-10-10</f>
        <v>1210</v>
      </c>
      <c r="EX6" s="50">
        <f t="shared" ref="EX6:FA6" si="4">1325-50-45+20-20-10-10</f>
        <v>1210</v>
      </c>
      <c r="EY6" s="50">
        <f t="shared" si="4"/>
        <v>1210</v>
      </c>
      <c r="EZ6" s="50">
        <f t="shared" si="4"/>
        <v>1210</v>
      </c>
      <c r="FA6" s="50">
        <f t="shared" si="4"/>
        <v>1210</v>
      </c>
      <c r="FB6" s="50">
        <f>1325-50-45+20-20-10-10-10</f>
        <v>1200</v>
      </c>
      <c r="FC6" s="50">
        <f t="shared" ref="FC6:FI6" si="5">1325-50-45+20-20-10-10-10</f>
        <v>1200</v>
      </c>
      <c r="FD6" s="50">
        <f t="shared" si="5"/>
        <v>1200</v>
      </c>
      <c r="FE6" s="50">
        <f t="shared" si="5"/>
        <v>1200</v>
      </c>
      <c r="FF6" s="50">
        <f t="shared" si="5"/>
        <v>1200</v>
      </c>
      <c r="FG6" s="50">
        <f t="shared" si="5"/>
        <v>1200</v>
      </c>
      <c r="FH6" s="50">
        <f t="shared" si="5"/>
        <v>1200</v>
      </c>
      <c r="FI6" s="50">
        <f t="shared" si="5"/>
        <v>1200</v>
      </c>
      <c r="FJ6" s="50">
        <f>1325-50-45+20-20-10-10-10-40</f>
        <v>1160</v>
      </c>
      <c r="FK6" s="50">
        <f t="shared" ref="FK6:FT6" si="6">1325-50-45+20-20-10-10-10-40</f>
        <v>1160</v>
      </c>
      <c r="FL6" s="50">
        <f t="shared" si="6"/>
        <v>1160</v>
      </c>
      <c r="FM6" s="50">
        <f t="shared" si="6"/>
        <v>1160</v>
      </c>
      <c r="FN6" s="50">
        <f t="shared" si="6"/>
        <v>1160</v>
      </c>
      <c r="FO6" s="50">
        <f t="shared" si="6"/>
        <v>1160</v>
      </c>
      <c r="FP6" s="50">
        <f t="shared" si="6"/>
        <v>1160</v>
      </c>
      <c r="FQ6" s="50">
        <f t="shared" si="6"/>
        <v>1160</v>
      </c>
      <c r="FR6" s="50">
        <f t="shared" si="6"/>
        <v>1160</v>
      </c>
      <c r="FS6" s="50">
        <f t="shared" si="6"/>
        <v>1160</v>
      </c>
      <c r="FT6" s="50">
        <f t="shared" si="6"/>
        <v>1160</v>
      </c>
      <c r="FU6" s="50">
        <f>1325-50-45+20-20-10-10-10-40+50</f>
        <v>1210</v>
      </c>
      <c r="FV6" s="50">
        <v>1280</v>
      </c>
      <c r="FW6" s="50">
        <v>1280</v>
      </c>
      <c r="FX6" s="50">
        <v>1280</v>
      </c>
      <c r="FY6" s="50">
        <v>1310</v>
      </c>
      <c r="FZ6" s="50">
        <v>1380</v>
      </c>
      <c r="GA6" s="50">
        <v>1380</v>
      </c>
      <c r="GB6" s="50">
        <v>1380</v>
      </c>
      <c r="GC6" s="50">
        <v>1380</v>
      </c>
      <c r="GD6" s="50">
        <v>1380</v>
      </c>
      <c r="GE6" s="50">
        <v>1380</v>
      </c>
      <c r="GF6" s="50">
        <v>1350</v>
      </c>
      <c r="GG6" s="50">
        <v>1350</v>
      </c>
      <c r="GH6" s="50">
        <v>1350</v>
      </c>
      <c r="GI6" s="50">
        <v>1350</v>
      </c>
      <c r="GJ6" s="50">
        <v>1330</v>
      </c>
      <c r="GK6" s="50">
        <v>1330</v>
      </c>
      <c r="GL6" s="50"/>
      <c r="GM6" s="50"/>
      <c r="GN6" s="50"/>
    </row>
    <row r="7" spans="1:196" ht="14">
      <c r="A7" s="9">
        <v>5</v>
      </c>
      <c r="B7" s="11" t="s">
        <v>25</v>
      </c>
      <c r="C7" s="11" t="s">
        <v>26</v>
      </c>
      <c r="D7" s="9"/>
      <c r="E7" s="11" t="s">
        <v>28</v>
      </c>
      <c r="F7" s="11" t="s">
        <v>127</v>
      </c>
      <c r="G7" s="9" t="s">
        <v>24</v>
      </c>
      <c r="H7" s="11" t="s">
        <v>132</v>
      </c>
      <c r="I7" s="155">
        <v>1050</v>
      </c>
      <c r="J7" s="155">
        <v>1050</v>
      </c>
      <c r="K7" s="155">
        <v>1050</v>
      </c>
      <c r="L7" s="155">
        <v>1050</v>
      </c>
      <c r="M7" s="155">
        <v>1050</v>
      </c>
      <c r="N7" s="155">
        <v>1050</v>
      </c>
      <c r="O7" s="155">
        <v>1050</v>
      </c>
      <c r="P7" s="155">
        <v>1050</v>
      </c>
      <c r="Q7" s="155">
        <v>1100</v>
      </c>
      <c r="R7" s="155">
        <v>1100</v>
      </c>
      <c r="S7" s="155">
        <v>1100</v>
      </c>
      <c r="T7" s="155">
        <v>1100</v>
      </c>
      <c r="U7" s="155">
        <v>1100</v>
      </c>
      <c r="V7" s="155">
        <v>1100</v>
      </c>
      <c r="W7" s="155">
        <v>1100</v>
      </c>
      <c r="X7" s="155">
        <v>1100</v>
      </c>
      <c r="Y7" s="155">
        <v>1100</v>
      </c>
      <c r="Z7" s="155">
        <v>1100</v>
      </c>
      <c r="AA7" s="155">
        <v>1100</v>
      </c>
      <c r="AB7" s="155">
        <v>1120</v>
      </c>
      <c r="AC7" s="155">
        <v>1120</v>
      </c>
      <c r="AD7" s="155">
        <v>1120</v>
      </c>
      <c r="AE7" s="155">
        <f t="shared" ref="AE7:AJ7" si="7">+AE6-130</f>
        <v>1120</v>
      </c>
      <c r="AF7" s="155">
        <f t="shared" si="7"/>
        <v>1090</v>
      </c>
      <c r="AG7" s="155">
        <f t="shared" si="7"/>
        <v>1090</v>
      </c>
      <c r="AH7" s="155">
        <f t="shared" si="7"/>
        <v>1080</v>
      </c>
      <c r="AI7" s="155">
        <f t="shared" si="7"/>
        <v>1070</v>
      </c>
      <c r="AJ7" s="155">
        <f t="shared" si="7"/>
        <v>1070</v>
      </c>
      <c r="AK7" s="155">
        <f t="shared" ref="AK7:AL7" si="8">+AK6-130</f>
        <v>1030</v>
      </c>
      <c r="AL7" s="155">
        <f t="shared" si="8"/>
        <v>1030</v>
      </c>
      <c r="AM7" s="155">
        <f t="shared" ref="AM7:AN7" si="9">+AM6-130</f>
        <v>1030</v>
      </c>
      <c r="AN7" s="155">
        <f t="shared" si="9"/>
        <v>1150</v>
      </c>
      <c r="AO7" s="155">
        <f t="shared" ref="AO7:AP7" si="10">+AO6-130</f>
        <v>1250</v>
      </c>
      <c r="AP7" s="155">
        <f t="shared" si="10"/>
        <v>1220</v>
      </c>
      <c r="AQ7" s="155">
        <f t="shared" ref="AQ7" si="11">+AQ6-130</f>
        <v>1220</v>
      </c>
      <c r="AS7" s="9"/>
      <c r="AT7" s="11" t="s">
        <v>28</v>
      </c>
      <c r="AU7" s="112" t="s">
        <v>132</v>
      </c>
      <c r="AV7" s="50">
        <v>1050</v>
      </c>
      <c r="AW7" s="50">
        <v>1050</v>
      </c>
      <c r="AX7" s="50">
        <v>1050</v>
      </c>
      <c r="AY7" s="50">
        <v>1050</v>
      </c>
      <c r="AZ7" s="50">
        <v>1050</v>
      </c>
      <c r="BA7" s="50">
        <v>1050</v>
      </c>
      <c r="BB7" s="50">
        <v>1050</v>
      </c>
      <c r="BC7" s="50">
        <v>1050</v>
      </c>
      <c r="BD7" s="50">
        <v>1050</v>
      </c>
      <c r="BE7" s="50">
        <v>1050</v>
      </c>
      <c r="BF7" s="50">
        <v>1050</v>
      </c>
      <c r="BG7" s="50">
        <v>1050</v>
      </c>
      <c r="BH7" s="50">
        <v>1050</v>
      </c>
      <c r="BI7" s="50">
        <v>1050</v>
      </c>
      <c r="BJ7" s="50">
        <v>1050</v>
      </c>
      <c r="BK7" s="50">
        <v>1050</v>
      </c>
      <c r="BL7" s="50">
        <v>1050</v>
      </c>
      <c r="BM7" s="50">
        <v>1050</v>
      </c>
      <c r="BN7" s="50">
        <v>1050</v>
      </c>
      <c r="BO7" s="50">
        <v>1050</v>
      </c>
      <c r="BP7" s="50">
        <v>1050</v>
      </c>
      <c r="BQ7" s="50">
        <v>1050</v>
      </c>
      <c r="BR7" s="50">
        <v>1050</v>
      </c>
      <c r="BS7" s="50">
        <v>1050</v>
      </c>
      <c r="BT7" s="50">
        <v>1050</v>
      </c>
      <c r="BU7" s="50">
        <v>1050</v>
      </c>
      <c r="BV7" s="50">
        <v>1050</v>
      </c>
      <c r="BW7" s="50">
        <v>1050</v>
      </c>
      <c r="BX7" s="50">
        <v>1050</v>
      </c>
      <c r="BY7" s="50">
        <v>1050</v>
      </c>
      <c r="BZ7" s="50">
        <v>1050</v>
      </c>
      <c r="CA7" s="50">
        <v>1050</v>
      </c>
      <c r="CB7" s="50">
        <v>1100</v>
      </c>
      <c r="CC7" s="50">
        <v>1100</v>
      </c>
      <c r="CD7" s="50">
        <v>1100</v>
      </c>
      <c r="CE7" s="50">
        <v>1100</v>
      </c>
      <c r="CF7" s="50">
        <v>1100</v>
      </c>
      <c r="CG7" s="50">
        <v>1100</v>
      </c>
      <c r="CH7" s="50">
        <v>1100</v>
      </c>
      <c r="CI7" s="50">
        <v>1100</v>
      </c>
      <c r="CJ7" s="50">
        <v>1100</v>
      </c>
      <c r="CK7" s="50">
        <v>1100</v>
      </c>
      <c r="CL7" s="50">
        <v>1100</v>
      </c>
      <c r="CM7" s="50">
        <v>1100</v>
      </c>
      <c r="CN7" s="50">
        <v>1100</v>
      </c>
      <c r="CO7" s="50">
        <v>1100</v>
      </c>
      <c r="CP7" s="50">
        <v>1100</v>
      </c>
      <c r="CQ7" s="50">
        <v>1100</v>
      </c>
      <c r="CR7" s="50">
        <v>1100</v>
      </c>
      <c r="CS7" s="50">
        <v>1100</v>
      </c>
      <c r="CT7" s="50">
        <v>1100</v>
      </c>
      <c r="CU7" s="50">
        <v>1100</v>
      </c>
      <c r="CV7" s="50">
        <v>1100</v>
      </c>
      <c r="CW7" s="50">
        <v>1100</v>
      </c>
      <c r="CX7" s="50">
        <v>1100</v>
      </c>
      <c r="CY7" s="50">
        <v>1100</v>
      </c>
      <c r="CZ7" s="50">
        <v>1100</v>
      </c>
      <c r="DA7" s="50">
        <v>1100</v>
      </c>
      <c r="DB7" s="50">
        <v>1100</v>
      </c>
      <c r="DC7" s="50">
        <v>1100</v>
      </c>
      <c r="DD7" s="50">
        <v>1100</v>
      </c>
      <c r="DE7" s="50">
        <v>1100</v>
      </c>
      <c r="DF7" s="50">
        <v>1100</v>
      </c>
      <c r="DG7" s="50">
        <v>1100</v>
      </c>
      <c r="DH7" s="50">
        <v>1100</v>
      </c>
      <c r="DI7" s="50">
        <v>1100</v>
      </c>
      <c r="DJ7" s="50">
        <v>1100</v>
      </c>
      <c r="DK7" s="50">
        <v>1100</v>
      </c>
      <c r="DL7" s="50">
        <v>1100</v>
      </c>
      <c r="DM7" s="50">
        <v>1100</v>
      </c>
      <c r="DN7" s="50">
        <v>1100</v>
      </c>
      <c r="DO7" s="50">
        <v>1100</v>
      </c>
      <c r="DP7" s="50">
        <v>1100</v>
      </c>
      <c r="DQ7" s="50">
        <v>1100</v>
      </c>
      <c r="DR7" s="50">
        <v>1100</v>
      </c>
      <c r="DS7" s="50">
        <v>1100</v>
      </c>
      <c r="DT7" s="50">
        <v>1100</v>
      </c>
      <c r="DU7" s="50">
        <v>1100</v>
      </c>
      <c r="DV7" s="50">
        <v>1100</v>
      </c>
      <c r="DW7" s="50">
        <v>1120</v>
      </c>
      <c r="DX7" s="50">
        <v>1120</v>
      </c>
      <c r="DY7" s="50">
        <v>1120</v>
      </c>
      <c r="DZ7" s="50">
        <v>1120</v>
      </c>
      <c r="EA7" s="50">
        <v>1120</v>
      </c>
      <c r="EB7" s="50">
        <v>1120</v>
      </c>
      <c r="EC7" s="50">
        <v>1120</v>
      </c>
      <c r="ED7" s="50">
        <v>1120</v>
      </c>
      <c r="EE7" s="50">
        <v>1120</v>
      </c>
      <c r="EF7" s="50">
        <v>1120</v>
      </c>
      <c r="EG7" s="50">
        <v>1120</v>
      </c>
      <c r="EH7" s="50">
        <v>1120</v>
      </c>
      <c r="EI7" s="50">
        <v>1120</v>
      </c>
      <c r="EJ7" s="50">
        <v>1120</v>
      </c>
      <c r="EK7" s="50">
        <v>1120</v>
      </c>
      <c r="EL7" s="50">
        <v>1120</v>
      </c>
      <c r="EM7" s="50">
        <v>1120</v>
      </c>
      <c r="EN7" s="50">
        <v>1120</v>
      </c>
      <c r="EO7" s="50">
        <f>+EO6-130</f>
        <v>1090</v>
      </c>
      <c r="EP7" s="50">
        <f t="shared" ref="EP7:EV7" si="12">+EP6-130</f>
        <v>1090</v>
      </c>
      <c r="EQ7" s="50">
        <f t="shared" si="12"/>
        <v>1090</v>
      </c>
      <c r="ER7" s="50">
        <f t="shared" si="12"/>
        <v>1090</v>
      </c>
      <c r="ES7" s="50">
        <f t="shared" si="12"/>
        <v>1090</v>
      </c>
      <c r="ET7" s="50">
        <f t="shared" si="12"/>
        <v>1090</v>
      </c>
      <c r="EU7" s="50">
        <f t="shared" si="12"/>
        <v>1090</v>
      </c>
      <c r="EV7" s="50">
        <f t="shared" si="12"/>
        <v>1090</v>
      </c>
      <c r="EW7" s="50">
        <f t="shared" ref="EW7:FA7" si="13">+EW6-130</f>
        <v>1080</v>
      </c>
      <c r="EX7" s="50">
        <f t="shared" si="13"/>
        <v>1080</v>
      </c>
      <c r="EY7" s="50">
        <f t="shared" si="13"/>
        <v>1080</v>
      </c>
      <c r="EZ7" s="50">
        <f t="shared" si="13"/>
        <v>1080</v>
      </c>
      <c r="FA7" s="50">
        <f t="shared" si="13"/>
        <v>1080</v>
      </c>
      <c r="FB7" s="50">
        <f t="shared" ref="FB7:FE7" si="14">+FB6-130</f>
        <v>1070</v>
      </c>
      <c r="FC7" s="50">
        <f t="shared" si="14"/>
        <v>1070</v>
      </c>
      <c r="FD7" s="50">
        <f t="shared" si="14"/>
        <v>1070</v>
      </c>
      <c r="FE7" s="50">
        <f t="shared" si="14"/>
        <v>1070</v>
      </c>
      <c r="FF7" s="50">
        <f t="shared" ref="FF7:FI7" si="15">+FF6-130</f>
        <v>1070</v>
      </c>
      <c r="FG7" s="50">
        <f t="shared" si="15"/>
        <v>1070</v>
      </c>
      <c r="FH7" s="50">
        <f t="shared" si="15"/>
        <v>1070</v>
      </c>
      <c r="FI7" s="50">
        <f t="shared" si="15"/>
        <v>1070</v>
      </c>
      <c r="FJ7" s="50">
        <f t="shared" ref="FJ7:FN7" si="16">+FJ6-130</f>
        <v>1030</v>
      </c>
      <c r="FK7" s="50">
        <f t="shared" si="16"/>
        <v>1030</v>
      </c>
      <c r="FL7" s="50">
        <f t="shared" si="16"/>
        <v>1030</v>
      </c>
      <c r="FM7" s="50">
        <f t="shared" si="16"/>
        <v>1030</v>
      </c>
      <c r="FN7" s="50">
        <f t="shared" si="16"/>
        <v>1030</v>
      </c>
      <c r="FO7" s="50">
        <f t="shared" ref="FO7:FR7" si="17">+FO6-130</f>
        <v>1030</v>
      </c>
      <c r="FP7" s="50">
        <f t="shared" si="17"/>
        <v>1030</v>
      </c>
      <c r="FQ7" s="50">
        <f t="shared" si="17"/>
        <v>1030</v>
      </c>
      <c r="FR7" s="50">
        <f t="shared" si="17"/>
        <v>1030</v>
      </c>
      <c r="FS7" s="50">
        <f t="shared" ref="FS7:FU7" si="18">+FS6-130</f>
        <v>1030</v>
      </c>
      <c r="FT7" s="50">
        <f t="shared" si="18"/>
        <v>1030</v>
      </c>
      <c r="FU7" s="50">
        <f t="shared" si="18"/>
        <v>1080</v>
      </c>
      <c r="FV7" s="50">
        <f>+FV6-130</f>
        <v>1150</v>
      </c>
      <c r="FW7" s="50">
        <f t="shared" ref="FW7:GA7" si="19">+FW6-130</f>
        <v>1150</v>
      </c>
      <c r="FX7" s="50">
        <f t="shared" si="19"/>
        <v>1150</v>
      </c>
      <c r="FY7" s="50">
        <f t="shared" si="19"/>
        <v>1180</v>
      </c>
      <c r="FZ7" s="50">
        <f t="shared" si="19"/>
        <v>1250</v>
      </c>
      <c r="GA7" s="50">
        <f t="shared" si="19"/>
        <v>1250</v>
      </c>
      <c r="GB7" s="50">
        <f t="shared" ref="GB7:GE7" si="20">+GB6-130</f>
        <v>1250</v>
      </c>
      <c r="GC7" s="50">
        <f t="shared" si="20"/>
        <v>1250</v>
      </c>
      <c r="GD7" s="50">
        <f t="shared" si="20"/>
        <v>1250</v>
      </c>
      <c r="GE7" s="50">
        <f t="shared" si="20"/>
        <v>1250</v>
      </c>
      <c r="GF7" s="50">
        <f t="shared" ref="GF7:GI7" si="21">+GF6-130</f>
        <v>1220</v>
      </c>
      <c r="GG7" s="50">
        <f t="shared" si="21"/>
        <v>1220</v>
      </c>
      <c r="GH7" s="50">
        <f t="shared" si="21"/>
        <v>1220</v>
      </c>
      <c r="GI7" s="50">
        <f t="shared" si="21"/>
        <v>1220</v>
      </c>
      <c r="GJ7" s="50">
        <f t="shared" ref="GJ7:GN7" si="22">+GJ6-130</f>
        <v>1200</v>
      </c>
      <c r="GK7" s="50">
        <f t="shared" si="22"/>
        <v>1200</v>
      </c>
      <c r="GL7" s="50">
        <f t="shared" si="22"/>
        <v>-130</v>
      </c>
      <c r="GM7" s="50">
        <f t="shared" si="22"/>
        <v>-130</v>
      </c>
      <c r="GN7" s="50">
        <f t="shared" si="22"/>
        <v>-130</v>
      </c>
    </row>
    <row r="8" spans="1:196" s="13" customFormat="1" ht="14" hidden="1">
      <c r="A8" s="54">
        <v>9</v>
      </c>
      <c r="B8" s="55"/>
      <c r="C8" s="55"/>
      <c r="D8" s="106" t="s">
        <v>37</v>
      </c>
      <c r="E8" s="55" t="s">
        <v>38</v>
      </c>
      <c r="F8" s="55" t="s">
        <v>39</v>
      </c>
      <c r="G8" s="54" t="s">
        <v>24</v>
      </c>
      <c r="H8" s="111" t="s">
        <v>37</v>
      </c>
      <c r="I8" s="156">
        <f>SUM(AV8:AY8)/COUNT(AV8:AY8)</f>
        <v>802.75</v>
      </c>
      <c r="J8" s="156">
        <f>SUM(AZ8:BC8)/COUNT(AZ8:BC8)</f>
        <v>801</v>
      </c>
      <c r="K8" s="156">
        <f>SUM(BD8:BG8)/COUNT(BD8:BG8)</f>
        <v>821.5</v>
      </c>
      <c r="L8" s="156">
        <f>SUM(BH8:BK8)/COUNT(BH8:BK8)</f>
        <v>821.5</v>
      </c>
      <c r="M8" s="156">
        <f>SUM(BM8:BP8)/COUNT(BM8:BP8)</f>
        <v>804.25</v>
      </c>
      <c r="N8" s="156">
        <f>SUM(BQ8:BS8)/COUNT(BQ8:BS8)</f>
        <v>787</v>
      </c>
      <c r="O8" s="156">
        <f>SUM(BT8:BW8)/COUNT(BT8:BW8)</f>
        <v>815.875</v>
      </c>
      <c r="P8" s="156">
        <f>SUM(BX8:CA8)/COUNT(BX8:CA8)</f>
        <v>831.875</v>
      </c>
      <c r="Q8" s="156">
        <f>SUM(CB8:CF8)/COUNT(CB8:CF8)</f>
        <v>894.5</v>
      </c>
      <c r="R8" s="156">
        <f>SUM(CG8:CJ8)/COUNT(CG8:CJ8)</f>
        <v>978.5</v>
      </c>
      <c r="S8" s="156">
        <f>SUM(CK8:CN8)/COUNT(CK8:CN8)</f>
        <v>978.5</v>
      </c>
      <c r="T8" s="156">
        <f>SUM(CO8:CS8)/COUNT(CO8:CS8)</f>
        <v>980.5</v>
      </c>
      <c r="U8" s="156">
        <f>SUM(CT8:CW8)/COUNT(CT8:CW8)</f>
        <v>996</v>
      </c>
      <c r="V8" s="156">
        <f>SUM(CX8:DA8)/COUNT(CX8:DA8)</f>
        <v>1018.5</v>
      </c>
      <c r="W8" s="156">
        <f>SUM(DB8:DF8)/COUNT(DB8:DF8)</f>
        <v>999.7</v>
      </c>
      <c r="X8" s="156">
        <f>SUM(DG8:DJ8)/COUNT(DG8:DJ8)</f>
        <v>956.5</v>
      </c>
      <c r="Y8" s="156">
        <f>SUM(DK8:DN8)/COUNT(DK8:DN8)</f>
        <v>911.5</v>
      </c>
      <c r="Z8" s="156">
        <f>SUM(DO8:DR8)/COUNT(DO8:DR8)</f>
        <v>911.5</v>
      </c>
      <c r="AA8" s="156">
        <f>SUM(DS8:DV8)/COUNT(DS8:DV8)</f>
        <v>919.25</v>
      </c>
      <c r="AB8" s="156">
        <f>SUM(DW8:DZ8)/COUNT(DW8:DZ8)</f>
        <v>933.125</v>
      </c>
      <c r="AC8" s="156">
        <f>SUM(EA8:EE8)/COUNT(EA8:EE8)</f>
        <v>944.7</v>
      </c>
      <c r="AD8" s="156">
        <f>SUM(EF8:EI8)/COUNT(EF8:EI8)</f>
        <v>954.5</v>
      </c>
      <c r="AE8" s="156">
        <f>SUM(EJ8:EN8)/COUNT(EJ8:EN8)</f>
        <v>918</v>
      </c>
      <c r="AF8" s="156">
        <f>SUM(EO8:ER8)/COUNT(EO8:ER8)</f>
        <v>868.375</v>
      </c>
      <c r="AG8" s="156">
        <f>SUM(ES8:EV8)/COUNT(ES8:EV8)</f>
        <v>803.5</v>
      </c>
      <c r="AH8" s="156">
        <f>SUM(EW8:FA8)/COUNT(EW8:FA8)</f>
        <v>794.125</v>
      </c>
      <c r="AI8" s="156" t="e">
        <f t="shared" ref="AI8:AQ8" si="23">SUM(FB8:FE8)/COUNT(FB8:FE8)</f>
        <v>#DIV/0!</v>
      </c>
      <c r="AJ8" s="156" t="e">
        <f t="shared" si="23"/>
        <v>#DIV/0!</v>
      </c>
      <c r="AK8" s="156" t="e">
        <f t="shared" si="23"/>
        <v>#DIV/0!</v>
      </c>
      <c r="AL8" s="156" t="e">
        <f t="shared" si="23"/>
        <v>#DIV/0!</v>
      </c>
      <c r="AM8" s="156" t="e">
        <f t="shared" si="23"/>
        <v>#DIV/0!</v>
      </c>
      <c r="AN8" s="156" t="e">
        <f t="shared" si="23"/>
        <v>#DIV/0!</v>
      </c>
      <c r="AO8" s="156" t="e">
        <f t="shared" si="23"/>
        <v>#DIV/0!</v>
      </c>
      <c r="AP8" s="156" t="e">
        <f t="shared" si="23"/>
        <v>#DIV/0!</v>
      </c>
      <c r="AQ8" s="156" t="e">
        <f t="shared" si="23"/>
        <v>#DIV/0!</v>
      </c>
      <c r="AS8" s="54" t="s">
        <v>37</v>
      </c>
      <c r="AT8" s="55" t="s">
        <v>38</v>
      </c>
      <c r="AU8" s="126" t="s">
        <v>37</v>
      </c>
      <c r="AV8" s="102">
        <v>802.5</v>
      </c>
      <c r="AW8" s="102">
        <v>802.5</v>
      </c>
      <c r="AX8" s="102">
        <v>802.5</v>
      </c>
      <c r="AY8" s="102">
        <v>803.5</v>
      </c>
      <c r="AZ8" s="102">
        <v>801</v>
      </c>
      <c r="BA8" s="102">
        <v>801</v>
      </c>
      <c r="BB8" s="102">
        <v>801</v>
      </c>
      <c r="BC8" s="102">
        <v>801</v>
      </c>
      <c r="BD8" s="102">
        <v>821.5</v>
      </c>
      <c r="BE8" s="102">
        <v>821.5</v>
      </c>
      <c r="BF8" s="102">
        <v>821.5</v>
      </c>
      <c r="BG8" s="102">
        <v>821.5</v>
      </c>
      <c r="BH8" s="102">
        <v>821.5</v>
      </c>
      <c r="BI8" s="102">
        <v>821.5</v>
      </c>
      <c r="BJ8" s="102">
        <v>821.5</v>
      </c>
      <c r="BK8" s="102">
        <v>821.5</v>
      </c>
      <c r="BL8" s="102">
        <v>821.5</v>
      </c>
      <c r="BM8" s="102">
        <v>821.5</v>
      </c>
      <c r="BN8" s="102">
        <v>821.5</v>
      </c>
      <c r="BO8" s="102">
        <v>787</v>
      </c>
      <c r="BP8" s="102">
        <v>787</v>
      </c>
      <c r="BQ8" s="102">
        <v>787</v>
      </c>
      <c r="BR8" s="102">
        <v>787</v>
      </c>
      <c r="BS8" s="102">
        <v>787</v>
      </c>
      <c r="BT8" s="102">
        <v>788.5</v>
      </c>
      <c r="BU8" s="102">
        <v>825</v>
      </c>
      <c r="BV8" s="102">
        <v>825</v>
      </c>
      <c r="BW8" s="102">
        <v>825</v>
      </c>
      <c r="BX8" s="102">
        <v>825</v>
      </c>
      <c r="BY8" s="102">
        <v>825</v>
      </c>
      <c r="BZ8" s="102">
        <v>825</v>
      </c>
      <c r="CA8" s="102">
        <v>852.5</v>
      </c>
      <c r="CB8" s="102">
        <v>873.5</v>
      </c>
      <c r="CC8" s="102">
        <v>873.5</v>
      </c>
      <c r="CD8" s="102">
        <v>873.5</v>
      </c>
      <c r="CE8" s="102">
        <v>873.5</v>
      </c>
      <c r="CF8" s="102">
        <v>978.5</v>
      </c>
      <c r="CG8" s="102">
        <v>978.5</v>
      </c>
      <c r="CH8" s="102">
        <v>978.5</v>
      </c>
      <c r="CI8" s="102">
        <v>978.5</v>
      </c>
      <c r="CJ8" s="102">
        <v>978.5</v>
      </c>
      <c r="CK8" s="102">
        <v>978.5</v>
      </c>
      <c r="CL8" s="102">
        <v>978.5</v>
      </c>
      <c r="CM8" s="102">
        <v>978.5</v>
      </c>
      <c r="CN8" s="102">
        <v>978.5</v>
      </c>
      <c r="CO8" s="102">
        <v>978.5</v>
      </c>
      <c r="CP8" s="102">
        <v>978.5</v>
      </c>
      <c r="CQ8" s="102">
        <v>978.5</v>
      </c>
      <c r="CR8" s="102">
        <v>978.5</v>
      </c>
      <c r="CS8" s="102">
        <v>988.5</v>
      </c>
      <c r="CT8" s="102">
        <v>988.5</v>
      </c>
      <c r="CU8" s="102">
        <v>988.5</v>
      </c>
      <c r="CV8" s="102">
        <v>988.5</v>
      </c>
      <c r="CW8" s="102">
        <v>1018.5</v>
      </c>
      <c r="CX8" s="102">
        <v>1018.5</v>
      </c>
      <c r="CY8" s="102">
        <v>1018.5</v>
      </c>
      <c r="CZ8" s="102">
        <v>1018.5</v>
      </c>
      <c r="DA8" s="102">
        <v>1018.5</v>
      </c>
      <c r="DB8" s="102">
        <v>1018.5</v>
      </c>
      <c r="DC8" s="102">
        <v>1018.5</v>
      </c>
      <c r="DD8" s="102">
        <v>1018.5</v>
      </c>
      <c r="DE8" s="102">
        <v>971.5</v>
      </c>
      <c r="DF8" s="102">
        <v>971.5</v>
      </c>
      <c r="DG8" s="102">
        <v>971.5</v>
      </c>
      <c r="DH8" s="102">
        <v>971.5</v>
      </c>
      <c r="DI8" s="102">
        <v>971.5</v>
      </c>
      <c r="DJ8" s="102">
        <v>911.5</v>
      </c>
      <c r="DK8" s="102">
        <v>911.5</v>
      </c>
      <c r="DL8" s="102">
        <v>911.5</v>
      </c>
      <c r="DM8" s="102">
        <v>911.5</v>
      </c>
      <c r="DN8" s="102">
        <v>911.5</v>
      </c>
      <c r="DO8" s="102">
        <v>911.5</v>
      </c>
      <c r="DP8" s="102">
        <v>911.5</v>
      </c>
      <c r="DQ8" s="102">
        <v>911.5</v>
      </c>
      <c r="DR8" s="102">
        <v>911.5</v>
      </c>
      <c r="DS8" s="102">
        <v>911.5</v>
      </c>
      <c r="DT8" s="102">
        <v>911.5</v>
      </c>
      <c r="DU8" s="102">
        <v>911.5</v>
      </c>
      <c r="DV8" s="102">
        <v>942.5</v>
      </c>
      <c r="DW8" s="102">
        <v>942.5</v>
      </c>
      <c r="DX8" s="102">
        <v>930</v>
      </c>
      <c r="DY8" s="102">
        <v>930</v>
      </c>
      <c r="DZ8" s="102">
        <v>930</v>
      </c>
      <c r="EA8" s="102">
        <v>930</v>
      </c>
      <c r="EB8" s="102">
        <v>930</v>
      </c>
      <c r="EC8" s="102">
        <v>954.5</v>
      </c>
      <c r="ED8" s="102">
        <v>954.5</v>
      </c>
      <c r="EE8" s="102">
        <v>954.5</v>
      </c>
      <c r="EF8" s="102">
        <v>954.5</v>
      </c>
      <c r="EG8" s="102">
        <v>954.5</v>
      </c>
      <c r="EH8" s="102">
        <v>954.5</v>
      </c>
      <c r="EI8" s="102">
        <v>954.5</v>
      </c>
      <c r="EJ8" s="102">
        <v>954.5</v>
      </c>
      <c r="EK8" s="102">
        <v>954.5</v>
      </c>
      <c r="EL8" s="102">
        <v>910</v>
      </c>
      <c r="EM8" s="102">
        <v>885.5</v>
      </c>
      <c r="EN8" s="102">
        <v>885.5</v>
      </c>
      <c r="EO8" s="102">
        <v>875.5</v>
      </c>
      <c r="EP8" s="102">
        <v>875.5</v>
      </c>
      <c r="EQ8" s="102">
        <v>875.5</v>
      </c>
      <c r="ER8" s="102">
        <v>847</v>
      </c>
      <c r="ES8" s="102">
        <v>807</v>
      </c>
      <c r="ET8" s="102">
        <v>807</v>
      </c>
      <c r="EU8" s="102">
        <v>800</v>
      </c>
      <c r="EV8" s="102">
        <v>800</v>
      </c>
      <c r="EW8" s="102">
        <v>800</v>
      </c>
      <c r="EX8" s="102">
        <v>800</v>
      </c>
      <c r="EY8" s="102">
        <v>800</v>
      </c>
      <c r="EZ8" s="102">
        <v>776.5</v>
      </c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2"/>
      <c r="FL8" s="102"/>
      <c r="FM8" s="102"/>
      <c r="FN8" s="102"/>
      <c r="FO8" s="102"/>
      <c r="FP8" s="102"/>
      <c r="FQ8" s="102"/>
      <c r="FR8" s="102"/>
      <c r="FS8" s="102"/>
      <c r="FT8" s="102"/>
      <c r="FU8" s="102"/>
      <c r="FV8" s="102"/>
      <c r="FW8" s="102"/>
      <c r="FX8" s="102"/>
      <c r="FY8" s="102"/>
      <c r="FZ8" s="102"/>
      <c r="GA8" s="102"/>
      <c r="GB8" s="102"/>
      <c r="GC8" s="102"/>
      <c r="GD8" s="102"/>
      <c r="GE8" s="102"/>
      <c r="GF8" s="102"/>
      <c r="GG8" s="102"/>
      <c r="GH8" s="102"/>
      <c r="GI8" s="102"/>
      <c r="GJ8" s="102"/>
      <c r="GK8" s="102"/>
      <c r="GL8" s="102"/>
      <c r="GM8" s="102"/>
      <c r="GN8" s="102"/>
    </row>
    <row r="9" spans="1:196" ht="14">
      <c r="D9" s="54" t="s">
        <v>41</v>
      </c>
      <c r="E9" s="25"/>
      <c r="F9" s="59" t="s">
        <v>130</v>
      </c>
      <c r="G9" s="54" t="s">
        <v>24</v>
      </c>
      <c r="H9" s="110" t="s">
        <v>130</v>
      </c>
      <c r="I9" s="156">
        <f>SUM(AV9:AY9)/COUNT(AV9:AY9)</f>
        <v>935</v>
      </c>
      <c r="J9" s="156">
        <f>SUM(AZ9:BC9)/COUNT(AZ9:BC9)</f>
        <v>922.5</v>
      </c>
      <c r="K9" s="156">
        <f>SUM(BD9:BF9)/COUNT(BD9:BF9)</f>
        <v>900</v>
      </c>
      <c r="L9" s="156">
        <f>SUM(BH9:BK9)/COUNT(BH9:BK9)</f>
        <v>900</v>
      </c>
      <c r="M9" s="156">
        <f>SUM(BM9:BP9)/COUNT(BM9:BP9)</f>
        <v>930</v>
      </c>
      <c r="N9" s="156">
        <f>SUM(BQ9:BS9)/COUNT(BQ9:BS9)</f>
        <v>943.33333333333337</v>
      </c>
      <c r="O9" s="156">
        <f>SUM(BT9:BW9)/COUNT(BT9:BW9)</f>
        <v>940</v>
      </c>
      <c r="P9" s="156">
        <f>SUM(BX9:CA9)/COUNT(BX9:CA9)</f>
        <v>940</v>
      </c>
      <c r="Q9" s="156">
        <f>SUM(CB9:CF9)/COUNT(CB9:CF9)</f>
        <v>942</v>
      </c>
      <c r="R9" s="156">
        <f>SUM(CG9:CJ9)/COUNT(CG9:CJ9)</f>
        <v>950</v>
      </c>
      <c r="S9" s="156">
        <f>SUM(CK9:CN9)/COUNT(CK9:CN9)</f>
        <v>947.5</v>
      </c>
      <c r="T9" s="156">
        <f>SUM(CO9:CS9)/COUNT(CO9:CS9)</f>
        <v>930</v>
      </c>
      <c r="U9" s="156">
        <f>SUM(CT9:CW9)/COUNT(CT9:CW9)</f>
        <v>880</v>
      </c>
      <c r="V9" s="156">
        <f>SUM(CX9:DA9)/COUNT(CX9:DA9)</f>
        <v>860</v>
      </c>
      <c r="W9" s="156">
        <f>SUM(DB9:DF9)/COUNT(DB9:DF9)</f>
        <v>852</v>
      </c>
      <c r="X9" s="156">
        <f>SUM(DG9:DJ9)/COUNT(DG9:DJ9)</f>
        <v>830</v>
      </c>
      <c r="Y9" s="156">
        <f>SUM(DK9:DN9)/COUNT(DK9:DN9)</f>
        <v>827.5</v>
      </c>
      <c r="Z9" s="156">
        <f>SUM(DO9:DR9)/COUNT(DO9:DR9)</f>
        <v>840</v>
      </c>
      <c r="AA9" s="156">
        <f>SUM(DS9:DV9)/COUNT(DS9:DV9)</f>
        <v>822.5</v>
      </c>
      <c r="AB9" s="156">
        <f>SUM(DW9:DZ9)/COUNT(DW9:DZ9)</f>
        <v>765</v>
      </c>
      <c r="AC9" s="156">
        <f>SUM(EA9:EE9)/COUNT(EA9:EE9)</f>
        <v>782</v>
      </c>
      <c r="AD9" s="156">
        <f>SUM(EF9:EI9)/COUNT(EF9:EI9)</f>
        <v>807.5</v>
      </c>
      <c r="AE9" s="156">
        <f>SUM(EJ9:EN9)/COUNT(EJ9:EN9)</f>
        <v>802</v>
      </c>
      <c r="AF9" s="156">
        <f>SUM(EO9:ER9)/COUNT(EO9:ER9)</f>
        <v>795</v>
      </c>
      <c r="AG9" s="156">
        <f>SUM(ES9:EV9)/COUNT(ES9:EV9)</f>
        <v>782.5</v>
      </c>
      <c r="AH9" s="156">
        <f>SUM(EW9:FA9)/COUNT(EW9:FA9)</f>
        <v>772</v>
      </c>
      <c r="AI9" s="156">
        <f>SUM(FB9:FE9)/COUNT(FB9:FE9)</f>
        <v>770</v>
      </c>
      <c r="AJ9" s="156">
        <f>SUM(FF9:FI9)/COUNT(FF9:FI9)</f>
        <v>772.5</v>
      </c>
      <c r="AK9" s="156">
        <f>SUM(FJ9:FN9)/COUNT(FJ9:FN9)</f>
        <v>805</v>
      </c>
      <c r="AL9" s="156">
        <f>SUM(FO9:FR9)/COUNT(FO9:FR9)</f>
        <v>840</v>
      </c>
      <c r="AM9" s="156">
        <f>SUM(FS9:FV9)/COUNT(FS9:FV9)</f>
        <v>1108.75</v>
      </c>
      <c r="AN9" s="156">
        <f>SUM(FW9:GA9)/COUNT(FW9:GA9)</f>
        <v>1194</v>
      </c>
      <c r="AO9" s="156">
        <f>SUM(GB9:GE9)/COUNT(GB9:GE9)</f>
        <v>1207.5</v>
      </c>
      <c r="AP9" s="156">
        <f>SUM(GF9:GI9)/COUNT(GF9:GI9)</f>
        <v>1102.5</v>
      </c>
      <c r="AQ9" s="156">
        <f>SUM(GJ9:GN9)/COUNT(GJ9:GN9)</f>
        <v>975</v>
      </c>
      <c r="AR9" s="51"/>
      <c r="AS9" s="54" t="s">
        <v>41</v>
      </c>
      <c r="AT9" s="25"/>
      <c r="AU9" s="127" t="s">
        <v>130</v>
      </c>
      <c r="AV9" s="118">
        <v>930</v>
      </c>
      <c r="AW9" s="118">
        <v>930</v>
      </c>
      <c r="AX9" s="118">
        <v>940</v>
      </c>
      <c r="AY9" s="118">
        <v>940</v>
      </c>
      <c r="AZ9" s="118">
        <v>940</v>
      </c>
      <c r="BA9" s="118">
        <v>930</v>
      </c>
      <c r="BB9" s="118">
        <v>920</v>
      </c>
      <c r="BC9" s="118">
        <v>900</v>
      </c>
      <c r="BD9" s="118">
        <v>900</v>
      </c>
      <c r="BE9" s="118">
        <v>900</v>
      </c>
      <c r="BF9" s="118">
        <v>900</v>
      </c>
      <c r="BG9" s="118">
        <v>900</v>
      </c>
      <c r="BH9" s="118">
        <v>900</v>
      </c>
      <c r="BI9" s="118">
        <v>900</v>
      </c>
      <c r="BJ9" s="118">
        <v>900</v>
      </c>
      <c r="BK9" s="118">
        <v>900</v>
      </c>
      <c r="BL9" s="118">
        <v>900</v>
      </c>
      <c r="BM9" s="118">
        <v>900</v>
      </c>
      <c r="BN9" s="118">
        <v>940</v>
      </c>
      <c r="BO9" s="118">
        <v>940</v>
      </c>
      <c r="BP9" s="118">
        <v>940</v>
      </c>
      <c r="BQ9" s="118">
        <v>950</v>
      </c>
      <c r="BR9" s="118">
        <v>940</v>
      </c>
      <c r="BS9" s="118">
        <v>940</v>
      </c>
      <c r="BT9" s="118">
        <v>940</v>
      </c>
      <c r="BU9" s="118">
        <v>940</v>
      </c>
      <c r="BV9" s="118">
        <v>940</v>
      </c>
      <c r="BW9" s="118">
        <v>940</v>
      </c>
      <c r="BX9" s="118">
        <v>940</v>
      </c>
      <c r="BY9" s="118">
        <v>940</v>
      </c>
      <c r="BZ9" s="118">
        <v>940</v>
      </c>
      <c r="CA9" s="118">
        <v>940</v>
      </c>
      <c r="CB9" s="118">
        <v>940</v>
      </c>
      <c r="CC9" s="118">
        <v>940</v>
      </c>
      <c r="CD9" s="118">
        <v>940</v>
      </c>
      <c r="CE9" s="118">
        <v>940</v>
      </c>
      <c r="CF9" s="118">
        <v>950</v>
      </c>
      <c r="CG9" s="118">
        <v>950</v>
      </c>
      <c r="CH9" s="118">
        <v>950</v>
      </c>
      <c r="CI9" s="118">
        <v>950</v>
      </c>
      <c r="CJ9" s="118">
        <v>950</v>
      </c>
      <c r="CK9" s="118">
        <v>950</v>
      </c>
      <c r="CL9" s="118">
        <v>950</v>
      </c>
      <c r="CM9" s="118">
        <v>950</v>
      </c>
      <c r="CN9" s="118">
        <v>940</v>
      </c>
      <c r="CO9" s="118">
        <v>940</v>
      </c>
      <c r="CP9" s="118">
        <v>940</v>
      </c>
      <c r="CQ9" s="118">
        <v>940</v>
      </c>
      <c r="CR9" s="118">
        <v>930</v>
      </c>
      <c r="CS9" s="118">
        <v>900</v>
      </c>
      <c r="CT9" s="118">
        <v>900</v>
      </c>
      <c r="CU9" s="118">
        <v>890</v>
      </c>
      <c r="CV9" s="118">
        <v>870</v>
      </c>
      <c r="CW9" s="118">
        <v>860</v>
      </c>
      <c r="CX9" s="118">
        <v>860</v>
      </c>
      <c r="CY9" s="118">
        <v>860</v>
      </c>
      <c r="CZ9" s="118">
        <v>860</v>
      </c>
      <c r="DA9" s="118">
        <v>860</v>
      </c>
      <c r="DB9" s="118">
        <v>860</v>
      </c>
      <c r="DC9" s="118">
        <v>860</v>
      </c>
      <c r="DD9" s="118">
        <v>860</v>
      </c>
      <c r="DE9" s="118">
        <v>840</v>
      </c>
      <c r="DF9" s="118">
        <v>840</v>
      </c>
      <c r="DG9" s="118">
        <v>840</v>
      </c>
      <c r="DH9" s="118">
        <v>830</v>
      </c>
      <c r="DI9" s="118">
        <v>830</v>
      </c>
      <c r="DJ9" s="118">
        <v>820</v>
      </c>
      <c r="DK9" s="118">
        <v>820</v>
      </c>
      <c r="DL9" s="118">
        <v>820</v>
      </c>
      <c r="DM9" s="118">
        <v>820</v>
      </c>
      <c r="DN9" s="118">
        <v>850</v>
      </c>
      <c r="DO9" s="118">
        <v>840</v>
      </c>
      <c r="DP9" s="118">
        <v>840</v>
      </c>
      <c r="DQ9" s="118">
        <v>840</v>
      </c>
      <c r="DR9" s="118">
        <v>840</v>
      </c>
      <c r="DS9" s="118">
        <v>840</v>
      </c>
      <c r="DT9" s="118">
        <v>830</v>
      </c>
      <c r="DU9" s="118">
        <v>810</v>
      </c>
      <c r="DV9" s="118">
        <v>810</v>
      </c>
      <c r="DW9" s="118">
        <v>800</v>
      </c>
      <c r="DX9" s="118">
        <v>750</v>
      </c>
      <c r="DY9" s="118">
        <v>750</v>
      </c>
      <c r="DZ9" s="118">
        <v>760</v>
      </c>
      <c r="EA9" s="118">
        <v>760</v>
      </c>
      <c r="EB9" s="118">
        <v>760</v>
      </c>
      <c r="EC9" s="118">
        <v>800</v>
      </c>
      <c r="ED9" s="118">
        <v>800</v>
      </c>
      <c r="EE9" s="118">
        <v>790</v>
      </c>
      <c r="EF9" s="118">
        <v>800</v>
      </c>
      <c r="EG9" s="118">
        <v>790</v>
      </c>
      <c r="EH9" s="118">
        <v>820</v>
      </c>
      <c r="EI9" s="118">
        <v>820</v>
      </c>
      <c r="EJ9" s="118">
        <v>820</v>
      </c>
      <c r="EK9" s="118">
        <v>820</v>
      </c>
      <c r="EL9" s="118">
        <v>790</v>
      </c>
      <c r="EM9" s="118">
        <v>790</v>
      </c>
      <c r="EN9" s="118">
        <v>790</v>
      </c>
      <c r="EO9" s="118">
        <v>800</v>
      </c>
      <c r="EP9" s="118">
        <v>790</v>
      </c>
      <c r="EQ9" s="118">
        <v>790</v>
      </c>
      <c r="ER9" s="118">
        <v>800</v>
      </c>
      <c r="ES9" s="118">
        <v>790</v>
      </c>
      <c r="ET9" s="118">
        <v>780</v>
      </c>
      <c r="EU9" s="118">
        <v>780</v>
      </c>
      <c r="EV9" s="118">
        <v>780</v>
      </c>
      <c r="EW9" s="118">
        <v>780</v>
      </c>
      <c r="EX9" s="118">
        <v>780</v>
      </c>
      <c r="EY9" s="118">
        <v>770</v>
      </c>
      <c r="EZ9" s="118">
        <v>760</v>
      </c>
      <c r="FA9" s="118">
        <v>770</v>
      </c>
      <c r="FB9" s="118">
        <v>770</v>
      </c>
      <c r="FC9" s="118">
        <v>770</v>
      </c>
      <c r="FD9" s="118">
        <v>770</v>
      </c>
      <c r="FE9" s="118">
        <v>770</v>
      </c>
      <c r="FF9" s="118">
        <v>770</v>
      </c>
      <c r="FG9" s="118">
        <v>770</v>
      </c>
      <c r="FH9" s="118">
        <v>770</v>
      </c>
      <c r="FI9" s="118">
        <v>780</v>
      </c>
      <c r="FJ9" s="118">
        <v>795</v>
      </c>
      <c r="FK9" s="118">
        <v>795</v>
      </c>
      <c r="FL9" s="118">
        <v>795</v>
      </c>
      <c r="FM9" s="118">
        <v>820</v>
      </c>
      <c r="FN9" s="118">
        <v>820</v>
      </c>
      <c r="FO9" s="118">
        <v>840</v>
      </c>
      <c r="FP9" s="118">
        <v>840</v>
      </c>
      <c r="FQ9" s="118">
        <v>840</v>
      </c>
      <c r="FR9" s="118">
        <v>840</v>
      </c>
      <c r="FS9" s="118">
        <f>(900+970)/2</f>
        <v>935</v>
      </c>
      <c r="FT9" s="118">
        <v>1080</v>
      </c>
      <c r="FU9" s="118">
        <v>1280</v>
      </c>
      <c r="FV9" s="118">
        <v>1140</v>
      </c>
      <c r="FW9" s="118">
        <v>1140</v>
      </c>
      <c r="FX9" s="118">
        <v>1200</v>
      </c>
      <c r="FY9" s="118">
        <v>1200</v>
      </c>
      <c r="FZ9" s="118">
        <v>1200</v>
      </c>
      <c r="GA9" s="118">
        <v>1230</v>
      </c>
      <c r="GB9" s="118">
        <v>1250</v>
      </c>
      <c r="GC9" s="118">
        <v>1230</v>
      </c>
      <c r="GD9" s="118">
        <v>1190</v>
      </c>
      <c r="GE9" s="118">
        <v>1160</v>
      </c>
      <c r="GF9" s="118">
        <v>1140</v>
      </c>
      <c r="GG9" s="118">
        <v>1140</v>
      </c>
      <c r="GH9" s="118">
        <v>1090</v>
      </c>
      <c r="GI9" s="118">
        <v>1040</v>
      </c>
      <c r="GJ9" s="118">
        <v>990</v>
      </c>
      <c r="GK9" s="118">
        <v>960</v>
      </c>
      <c r="GL9" s="118"/>
      <c r="GM9" s="118"/>
      <c r="GN9" s="118"/>
    </row>
    <row r="10" spans="1:196" ht="14">
      <c r="H10" s="117" t="s">
        <v>82</v>
      </c>
      <c r="I10" s="3">
        <f t="shared" ref="I10:N10" si="24">I9</f>
        <v>935</v>
      </c>
      <c r="J10" s="3">
        <f t="shared" si="24"/>
        <v>922.5</v>
      </c>
      <c r="K10" s="3">
        <f t="shared" si="24"/>
        <v>900</v>
      </c>
      <c r="L10" s="3">
        <f t="shared" si="24"/>
        <v>900</v>
      </c>
      <c r="M10" s="3">
        <f t="shared" si="24"/>
        <v>930</v>
      </c>
      <c r="N10" s="3">
        <f t="shared" si="24"/>
        <v>943.33333333333337</v>
      </c>
      <c r="O10" s="3">
        <f t="shared" ref="O10:P10" si="25">O9</f>
        <v>940</v>
      </c>
      <c r="P10" s="3">
        <f t="shared" si="25"/>
        <v>940</v>
      </c>
      <c r="Q10" s="3">
        <f t="shared" ref="Q10:V10" si="26">Q9</f>
        <v>942</v>
      </c>
      <c r="R10" s="3">
        <f t="shared" si="26"/>
        <v>950</v>
      </c>
      <c r="S10" s="3">
        <f t="shared" si="26"/>
        <v>947.5</v>
      </c>
      <c r="T10" s="3">
        <f t="shared" si="26"/>
        <v>930</v>
      </c>
      <c r="U10" s="3">
        <f t="shared" si="26"/>
        <v>880</v>
      </c>
      <c r="V10" s="3">
        <f t="shared" si="26"/>
        <v>860</v>
      </c>
      <c r="W10" s="3">
        <f t="shared" ref="W10:X10" si="27">W9</f>
        <v>852</v>
      </c>
      <c r="X10" s="3">
        <f t="shared" si="27"/>
        <v>830</v>
      </c>
      <c r="Y10" s="3">
        <f t="shared" ref="Y10:Z10" si="28">Y9</f>
        <v>827.5</v>
      </c>
      <c r="Z10" s="3">
        <f t="shared" si="28"/>
        <v>840</v>
      </c>
      <c r="AA10" s="3">
        <f t="shared" ref="AA10:AB10" si="29">AA9</f>
        <v>822.5</v>
      </c>
      <c r="AB10" s="3">
        <f t="shared" si="29"/>
        <v>765</v>
      </c>
      <c r="AC10" s="3">
        <f t="shared" ref="AC10:AD10" si="30">AC9</f>
        <v>782</v>
      </c>
      <c r="AD10" s="3">
        <f t="shared" si="30"/>
        <v>807.5</v>
      </c>
      <c r="AE10" s="3">
        <f t="shared" ref="AE10:AF10" si="31">AE9</f>
        <v>802</v>
      </c>
      <c r="AF10" s="3">
        <f t="shared" si="31"/>
        <v>795</v>
      </c>
      <c r="AG10" s="3">
        <f t="shared" ref="AG10:AH10" si="32">AG9</f>
        <v>782.5</v>
      </c>
      <c r="AH10" s="3">
        <f t="shared" si="32"/>
        <v>772</v>
      </c>
      <c r="AI10" s="3">
        <f t="shared" ref="AI10:AJ10" si="33">AI9</f>
        <v>770</v>
      </c>
      <c r="AJ10" s="3">
        <f t="shared" si="33"/>
        <v>772.5</v>
      </c>
      <c r="AK10" s="3">
        <f t="shared" ref="AK10:AL10" si="34">AK9</f>
        <v>805</v>
      </c>
      <c r="AL10" s="3">
        <f t="shared" si="34"/>
        <v>840</v>
      </c>
      <c r="AM10" s="3">
        <f t="shared" ref="AM10:AN10" si="35">AM9</f>
        <v>1108.75</v>
      </c>
      <c r="AN10" s="3">
        <f t="shared" si="35"/>
        <v>1194</v>
      </c>
      <c r="AO10" s="3">
        <f t="shared" ref="AO10:AP10" si="36">AO9</f>
        <v>1207.5</v>
      </c>
      <c r="AP10" s="3">
        <f t="shared" si="36"/>
        <v>1102.5</v>
      </c>
      <c r="AQ10" s="3">
        <f t="shared" ref="AQ10" si="37">AQ9</f>
        <v>975</v>
      </c>
      <c r="AU10" s="117" t="s">
        <v>82</v>
      </c>
      <c r="AV10" s="41">
        <f>AV9</f>
        <v>930</v>
      </c>
      <c r="AW10" s="41">
        <f t="shared" ref="AW10:BQ10" si="38">AW9</f>
        <v>930</v>
      </c>
      <c r="AX10" s="41">
        <f t="shared" si="38"/>
        <v>940</v>
      </c>
      <c r="AY10" s="41">
        <f t="shared" si="38"/>
        <v>940</v>
      </c>
      <c r="AZ10" s="41">
        <f t="shared" si="38"/>
        <v>940</v>
      </c>
      <c r="BA10" s="41">
        <f t="shared" si="38"/>
        <v>930</v>
      </c>
      <c r="BB10" s="41">
        <f t="shared" si="38"/>
        <v>920</v>
      </c>
      <c r="BC10" s="41">
        <f t="shared" si="38"/>
        <v>900</v>
      </c>
      <c r="BD10" s="41">
        <f t="shared" si="38"/>
        <v>900</v>
      </c>
      <c r="BE10" s="41">
        <f t="shared" si="38"/>
        <v>900</v>
      </c>
      <c r="BF10" s="41">
        <f t="shared" si="38"/>
        <v>900</v>
      </c>
      <c r="BG10" s="41">
        <f t="shared" si="38"/>
        <v>900</v>
      </c>
      <c r="BH10" s="41">
        <f t="shared" si="38"/>
        <v>900</v>
      </c>
      <c r="BI10" s="41">
        <f t="shared" si="38"/>
        <v>900</v>
      </c>
      <c r="BJ10" s="41">
        <f t="shared" si="38"/>
        <v>900</v>
      </c>
      <c r="BK10" s="41">
        <f t="shared" si="38"/>
        <v>900</v>
      </c>
      <c r="BL10" s="41">
        <f t="shared" si="38"/>
        <v>900</v>
      </c>
      <c r="BM10" s="41">
        <f t="shared" si="38"/>
        <v>900</v>
      </c>
      <c r="BN10" s="41">
        <f t="shared" si="38"/>
        <v>940</v>
      </c>
      <c r="BO10" s="41">
        <f t="shared" si="38"/>
        <v>940</v>
      </c>
      <c r="BP10" s="41">
        <f t="shared" si="38"/>
        <v>940</v>
      </c>
      <c r="BQ10" s="41">
        <f t="shared" si="38"/>
        <v>950</v>
      </c>
      <c r="BR10" s="41">
        <f t="shared" ref="BR10:BT10" si="39">BR9</f>
        <v>940</v>
      </c>
      <c r="BS10" s="41">
        <f t="shared" si="39"/>
        <v>940</v>
      </c>
      <c r="BT10" s="41">
        <f t="shared" si="39"/>
        <v>940</v>
      </c>
      <c r="BU10" s="41">
        <f t="shared" ref="BU10:BV10" si="40">BU9</f>
        <v>940</v>
      </c>
      <c r="BV10" s="41">
        <f t="shared" si="40"/>
        <v>940</v>
      </c>
      <c r="BW10" s="41">
        <f t="shared" ref="BW10:BX10" si="41">BW9</f>
        <v>940</v>
      </c>
      <c r="BX10" s="41">
        <f t="shared" si="41"/>
        <v>940</v>
      </c>
      <c r="BY10" s="41">
        <f t="shared" ref="BY10:CA10" si="42">BY9</f>
        <v>940</v>
      </c>
      <c r="BZ10" s="41">
        <f t="shared" si="42"/>
        <v>940</v>
      </c>
      <c r="CA10" s="41">
        <f t="shared" si="42"/>
        <v>940</v>
      </c>
      <c r="CB10" s="41">
        <f t="shared" ref="CB10:CC10" si="43">CB9</f>
        <v>940</v>
      </c>
      <c r="CC10" s="41">
        <f t="shared" si="43"/>
        <v>940</v>
      </c>
      <c r="CD10" s="41">
        <f t="shared" ref="CD10:CE10" si="44">CD9</f>
        <v>940</v>
      </c>
      <c r="CE10" s="41">
        <f t="shared" si="44"/>
        <v>940</v>
      </c>
      <c r="CF10" s="41">
        <f t="shared" ref="CF10:CG10" si="45">CF9</f>
        <v>950</v>
      </c>
      <c r="CG10" s="41">
        <f t="shared" si="45"/>
        <v>950</v>
      </c>
      <c r="CH10" s="41">
        <f t="shared" ref="CH10:CI10" si="46">CH9</f>
        <v>950</v>
      </c>
      <c r="CI10" s="41">
        <f t="shared" si="46"/>
        <v>950</v>
      </c>
      <c r="CJ10" s="41">
        <f t="shared" ref="CJ10:CK10" si="47">CJ9</f>
        <v>950</v>
      </c>
      <c r="CK10" s="41">
        <f t="shared" si="47"/>
        <v>950</v>
      </c>
      <c r="CL10" s="41">
        <f t="shared" ref="CL10:CM10" si="48">CL9</f>
        <v>950</v>
      </c>
      <c r="CM10" s="41">
        <f t="shared" si="48"/>
        <v>950</v>
      </c>
      <c r="CN10" s="41">
        <f t="shared" ref="CN10:CO10" si="49">CN9</f>
        <v>940</v>
      </c>
      <c r="CO10" s="41">
        <f t="shared" si="49"/>
        <v>940</v>
      </c>
      <c r="CP10" s="41">
        <f t="shared" ref="CP10:CQ10" si="50">CP9</f>
        <v>940</v>
      </c>
      <c r="CQ10" s="41">
        <f t="shared" si="50"/>
        <v>940</v>
      </c>
      <c r="CR10" s="41">
        <f t="shared" ref="CR10:CT10" si="51">CR9</f>
        <v>930</v>
      </c>
      <c r="CS10" s="41">
        <f t="shared" si="51"/>
        <v>900</v>
      </c>
      <c r="CT10" s="41">
        <f t="shared" si="51"/>
        <v>900</v>
      </c>
      <c r="CU10" s="41">
        <f t="shared" ref="CU10:CV10" si="52">CU9</f>
        <v>890</v>
      </c>
      <c r="CV10" s="41">
        <f t="shared" si="52"/>
        <v>870</v>
      </c>
      <c r="CW10" s="41">
        <f t="shared" ref="CW10:CY10" si="53">CW9</f>
        <v>860</v>
      </c>
      <c r="CX10" s="41">
        <f t="shared" si="53"/>
        <v>860</v>
      </c>
      <c r="CY10" s="41">
        <f t="shared" si="53"/>
        <v>860</v>
      </c>
      <c r="CZ10" s="41">
        <f t="shared" ref="CZ10:DA10" si="54">CZ9</f>
        <v>860</v>
      </c>
      <c r="DA10" s="41">
        <f t="shared" si="54"/>
        <v>860</v>
      </c>
      <c r="DB10" s="41">
        <f t="shared" ref="DB10:DF10" si="55">DB9</f>
        <v>860</v>
      </c>
      <c r="DC10" s="41">
        <f t="shared" si="55"/>
        <v>860</v>
      </c>
      <c r="DD10" s="41">
        <f t="shared" si="55"/>
        <v>860</v>
      </c>
      <c r="DE10" s="41">
        <f t="shared" si="55"/>
        <v>840</v>
      </c>
      <c r="DF10" s="41">
        <f t="shared" si="55"/>
        <v>840</v>
      </c>
      <c r="DG10" s="41">
        <f t="shared" ref="DG10:DJ10" si="56">DG9</f>
        <v>840</v>
      </c>
      <c r="DH10" s="41">
        <f t="shared" si="56"/>
        <v>830</v>
      </c>
      <c r="DI10" s="41">
        <f t="shared" si="56"/>
        <v>830</v>
      </c>
      <c r="DJ10" s="41">
        <f t="shared" si="56"/>
        <v>820</v>
      </c>
      <c r="DK10" s="41">
        <f t="shared" ref="DK10:DL10" si="57">DK9</f>
        <v>820</v>
      </c>
      <c r="DL10" s="41">
        <f t="shared" si="57"/>
        <v>820</v>
      </c>
      <c r="DM10" s="41">
        <f t="shared" ref="DM10:DN10" si="58">DM9</f>
        <v>820</v>
      </c>
      <c r="DN10" s="41">
        <f t="shared" si="58"/>
        <v>850</v>
      </c>
      <c r="DO10" s="41">
        <f t="shared" ref="DO10:DQ10" si="59">DO9</f>
        <v>840</v>
      </c>
      <c r="DP10" s="41">
        <f t="shared" si="59"/>
        <v>840</v>
      </c>
      <c r="DQ10" s="41">
        <f t="shared" si="59"/>
        <v>840</v>
      </c>
      <c r="DR10" s="41">
        <f t="shared" ref="DR10:DS10" si="60">DR9</f>
        <v>840</v>
      </c>
      <c r="DS10" s="41">
        <f t="shared" si="60"/>
        <v>840</v>
      </c>
      <c r="DT10" s="41">
        <f t="shared" ref="DT10:DV10" si="61">DT9</f>
        <v>830</v>
      </c>
      <c r="DU10" s="41">
        <f t="shared" si="61"/>
        <v>810</v>
      </c>
      <c r="DV10" s="41">
        <f t="shared" si="61"/>
        <v>810</v>
      </c>
      <c r="DW10" s="41">
        <f t="shared" ref="DW10:DZ10" si="62">DW9</f>
        <v>800</v>
      </c>
      <c r="DX10" s="41">
        <f t="shared" si="62"/>
        <v>750</v>
      </c>
      <c r="DY10" s="41">
        <f t="shared" si="62"/>
        <v>750</v>
      </c>
      <c r="DZ10" s="41">
        <f t="shared" si="62"/>
        <v>760</v>
      </c>
      <c r="EA10" s="41">
        <f t="shared" ref="EA10:EE10" si="63">EA9</f>
        <v>760</v>
      </c>
      <c r="EB10" s="41">
        <f t="shared" si="63"/>
        <v>760</v>
      </c>
      <c r="EC10" s="41">
        <f t="shared" si="63"/>
        <v>800</v>
      </c>
      <c r="ED10" s="41">
        <f t="shared" si="63"/>
        <v>800</v>
      </c>
      <c r="EE10" s="41">
        <f t="shared" si="63"/>
        <v>790</v>
      </c>
      <c r="EF10" s="41">
        <f t="shared" ref="EF10:EI10" si="64">EF9</f>
        <v>800</v>
      </c>
      <c r="EG10" s="41">
        <f t="shared" si="64"/>
        <v>790</v>
      </c>
      <c r="EH10" s="41">
        <f t="shared" si="64"/>
        <v>820</v>
      </c>
      <c r="EI10" s="41">
        <f t="shared" si="64"/>
        <v>820</v>
      </c>
      <c r="EJ10" s="41">
        <f t="shared" ref="EJ10:EN10" si="65">EJ9</f>
        <v>820</v>
      </c>
      <c r="EK10" s="41">
        <f t="shared" si="65"/>
        <v>820</v>
      </c>
      <c r="EL10" s="41">
        <f t="shared" si="65"/>
        <v>790</v>
      </c>
      <c r="EM10" s="41">
        <f t="shared" si="65"/>
        <v>790</v>
      </c>
      <c r="EN10" s="41">
        <f t="shared" si="65"/>
        <v>790</v>
      </c>
      <c r="EO10" s="41">
        <f t="shared" ref="EO10:ER10" si="66">EO9</f>
        <v>800</v>
      </c>
      <c r="EP10" s="41">
        <f t="shared" si="66"/>
        <v>790</v>
      </c>
      <c r="EQ10" s="41">
        <f t="shared" si="66"/>
        <v>790</v>
      </c>
      <c r="ER10" s="41">
        <f t="shared" si="66"/>
        <v>800</v>
      </c>
      <c r="ES10" s="41">
        <f t="shared" ref="ES10:EV10" si="67">ES9</f>
        <v>790</v>
      </c>
      <c r="ET10" s="41">
        <f t="shared" si="67"/>
        <v>780</v>
      </c>
      <c r="EU10" s="41">
        <f t="shared" si="67"/>
        <v>780</v>
      </c>
      <c r="EV10" s="41">
        <f t="shared" si="67"/>
        <v>780</v>
      </c>
      <c r="EW10" s="41">
        <f t="shared" ref="EW10:FA10" si="68">EW9</f>
        <v>780</v>
      </c>
      <c r="EX10" s="41">
        <f t="shared" si="68"/>
        <v>780</v>
      </c>
      <c r="EY10" s="41">
        <f t="shared" si="68"/>
        <v>770</v>
      </c>
      <c r="EZ10" s="41">
        <f t="shared" si="68"/>
        <v>760</v>
      </c>
      <c r="FA10" s="41">
        <f t="shared" si="68"/>
        <v>770</v>
      </c>
      <c r="FB10" s="41">
        <f t="shared" ref="FB10:FE10" si="69">FB9</f>
        <v>770</v>
      </c>
      <c r="FC10" s="41">
        <f t="shared" si="69"/>
        <v>770</v>
      </c>
      <c r="FD10" s="41">
        <f t="shared" si="69"/>
        <v>770</v>
      </c>
      <c r="FE10" s="41">
        <f t="shared" si="69"/>
        <v>770</v>
      </c>
      <c r="FF10" s="41">
        <f t="shared" ref="FF10:FI10" si="70">FF9</f>
        <v>770</v>
      </c>
      <c r="FG10" s="41">
        <f t="shared" si="70"/>
        <v>770</v>
      </c>
      <c r="FH10" s="41">
        <f t="shared" si="70"/>
        <v>770</v>
      </c>
      <c r="FI10" s="41">
        <f t="shared" si="70"/>
        <v>780</v>
      </c>
      <c r="FJ10" s="41">
        <f t="shared" ref="FJ10:FN10" si="71">FJ9</f>
        <v>795</v>
      </c>
      <c r="FK10" s="41">
        <f t="shared" si="71"/>
        <v>795</v>
      </c>
      <c r="FL10" s="41">
        <f t="shared" si="71"/>
        <v>795</v>
      </c>
      <c r="FM10" s="41">
        <f t="shared" si="71"/>
        <v>820</v>
      </c>
      <c r="FN10" s="41">
        <f t="shared" si="71"/>
        <v>820</v>
      </c>
      <c r="FO10" s="41">
        <f t="shared" ref="FO10:FR10" si="72">FO9</f>
        <v>840</v>
      </c>
      <c r="FP10" s="41">
        <f t="shared" si="72"/>
        <v>840</v>
      </c>
      <c r="FQ10" s="41">
        <f t="shared" si="72"/>
        <v>840</v>
      </c>
      <c r="FR10" s="41">
        <f t="shared" si="72"/>
        <v>840</v>
      </c>
      <c r="FS10" s="41">
        <f t="shared" ref="FS10:FV10" si="73">FS9</f>
        <v>935</v>
      </c>
      <c r="FT10" s="41">
        <f t="shared" si="73"/>
        <v>1080</v>
      </c>
      <c r="FU10" s="41">
        <f t="shared" si="73"/>
        <v>1280</v>
      </c>
      <c r="FV10" s="41">
        <f t="shared" si="73"/>
        <v>1140</v>
      </c>
      <c r="FW10" s="41">
        <f t="shared" ref="FW10:GA10" si="74">FW9</f>
        <v>1140</v>
      </c>
      <c r="FX10" s="41">
        <f t="shared" si="74"/>
        <v>1200</v>
      </c>
      <c r="FY10" s="41">
        <f t="shared" si="74"/>
        <v>1200</v>
      </c>
      <c r="FZ10" s="41">
        <f t="shared" si="74"/>
        <v>1200</v>
      </c>
      <c r="GA10" s="41">
        <f t="shared" si="74"/>
        <v>1230</v>
      </c>
      <c r="GB10" s="41">
        <f t="shared" ref="GB10:GE10" si="75">GB9</f>
        <v>1250</v>
      </c>
      <c r="GC10" s="41">
        <f t="shared" si="75"/>
        <v>1230</v>
      </c>
      <c r="GD10" s="41">
        <f t="shared" si="75"/>
        <v>1190</v>
      </c>
      <c r="GE10" s="41">
        <f t="shared" si="75"/>
        <v>1160</v>
      </c>
      <c r="GF10" s="41">
        <f t="shared" ref="GF10:GI10" si="76">GF9</f>
        <v>1140</v>
      </c>
      <c r="GG10" s="41">
        <f t="shared" si="76"/>
        <v>1140</v>
      </c>
      <c r="GH10" s="41">
        <f t="shared" si="76"/>
        <v>1090</v>
      </c>
      <c r="GI10" s="41">
        <f t="shared" si="76"/>
        <v>1040</v>
      </c>
      <c r="GJ10" s="41">
        <f t="shared" ref="GJ10:GN10" si="77">GJ9</f>
        <v>990</v>
      </c>
      <c r="GK10" s="41">
        <f t="shared" si="77"/>
        <v>960</v>
      </c>
      <c r="GL10" s="41">
        <f t="shared" si="77"/>
        <v>0</v>
      </c>
      <c r="GM10" s="41">
        <f t="shared" si="77"/>
        <v>0</v>
      </c>
      <c r="GN10" s="41">
        <f t="shared" si="77"/>
        <v>0</v>
      </c>
    </row>
    <row r="11" spans="1:196" ht="15">
      <c r="F11" s="62"/>
      <c r="H11" s="117" t="s">
        <v>83</v>
      </c>
      <c r="I11" s="3" t="e">
        <f>#REF!-I10</f>
        <v>#REF!</v>
      </c>
      <c r="J11" s="41">
        <f>J7-J9</f>
        <v>127.5</v>
      </c>
      <c r="K11" s="41">
        <f t="shared" ref="K11:O11" si="78">K7-K9</f>
        <v>150</v>
      </c>
      <c r="L11" s="41">
        <f t="shared" si="78"/>
        <v>150</v>
      </c>
      <c r="M11" s="41">
        <f t="shared" si="78"/>
        <v>120</v>
      </c>
      <c r="N11" s="41">
        <f t="shared" si="78"/>
        <v>106.66666666666663</v>
      </c>
      <c r="O11" s="41">
        <f t="shared" si="78"/>
        <v>110</v>
      </c>
      <c r="P11" s="41">
        <f t="shared" ref="P11" si="79">P7-P9</f>
        <v>110</v>
      </c>
      <c r="Q11" s="41">
        <f t="shared" ref="Q11:V11" si="80">Q7-Q9</f>
        <v>158</v>
      </c>
      <c r="R11" s="41">
        <f t="shared" si="80"/>
        <v>150</v>
      </c>
      <c r="S11" s="41">
        <f t="shared" si="80"/>
        <v>152.5</v>
      </c>
      <c r="T11" s="41">
        <f t="shared" si="80"/>
        <v>170</v>
      </c>
      <c r="U11" s="41">
        <f t="shared" si="80"/>
        <v>220</v>
      </c>
      <c r="V11" s="41">
        <f t="shared" si="80"/>
        <v>240</v>
      </c>
      <c r="W11" s="41">
        <f t="shared" ref="W11:X11" si="81">W7-W9</f>
        <v>248</v>
      </c>
      <c r="X11" s="41">
        <f t="shared" si="81"/>
        <v>270</v>
      </c>
      <c r="Y11" s="41">
        <f t="shared" ref="Y11:Z11" si="82">Y7-Y9</f>
        <v>272.5</v>
      </c>
      <c r="Z11" s="41">
        <f t="shared" si="82"/>
        <v>260</v>
      </c>
      <c r="AA11" s="41">
        <f t="shared" ref="AA11:AB11" si="83">AA7-AA9</f>
        <v>277.5</v>
      </c>
      <c r="AB11" s="41">
        <f t="shared" si="83"/>
        <v>355</v>
      </c>
      <c r="AC11" s="41">
        <f t="shared" ref="AC11:AD11" si="84">AC7-AC9</f>
        <v>338</v>
      </c>
      <c r="AD11" s="41">
        <f t="shared" si="84"/>
        <v>312.5</v>
      </c>
      <c r="AE11" s="41">
        <f t="shared" ref="AE11:AF11" si="85">AE7-AE9</f>
        <v>318</v>
      </c>
      <c r="AF11" s="41">
        <f t="shared" si="85"/>
        <v>295</v>
      </c>
      <c r="AG11" s="41">
        <f t="shared" ref="AG11:AH11" si="86">AG7-AG9</f>
        <v>307.5</v>
      </c>
      <c r="AH11" s="41">
        <f t="shared" si="86"/>
        <v>308</v>
      </c>
      <c r="AI11" s="41">
        <f t="shared" ref="AI11:AJ11" si="87">AI7-AI9</f>
        <v>300</v>
      </c>
      <c r="AJ11" s="41">
        <f t="shared" si="87"/>
        <v>297.5</v>
      </c>
      <c r="AK11" s="41">
        <f t="shared" ref="AK11:AL11" si="88">AK7-AK9</f>
        <v>225</v>
      </c>
      <c r="AL11" s="41">
        <f t="shared" si="88"/>
        <v>190</v>
      </c>
      <c r="AM11" s="41">
        <f t="shared" ref="AM11:AN11" si="89">AM7-AM9</f>
        <v>-78.75</v>
      </c>
      <c r="AN11" s="41">
        <f t="shared" si="89"/>
        <v>-44</v>
      </c>
      <c r="AO11" s="41">
        <f t="shared" ref="AO11:AP11" si="90">AO7-AO9</f>
        <v>42.5</v>
      </c>
      <c r="AP11" s="41">
        <f t="shared" si="90"/>
        <v>117.5</v>
      </c>
      <c r="AQ11" s="41">
        <f t="shared" ref="AQ11" si="91">AQ7-AQ9</f>
        <v>245</v>
      </c>
      <c r="AU11" s="117" t="s">
        <v>83</v>
      </c>
      <c r="AV11" s="41">
        <f>AV7-AV9</f>
        <v>120</v>
      </c>
      <c r="AW11" s="41">
        <f t="shared" ref="AW11:BP11" si="92">AW7-AW9</f>
        <v>120</v>
      </c>
      <c r="AX11" s="41">
        <f t="shared" si="92"/>
        <v>110</v>
      </c>
      <c r="AY11" s="41">
        <f t="shared" si="92"/>
        <v>110</v>
      </c>
      <c r="AZ11" s="41">
        <f t="shared" si="92"/>
        <v>110</v>
      </c>
      <c r="BA11" s="41">
        <f t="shared" si="92"/>
        <v>120</v>
      </c>
      <c r="BB11" s="41">
        <f t="shared" si="92"/>
        <v>130</v>
      </c>
      <c r="BC11" s="41">
        <f t="shared" si="92"/>
        <v>150</v>
      </c>
      <c r="BD11" s="41">
        <f t="shared" si="92"/>
        <v>150</v>
      </c>
      <c r="BE11" s="41">
        <f t="shared" si="92"/>
        <v>150</v>
      </c>
      <c r="BF11" s="41">
        <f t="shared" si="92"/>
        <v>150</v>
      </c>
      <c r="BG11" s="41">
        <f t="shared" si="92"/>
        <v>150</v>
      </c>
      <c r="BH11" s="41">
        <f t="shared" si="92"/>
        <v>150</v>
      </c>
      <c r="BI11" s="41">
        <f t="shared" si="92"/>
        <v>150</v>
      </c>
      <c r="BJ11" s="41">
        <f t="shared" si="92"/>
        <v>150</v>
      </c>
      <c r="BK11" s="41">
        <f t="shared" si="92"/>
        <v>150</v>
      </c>
      <c r="BL11" s="41">
        <f t="shared" si="92"/>
        <v>150</v>
      </c>
      <c r="BM11" s="41">
        <f t="shared" si="92"/>
        <v>150</v>
      </c>
      <c r="BN11" s="41">
        <f t="shared" si="92"/>
        <v>110</v>
      </c>
      <c r="BO11" s="41">
        <f t="shared" si="92"/>
        <v>110</v>
      </c>
      <c r="BP11" s="41">
        <f t="shared" si="92"/>
        <v>110</v>
      </c>
      <c r="BQ11" s="41">
        <f t="shared" ref="BQ11:BR11" si="93">BQ7-BQ9</f>
        <v>100</v>
      </c>
      <c r="BR11" s="41">
        <f t="shared" si="93"/>
        <v>110</v>
      </c>
      <c r="BS11" s="41">
        <f t="shared" ref="BS11:BT11" si="94">BS7-BS9</f>
        <v>110</v>
      </c>
      <c r="BT11" s="41">
        <f t="shared" si="94"/>
        <v>110</v>
      </c>
      <c r="BU11" s="41">
        <f t="shared" ref="BU11:BV11" si="95">BU7-BU9</f>
        <v>110</v>
      </c>
      <c r="BV11" s="41">
        <f t="shared" si="95"/>
        <v>110</v>
      </c>
      <c r="BW11" s="41">
        <f t="shared" ref="BW11:BX11" si="96">BW7-BW9</f>
        <v>110</v>
      </c>
      <c r="BX11" s="41">
        <f t="shared" si="96"/>
        <v>110</v>
      </c>
      <c r="BY11" s="41">
        <f t="shared" ref="BY11:CA11" si="97">BY7-BY9</f>
        <v>110</v>
      </c>
      <c r="BZ11" s="41">
        <f t="shared" si="97"/>
        <v>110</v>
      </c>
      <c r="CA11" s="41">
        <f t="shared" si="97"/>
        <v>110</v>
      </c>
      <c r="CB11" s="41">
        <f t="shared" ref="CB11:CC11" si="98">CB7-CB9</f>
        <v>160</v>
      </c>
      <c r="CC11" s="41">
        <f t="shared" si="98"/>
        <v>160</v>
      </c>
      <c r="CD11" s="41">
        <f t="shared" ref="CD11:CE11" si="99">CD7-CD9</f>
        <v>160</v>
      </c>
      <c r="CE11" s="41">
        <f t="shared" si="99"/>
        <v>160</v>
      </c>
      <c r="CF11" s="41">
        <f t="shared" ref="CF11:CG11" si="100">CF7-CF9</f>
        <v>150</v>
      </c>
      <c r="CG11" s="41">
        <f t="shared" si="100"/>
        <v>150</v>
      </c>
      <c r="CH11" s="41">
        <f t="shared" ref="CH11:CI11" si="101">CH7-CH9</f>
        <v>150</v>
      </c>
      <c r="CI11" s="41">
        <f t="shared" si="101"/>
        <v>150</v>
      </c>
      <c r="CJ11" s="41">
        <f t="shared" ref="CJ11:CK11" si="102">CJ7-CJ9</f>
        <v>150</v>
      </c>
      <c r="CK11" s="41">
        <f t="shared" si="102"/>
        <v>150</v>
      </c>
      <c r="CL11" s="41">
        <f t="shared" ref="CL11:CM11" si="103">CL7-CL9</f>
        <v>150</v>
      </c>
      <c r="CM11" s="41">
        <f t="shared" si="103"/>
        <v>150</v>
      </c>
      <c r="CN11" s="41">
        <f t="shared" ref="CN11:CO11" si="104">CN7-CN9</f>
        <v>160</v>
      </c>
      <c r="CO11" s="41">
        <f t="shared" si="104"/>
        <v>160</v>
      </c>
      <c r="CP11" s="41">
        <f t="shared" ref="CP11:CQ11" si="105">CP7-CP9</f>
        <v>160</v>
      </c>
      <c r="CQ11" s="41">
        <f t="shared" si="105"/>
        <v>160</v>
      </c>
      <c r="CR11" s="41">
        <f t="shared" ref="CR11:CT11" si="106">CR7-CR9</f>
        <v>170</v>
      </c>
      <c r="CS11" s="41">
        <f t="shared" si="106"/>
        <v>200</v>
      </c>
      <c r="CT11" s="41">
        <f t="shared" si="106"/>
        <v>200</v>
      </c>
      <c r="CU11" s="41">
        <f t="shared" ref="CU11:CV11" si="107">CU7-CU9</f>
        <v>210</v>
      </c>
      <c r="CV11" s="41">
        <f t="shared" si="107"/>
        <v>230</v>
      </c>
      <c r="CW11" s="41">
        <f t="shared" ref="CW11:CY11" si="108">CW7-CW9</f>
        <v>240</v>
      </c>
      <c r="CX11" s="41">
        <f t="shared" si="108"/>
        <v>240</v>
      </c>
      <c r="CY11" s="41">
        <f t="shared" si="108"/>
        <v>240</v>
      </c>
      <c r="CZ11" s="41">
        <f t="shared" ref="CZ11:DA11" si="109">CZ7-CZ9</f>
        <v>240</v>
      </c>
      <c r="DA11" s="41">
        <f t="shared" si="109"/>
        <v>240</v>
      </c>
      <c r="DB11" s="41">
        <f t="shared" ref="DB11:DF11" si="110">DB7-DB9</f>
        <v>240</v>
      </c>
      <c r="DC11" s="41">
        <f t="shared" si="110"/>
        <v>240</v>
      </c>
      <c r="DD11" s="41">
        <f t="shared" si="110"/>
        <v>240</v>
      </c>
      <c r="DE11" s="41">
        <f t="shared" si="110"/>
        <v>260</v>
      </c>
      <c r="DF11" s="41">
        <f t="shared" si="110"/>
        <v>260</v>
      </c>
      <c r="DG11" s="41">
        <f t="shared" ref="DG11:DJ11" si="111">DG7-DG9</f>
        <v>260</v>
      </c>
      <c r="DH11" s="41">
        <f t="shared" si="111"/>
        <v>270</v>
      </c>
      <c r="DI11" s="41">
        <f t="shared" si="111"/>
        <v>270</v>
      </c>
      <c r="DJ11" s="41">
        <f t="shared" si="111"/>
        <v>280</v>
      </c>
      <c r="DK11" s="41">
        <f t="shared" ref="DK11:DL11" si="112">DK7-DK9</f>
        <v>280</v>
      </c>
      <c r="DL11" s="41">
        <f t="shared" si="112"/>
        <v>280</v>
      </c>
      <c r="DM11" s="41">
        <f t="shared" ref="DM11:DN11" si="113">DM7-DM9</f>
        <v>280</v>
      </c>
      <c r="DN11" s="41">
        <f t="shared" si="113"/>
        <v>250</v>
      </c>
      <c r="DO11" s="41">
        <f t="shared" ref="DO11:DQ11" si="114">DO7-DO9</f>
        <v>260</v>
      </c>
      <c r="DP11" s="41">
        <f t="shared" si="114"/>
        <v>260</v>
      </c>
      <c r="DQ11" s="41">
        <f t="shared" si="114"/>
        <v>260</v>
      </c>
      <c r="DR11" s="41">
        <f t="shared" ref="DR11:DS11" si="115">DR7-DR9</f>
        <v>260</v>
      </c>
      <c r="DS11" s="41">
        <f t="shared" si="115"/>
        <v>260</v>
      </c>
      <c r="DT11" s="41">
        <f t="shared" ref="DT11:DV11" si="116">DT7-DT9</f>
        <v>270</v>
      </c>
      <c r="DU11" s="41">
        <f t="shared" si="116"/>
        <v>290</v>
      </c>
      <c r="DV11" s="41">
        <f t="shared" si="116"/>
        <v>290</v>
      </c>
      <c r="DW11" s="41">
        <f t="shared" ref="DW11:DZ11" si="117">DW7-DW9</f>
        <v>320</v>
      </c>
      <c r="DX11" s="41">
        <f t="shared" si="117"/>
        <v>370</v>
      </c>
      <c r="DY11" s="41">
        <f t="shared" si="117"/>
        <v>370</v>
      </c>
      <c r="DZ11" s="41">
        <f t="shared" si="117"/>
        <v>360</v>
      </c>
      <c r="EA11" s="41">
        <f t="shared" ref="EA11:EE11" si="118">EA7-EA9</f>
        <v>360</v>
      </c>
      <c r="EB11" s="41">
        <f t="shared" si="118"/>
        <v>360</v>
      </c>
      <c r="EC11" s="41">
        <f t="shared" si="118"/>
        <v>320</v>
      </c>
      <c r="ED11" s="41">
        <f t="shared" si="118"/>
        <v>320</v>
      </c>
      <c r="EE11" s="41">
        <f t="shared" si="118"/>
        <v>330</v>
      </c>
      <c r="EF11" s="41">
        <f t="shared" ref="EF11:EI11" si="119">EF7-EF9</f>
        <v>320</v>
      </c>
      <c r="EG11" s="41">
        <f t="shared" si="119"/>
        <v>330</v>
      </c>
      <c r="EH11" s="41">
        <f t="shared" si="119"/>
        <v>300</v>
      </c>
      <c r="EI11" s="41">
        <f t="shared" si="119"/>
        <v>300</v>
      </c>
      <c r="EJ11" s="41">
        <f t="shared" ref="EJ11:EN11" si="120">EJ7-EJ9</f>
        <v>300</v>
      </c>
      <c r="EK11" s="41">
        <f t="shared" si="120"/>
        <v>300</v>
      </c>
      <c r="EL11" s="41">
        <f t="shared" si="120"/>
        <v>330</v>
      </c>
      <c r="EM11" s="41">
        <f t="shared" si="120"/>
        <v>330</v>
      </c>
      <c r="EN11" s="41">
        <f t="shared" si="120"/>
        <v>330</v>
      </c>
      <c r="EO11" s="41">
        <f t="shared" ref="EO11:ER11" si="121">EO7-EO9</f>
        <v>290</v>
      </c>
      <c r="EP11" s="41">
        <f t="shared" si="121"/>
        <v>300</v>
      </c>
      <c r="EQ11" s="41">
        <f t="shared" si="121"/>
        <v>300</v>
      </c>
      <c r="ER11" s="41">
        <f t="shared" si="121"/>
        <v>290</v>
      </c>
      <c r="ES11" s="41">
        <f t="shared" ref="ES11:EV11" si="122">ES7-ES9</f>
        <v>300</v>
      </c>
      <c r="ET11" s="41">
        <f t="shared" si="122"/>
        <v>310</v>
      </c>
      <c r="EU11" s="41">
        <f t="shared" si="122"/>
        <v>310</v>
      </c>
      <c r="EV11" s="41">
        <f t="shared" si="122"/>
        <v>310</v>
      </c>
      <c r="EW11" s="41">
        <f t="shared" ref="EW11:FA11" si="123">EW7-EW9</f>
        <v>300</v>
      </c>
      <c r="EX11" s="41">
        <f t="shared" si="123"/>
        <v>300</v>
      </c>
      <c r="EY11" s="41">
        <f t="shared" si="123"/>
        <v>310</v>
      </c>
      <c r="EZ11" s="41">
        <f t="shared" si="123"/>
        <v>320</v>
      </c>
      <c r="FA11" s="41">
        <f t="shared" si="123"/>
        <v>310</v>
      </c>
      <c r="FB11" s="41">
        <f t="shared" ref="FB11:FE11" si="124">FB7-FB9</f>
        <v>300</v>
      </c>
      <c r="FC11" s="41">
        <f t="shared" si="124"/>
        <v>300</v>
      </c>
      <c r="FD11" s="41">
        <f t="shared" si="124"/>
        <v>300</v>
      </c>
      <c r="FE11" s="41">
        <f t="shared" si="124"/>
        <v>300</v>
      </c>
      <c r="FF11" s="41">
        <f t="shared" ref="FF11:FI11" si="125">FF7-FF9</f>
        <v>300</v>
      </c>
      <c r="FG11" s="41">
        <f t="shared" si="125"/>
        <v>300</v>
      </c>
      <c r="FH11" s="41">
        <f t="shared" si="125"/>
        <v>300</v>
      </c>
      <c r="FI11" s="41">
        <f t="shared" si="125"/>
        <v>290</v>
      </c>
      <c r="FJ11" s="41">
        <f t="shared" ref="FJ11:FN11" si="126">FJ7-FJ9</f>
        <v>235</v>
      </c>
      <c r="FK11" s="41">
        <f t="shared" si="126"/>
        <v>235</v>
      </c>
      <c r="FL11" s="41">
        <f t="shared" si="126"/>
        <v>235</v>
      </c>
      <c r="FM11" s="41">
        <f t="shared" si="126"/>
        <v>210</v>
      </c>
      <c r="FN11" s="41">
        <f t="shared" si="126"/>
        <v>210</v>
      </c>
      <c r="FO11" s="41">
        <f t="shared" ref="FO11:FR11" si="127">FO7-FO9</f>
        <v>190</v>
      </c>
      <c r="FP11" s="41">
        <f t="shared" si="127"/>
        <v>190</v>
      </c>
      <c r="FQ11" s="41">
        <f t="shared" si="127"/>
        <v>190</v>
      </c>
      <c r="FR11" s="41">
        <f t="shared" si="127"/>
        <v>190</v>
      </c>
      <c r="FS11" s="41">
        <f t="shared" ref="FS11:FV11" si="128">FS7-FS9</f>
        <v>95</v>
      </c>
      <c r="FT11" s="41">
        <f t="shared" si="128"/>
        <v>-50</v>
      </c>
      <c r="FU11" s="41">
        <f t="shared" si="128"/>
        <v>-200</v>
      </c>
      <c r="FV11" s="41">
        <f t="shared" si="128"/>
        <v>10</v>
      </c>
      <c r="FW11" s="41">
        <f t="shared" ref="FW11:GA11" si="129">FW7-FW9</f>
        <v>10</v>
      </c>
      <c r="FX11" s="41">
        <f t="shared" si="129"/>
        <v>-50</v>
      </c>
      <c r="FY11" s="41">
        <f t="shared" si="129"/>
        <v>-20</v>
      </c>
      <c r="FZ11" s="41">
        <f t="shared" si="129"/>
        <v>50</v>
      </c>
      <c r="GA11" s="41">
        <f t="shared" si="129"/>
        <v>20</v>
      </c>
      <c r="GB11" s="41">
        <f t="shared" ref="GB11:GE11" si="130">GB7-GB9</f>
        <v>0</v>
      </c>
      <c r="GC11" s="41">
        <f t="shared" si="130"/>
        <v>20</v>
      </c>
      <c r="GD11" s="41">
        <f t="shared" si="130"/>
        <v>60</v>
      </c>
      <c r="GE11" s="41">
        <f t="shared" si="130"/>
        <v>90</v>
      </c>
      <c r="GF11" s="41">
        <f t="shared" ref="GF11:GI11" si="131">GF7-GF9</f>
        <v>80</v>
      </c>
      <c r="GG11" s="41">
        <f t="shared" si="131"/>
        <v>80</v>
      </c>
      <c r="GH11" s="41">
        <f t="shared" si="131"/>
        <v>130</v>
      </c>
      <c r="GI11" s="41">
        <f t="shared" si="131"/>
        <v>180</v>
      </c>
      <c r="GJ11" s="41">
        <f t="shared" ref="GJ11:GN11" si="132">GJ7-GJ9</f>
        <v>210</v>
      </c>
      <c r="GK11" s="41">
        <f t="shared" si="132"/>
        <v>240</v>
      </c>
      <c r="GL11" s="41">
        <f t="shared" si="132"/>
        <v>-130</v>
      </c>
      <c r="GM11" s="41">
        <f t="shared" si="132"/>
        <v>-130</v>
      </c>
      <c r="GN11" s="41">
        <f t="shared" si="132"/>
        <v>-130</v>
      </c>
    </row>
    <row r="12" spans="1:196" ht="15">
      <c r="F12" s="62"/>
      <c r="H12" s="1" t="s">
        <v>81</v>
      </c>
      <c r="I12" s="3" t="e">
        <f t="shared" ref="I12:N12" si="133">I11/I10</f>
        <v>#REF!</v>
      </c>
      <c r="J12" s="51">
        <f t="shared" si="133"/>
        <v>0.13821138211382114</v>
      </c>
      <c r="K12" s="51">
        <f t="shared" si="133"/>
        <v>0.16666666666666666</v>
      </c>
      <c r="L12" s="51">
        <f t="shared" si="133"/>
        <v>0.16666666666666666</v>
      </c>
      <c r="M12" s="51">
        <f t="shared" si="133"/>
        <v>0.12903225806451613</v>
      </c>
      <c r="N12" s="51">
        <f t="shared" si="133"/>
        <v>0.11307420494699642</v>
      </c>
      <c r="O12" s="51">
        <f t="shared" ref="O12:P12" si="134">O11/O10</f>
        <v>0.11702127659574468</v>
      </c>
      <c r="P12" s="51">
        <f t="shared" si="134"/>
        <v>0.11702127659574468</v>
      </c>
      <c r="Q12" s="51">
        <f t="shared" ref="Q12:R12" si="135">Q11/Q10</f>
        <v>0.16772823779193205</v>
      </c>
      <c r="R12" s="51">
        <f t="shared" si="135"/>
        <v>0.15789473684210525</v>
      </c>
      <c r="S12" s="51">
        <f t="shared" ref="S12:T12" si="136">S11/S10</f>
        <v>0.16094986807387862</v>
      </c>
      <c r="T12" s="51">
        <f t="shared" si="136"/>
        <v>0.18279569892473119</v>
      </c>
      <c r="U12" s="51">
        <f t="shared" ref="U12:V12" si="137">U11/U10</f>
        <v>0.25</v>
      </c>
      <c r="V12" s="51">
        <f t="shared" si="137"/>
        <v>0.27906976744186046</v>
      </c>
      <c r="W12" s="51">
        <f t="shared" ref="W12:X12" si="138">W11/W10</f>
        <v>0.29107981220657275</v>
      </c>
      <c r="X12" s="51">
        <f t="shared" si="138"/>
        <v>0.3253012048192771</v>
      </c>
      <c r="Y12" s="51">
        <f t="shared" ref="Y12:Z12" si="139">Y11/Y10</f>
        <v>0.32930513595166161</v>
      </c>
      <c r="Z12" s="51">
        <f t="shared" si="139"/>
        <v>0.30952380952380953</v>
      </c>
      <c r="AA12" s="51">
        <f t="shared" ref="AA12:AB12" si="140">AA11/AA10</f>
        <v>0.33738601823708209</v>
      </c>
      <c r="AB12" s="51">
        <f t="shared" si="140"/>
        <v>0.46405228758169936</v>
      </c>
      <c r="AC12" s="51">
        <f t="shared" ref="AC12:AD12" si="141">AC11/AC10</f>
        <v>0.43222506393861893</v>
      </c>
      <c r="AD12" s="51">
        <f t="shared" si="141"/>
        <v>0.38699690402476783</v>
      </c>
      <c r="AE12" s="51">
        <f t="shared" ref="AE12:AF12" si="142">AE11/AE10</f>
        <v>0.39650872817955113</v>
      </c>
      <c r="AF12" s="51">
        <f t="shared" si="142"/>
        <v>0.37106918238993708</v>
      </c>
      <c r="AG12" s="51">
        <f t="shared" ref="AG12:AH12" si="143">AG11/AG10</f>
        <v>0.39297124600638977</v>
      </c>
      <c r="AH12" s="51">
        <f t="shared" si="143"/>
        <v>0.39896373056994816</v>
      </c>
      <c r="AI12" s="51">
        <f t="shared" ref="AI12:AJ12" si="144">AI11/AI10</f>
        <v>0.38961038961038963</v>
      </c>
      <c r="AJ12" s="51">
        <f t="shared" si="144"/>
        <v>0.38511326860841422</v>
      </c>
      <c r="AK12" s="51">
        <f t="shared" ref="AK12:AL12" si="145">AK11/AK10</f>
        <v>0.27950310559006208</v>
      </c>
      <c r="AL12" s="51">
        <f t="shared" si="145"/>
        <v>0.22619047619047619</v>
      </c>
      <c r="AM12" s="51">
        <f t="shared" ref="AM12:AN12" si="146">AM11/AM10</f>
        <v>-7.1025930101465615E-2</v>
      </c>
      <c r="AN12" s="51">
        <f t="shared" si="146"/>
        <v>-3.6850921273031828E-2</v>
      </c>
      <c r="AO12" s="51">
        <f t="shared" ref="AO12:AP12" si="147">AO11/AO10</f>
        <v>3.5196687370600416E-2</v>
      </c>
      <c r="AP12" s="51">
        <f t="shared" si="147"/>
        <v>0.10657596371882086</v>
      </c>
      <c r="AQ12" s="51">
        <f t="shared" ref="AQ12" si="148">AQ11/AQ10</f>
        <v>0.25128205128205128</v>
      </c>
      <c r="AU12" s="1" t="s">
        <v>81</v>
      </c>
      <c r="AV12" s="51">
        <f t="shared" ref="AV12:BA12" si="149">+AV11/AV10</f>
        <v>0.12903225806451613</v>
      </c>
      <c r="AW12" s="51">
        <f t="shared" si="149"/>
        <v>0.12903225806451613</v>
      </c>
      <c r="AX12" s="51">
        <f t="shared" si="149"/>
        <v>0.11702127659574468</v>
      </c>
      <c r="AY12" s="51">
        <f t="shared" si="149"/>
        <v>0.11702127659574468</v>
      </c>
      <c r="AZ12" s="51">
        <f t="shared" si="149"/>
        <v>0.11702127659574468</v>
      </c>
      <c r="BA12" s="51">
        <f t="shared" si="149"/>
        <v>0.12903225806451613</v>
      </c>
      <c r="BB12" s="51">
        <f t="shared" ref="BB12:BG12" si="150">+BB11/BB10</f>
        <v>0.14130434782608695</v>
      </c>
      <c r="BC12" s="51">
        <f t="shared" si="150"/>
        <v>0.16666666666666666</v>
      </c>
      <c r="BD12" s="51">
        <f t="shared" si="150"/>
        <v>0.16666666666666666</v>
      </c>
      <c r="BE12" s="51">
        <f t="shared" si="150"/>
        <v>0.16666666666666666</v>
      </c>
      <c r="BF12" s="51">
        <f t="shared" si="150"/>
        <v>0.16666666666666666</v>
      </c>
      <c r="BG12" s="51">
        <f t="shared" si="150"/>
        <v>0.16666666666666666</v>
      </c>
      <c r="BH12" s="51">
        <f t="shared" ref="BH12:BI12" si="151">+BH11/BH10</f>
        <v>0.16666666666666666</v>
      </c>
      <c r="BI12" s="51">
        <f t="shared" si="151"/>
        <v>0.16666666666666666</v>
      </c>
      <c r="BJ12" s="51">
        <f t="shared" ref="BJ12:BK12" si="152">+BJ11/BJ10</f>
        <v>0.16666666666666666</v>
      </c>
      <c r="BK12" s="51">
        <f t="shared" si="152"/>
        <v>0.16666666666666666</v>
      </c>
      <c r="BL12" s="51">
        <f t="shared" ref="BL12:BM12" si="153">+BL11/BL10</f>
        <v>0.16666666666666666</v>
      </c>
      <c r="BM12" s="51">
        <f t="shared" si="153"/>
        <v>0.16666666666666666</v>
      </c>
      <c r="BN12" s="51">
        <f t="shared" ref="BN12:BO12" si="154">+BN11/BN10</f>
        <v>0.11702127659574468</v>
      </c>
      <c r="BO12" s="51">
        <f t="shared" si="154"/>
        <v>0.11702127659574468</v>
      </c>
      <c r="BP12" s="51">
        <f>+BP11/BP10</f>
        <v>0.11702127659574468</v>
      </c>
      <c r="BQ12" s="51">
        <f>+BQ11/BQ10</f>
        <v>0.10526315789473684</v>
      </c>
      <c r="BR12" s="51">
        <f>+BR11/BR10</f>
        <v>0.11702127659574468</v>
      </c>
      <c r="BS12" s="51">
        <f t="shared" ref="BS12:BT12" si="155">+BS11/BS10</f>
        <v>0.11702127659574468</v>
      </c>
      <c r="BT12" s="51">
        <f t="shared" si="155"/>
        <v>0.11702127659574468</v>
      </c>
      <c r="BU12" s="51">
        <f t="shared" ref="BU12:BV12" si="156">+BU11/BU10</f>
        <v>0.11702127659574468</v>
      </c>
      <c r="BV12" s="51">
        <f t="shared" si="156"/>
        <v>0.11702127659574468</v>
      </c>
      <c r="BW12" s="51">
        <f t="shared" ref="BW12:BX12" si="157">+BW11/BW10</f>
        <v>0.11702127659574468</v>
      </c>
      <c r="BX12" s="51">
        <f t="shared" si="157"/>
        <v>0.11702127659574468</v>
      </c>
      <c r="BY12" s="51">
        <f t="shared" ref="BY12:CA12" si="158">+BY11/BY10</f>
        <v>0.11702127659574468</v>
      </c>
      <c r="BZ12" s="51">
        <f t="shared" si="158"/>
        <v>0.11702127659574468</v>
      </c>
      <c r="CA12" s="51">
        <f t="shared" si="158"/>
        <v>0.11702127659574468</v>
      </c>
      <c r="CB12" s="51">
        <f t="shared" ref="CB12:CC12" si="159">+CB11/CB10</f>
        <v>0.1702127659574468</v>
      </c>
      <c r="CC12" s="51">
        <f t="shared" si="159"/>
        <v>0.1702127659574468</v>
      </c>
      <c r="CD12" s="51">
        <f t="shared" ref="CD12:CE12" si="160">+CD11/CD10</f>
        <v>0.1702127659574468</v>
      </c>
      <c r="CE12" s="51">
        <f t="shared" si="160"/>
        <v>0.1702127659574468</v>
      </c>
      <c r="CF12" s="51">
        <f t="shared" ref="CF12:CG12" si="161">+CF11/CF10</f>
        <v>0.15789473684210525</v>
      </c>
      <c r="CG12" s="51">
        <f t="shared" si="161"/>
        <v>0.15789473684210525</v>
      </c>
      <c r="CH12" s="51">
        <f t="shared" ref="CH12:CI12" si="162">+CH11/CH10</f>
        <v>0.15789473684210525</v>
      </c>
      <c r="CI12" s="51">
        <f t="shared" si="162"/>
        <v>0.15789473684210525</v>
      </c>
      <c r="CJ12" s="51">
        <f t="shared" ref="CJ12:CK12" si="163">+CJ11/CJ10</f>
        <v>0.15789473684210525</v>
      </c>
      <c r="CK12" s="51">
        <f t="shared" si="163"/>
        <v>0.15789473684210525</v>
      </c>
      <c r="CL12" s="51">
        <f t="shared" ref="CL12:CM12" si="164">+CL11/CL10</f>
        <v>0.15789473684210525</v>
      </c>
      <c r="CM12" s="51">
        <f t="shared" si="164"/>
        <v>0.15789473684210525</v>
      </c>
      <c r="CN12" s="51">
        <f t="shared" ref="CN12:CO12" si="165">+CN11/CN10</f>
        <v>0.1702127659574468</v>
      </c>
      <c r="CO12" s="51">
        <f t="shared" si="165"/>
        <v>0.1702127659574468</v>
      </c>
      <c r="CP12" s="51">
        <f t="shared" ref="CP12:CQ12" si="166">+CP11/CP10</f>
        <v>0.1702127659574468</v>
      </c>
      <c r="CQ12" s="51">
        <f t="shared" si="166"/>
        <v>0.1702127659574468</v>
      </c>
      <c r="CR12" s="51">
        <f t="shared" ref="CR12:CT12" si="167">+CR11/CR10</f>
        <v>0.18279569892473119</v>
      </c>
      <c r="CS12" s="51">
        <f t="shared" si="167"/>
        <v>0.22222222222222221</v>
      </c>
      <c r="CT12" s="51">
        <f t="shared" si="167"/>
        <v>0.22222222222222221</v>
      </c>
      <c r="CU12" s="51">
        <f t="shared" ref="CU12:CV12" si="168">+CU11/CU10</f>
        <v>0.23595505617977527</v>
      </c>
      <c r="CV12" s="51">
        <f t="shared" si="168"/>
        <v>0.26436781609195403</v>
      </c>
      <c r="CW12" s="51">
        <f t="shared" ref="CW12:CY12" si="169">+CW11/CW10</f>
        <v>0.27906976744186046</v>
      </c>
      <c r="CX12" s="51">
        <f t="shared" si="169"/>
        <v>0.27906976744186046</v>
      </c>
      <c r="CY12" s="51">
        <f t="shared" si="169"/>
        <v>0.27906976744186046</v>
      </c>
      <c r="CZ12" s="51">
        <f t="shared" ref="CZ12:DA12" si="170">+CZ11/CZ10</f>
        <v>0.27906976744186046</v>
      </c>
      <c r="DA12" s="51">
        <f t="shared" si="170"/>
        <v>0.27906976744186046</v>
      </c>
      <c r="DB12" s="51">
        <f t="shared" ref="DB12:DF12" si="171">+DB11/DB10</f>
        <v>0.27906976744186046</v>
      </c>
      <c r="DC12" s="51">
        <f t="shared" si="171"/>
        <v>0.27906976744186046</v>
      </c>
      <c r="DD12" s="51">
        <f t="shared" si="171"/>
        <v>0.27906976744186046</v>
      </c>
      <c r="DE12" s="51">
        <f t="shared" si="171"/>
        <v>0.30952380952380953</v>
      </c>
      <c r="DF12" s="51">
        <f t="shared" si="171"/>
        <v>0.30952380952380953</v>
      </c>
      <c r="DG12" s="51">
        <f t="shared" ref="DG12:DJ12" si="172">+DG11/DG10</f>
        <v>0.30952380952380953</v>
      </c>
      <c r="DH12" s="51">
        <f t="shared" si="172"/>
        <v>0.3253012048192771</v>
      </c>
      <c r="DI12" s="51">
        <f t="shared" si="172"/>
        <v>0.3253012048192771</v>
      </c>
      <c r="DJ12" s="51">
        <f t="shared" si="172"/>
        <v>0.34146341463414637</v>
      </c>
      <c r="DK12" s="51">
        <f t="shared" ref="DK12:DL12" si="173">+DK11/DK10</f>
        <v>0.34146341463414637</v>
      </c>
      <c r="DL12" s="51">
        <f t="shared" si="173"/>
        <v>0.34146341463414637</v>
      </c>
      <c r="DM12" s="51">
        <f t="shared" ref="DM12:DN12" si="174">+DM11/DM10</f>
        <v>0.34146341463414637</v>
      </c>
      <c r="DN12" s="51">
        <f t="shared" si="174"/>
        <v>0.29411764705882354</v>
      </c>
      <c r="DO12" s="51">
        <f t="shared" ref="DO12:DQ12" si="175">+DO11/DO10</f>
        <v>0.30952380952380953</v>
      </c>
      <c r="DP12" s="51">
        <f t="shared" si="175"/>
        <v>0.30952380952380953</v>
      </c>
      <c r="DQ12" s="51">
        <f t="shared" si="175"/>
        <v>0.30952380952380953</v>
      </c>
      <c r="DR12" s="51">
        <f t="shared" ref="DR12:DS12" si="176">+DR11/DR10</f>
        <v>0.30952380952380953</v>
      </c>
      <c r="DS12" s="51">
        <f t="shared" si="176"/>
        <v>0.30952380952380953</v>
      </c>
      <c r="DT12" s="51">
        <f t="shared" ref="DT12:DV12" si="177">+DT11/DT10</f>
        <v>0.3253012048192771</v>
      </c>
      <c r="DU12" s="51">
        <f t="shared" si="177"/>
        <v>0.35802469135802467</v>
      </c>
      <c r="DV12" s="51">
        <f t="shared" si="177"/>
        <v>0.35802469135802467</v>
      </c>
      <c r="DW12" s="51">
        <f t="shared" ref="DW12:DZ12" si="178">+DW11/DW10</f>
        <v>0.4</v>
      </c>
      <c r="DX12" s="51">
        <f t="shared" si="178"/>
        <v>0.49333333333333335</v>
      </c>
      <c r="DY12" s="51">
        <f t="shared" si="178"/>
        <v>0.49333333333333335</v>
      </c>
      <c r="DZ12" s="51">
        <f t="shared" si="178"/>
        <v>0.47368421052631576</v>
      </c>
      <c r="EA12" s="51">
        <f t="shared" ref="EA12:EE12" si="179">+EA11/EA10</f>
        <v>0.47368421052631576</v>
      </c>
      <c r="EB12" s="51">
        <f t="shared" si="179"/>
        <v>0.47368421052631576</v>
      </c>
      <c r="EC12" s="51">
        <f t="shared" si="179"/>
        <v>0.4</v>
      </c>
      <c r="ED12" s="51">
        <f t="shared" si="179"/>
        <v>0.4</v>
      </c>
      <c r="EE12" s="51">
        <f t="shared" si="179"/>
        <v>0.41772151898734178</v>
      </c>
      <c r="EF12" s="51">
        <f t="shared" ref="EF12:EI12" si="180">+EF11/EF10</f>
        <v>0.4</v>
      </c>
      <c r="EG12" s="51">
        <f t="shared" si="180"/>
        <v>0.41772151898734178</v>
      </c>
      <c r="EH12" s="51">
        <f t="shared" si="180"/>
        <v>0.36585365853658536</v>
      </c>
      <c r="EI12" s="51">
        <f t="shared" si="180"/>
        <v>0.36585365853658536</v>
      </c>
      <c r="EJ12" s="51">
        <f t="shared" ref="EJ12:EN12" si="181">+EJ11/EJ10</f>
        <v>0.36585365853658536</v>
      </c>
      <c r="EK12" s="51">
        <f t="shared" si="181"/>
        <v>0.36585365853658536</v>
      </c>
      <c r="EL12" s="51">
        <f t="shared" si="181"/>
        <v>0.41772151898734178</v>
      </c>
      <c r="EM12" s="51">
        <f t="shared" si="181"/>
        <v>0.41772151898734178</v>
      </c>
      <c r="EN12" s="51">
        <f t="shared" si="181"/>
        <v>0.41772151898734178</v>
      </c>
      <c r="EO12" s="51">
        <f t="shared" ref="EO12:ER12" si="182">+EO11/EO10</f>
        <v>0.36249999999999999</v>
      </c>
      <c r="EP12" s="51">
        <f t="shared" si="182"/>
        <v>0.379746835443038</v>
      </c>
      <c r="EQ12" s="51">
        <f t="shared" si="182"/>
        <v>0.379746835443038</v>
      </c>
      <c r="ER12" s="51">
        <f t="shared" si="182"/>
        <v>0.36249999999999999</v>
      </c>
      <c r="ES12" s="51">
        <f t="shared" ref="ES12:EV12" si="183">+ES11/ES10</f>
        <v>0.379746835443038</v>
      </c>
      <c r="ET12" s="51">
        <f t="shared" si="183"/>
        <v>0.39743589743589741</v>
      </c>
      <c r="EU12" s="51">
        <f t="shared" si="183"/>
        <v>0.39743589743589741</v>
      </c>
      <c r="EV12" s="51">
        <f t="shared" si="183"/>
        <v>0.39743589743589741</v>
      </c>
      <c r="EW12" s="51">
        <f t="shared" ref="EW12:FA12" si="184">+EW11/EW10</f>
        <v>0.38461538461538464</v>
      </c>
      <c r="EX12" s="51">
        <f t="shared" si="184"/>
        <v>0.38461538461538464</v>
      </c>
      <c r="EY12" s="51">
        <f t="shared" si="184"/>
        <v>0.40259740259740262</v>
      </c>
      <c r="EZ12" s="51">
        <f t="shared" si="184"/>
        <v>0.42105263157894735</v>
      </c>
      <c r="FA12" s="51">
        <f t="shared" si="184"/>
        <v>0.40259740259740262</v>
      </c>
      <c r="FB12" s="51">
        <f t="shared" ref="FB12:FE12" si="185">+FB11/FB10</f>
        <v>0.38961038961038963</v>
      </c>
      <c r="FC12" s="51">
        <f t="shared" si="185"/>
        <v>0.38961038961038963</v>
      </c>
      <c r="FD12" s="51">
        <f t="shared" si="185"/>
        <v>0.38961038961038963</v>
      </c>
      <c r="FE12" s="51">
        <f t="shared" si="185"/>
        <v>0.38961038961038963</v>
      </c>
      <c r="FF12" s="51">
        <f t="shared" ref="FF12:FI12" si="186">+FF11/FF10</f>
        <v>0.38961038961038963</v>
      </c>
      <c r="FG12" s="51">
        <f t="shared" si="186"/>
        <v>0.38961038961038963</v>
      </c>
      <c r="FH12" s="51">
        <f t="shared" si="186"/>
        <v>0.38961038961038963</v>
      </c>
      <c r="FI12" s="51">
        <f t="shared" si="186"/>
        <v>0.37179487179487181</v>
      </c>
      <c r="FJ12" s="51">
        <f t="shared" ref="FJ12:FN12" si="187">+FJ11/FJ10</f>
        <v>0.29559748427672955</v>
      </c>
      <c r="FK12" s="51">
        <f t="shared" si="187"/>
        <v>0.29559748427672955</v>
      </c>
      <c r="FL12" s="51">
        <f t="shared" si="187"/>
        <v>0.29559748427672955</v>
      </c>
      <c r="FM12" s="51">
        <f t="shared" si="187"/>
        <v>0.25609756097560976</v>
      </c>
      <c r="FN12" s="51">
        <f t="shared" si="187"/>
        <v>0.25609756097560976</v>
      </c>
      <c r="FO12" s="51">
        <f t="shared" ref="FO12:FR12" si="188">+FO11/FO10</f>
        <v>0.22619047619047619</v>
      </c>
      <c r="FP12" s="51">
        <f t="shared" si="188"/>
        <v>0.22619047619047619</v>
      </c>
      <c r="FQ12" s="51">
        <f t="shared" si="188"/>
        <v>0.22619047619047619</v>
      </c>
      <c r="FR12" s="51">
        <f t="shared" si="188"/>
        <v>0.22619047619047619</v>
      </c>
      <c r="FS12" s="51">
        <f t="shared" ref="FS12:FV12" si="189">+FS11/FS10</f>
        <v>0.10160427807486631</v>
      </c>
      <c r="FT12" s="51">
        <f t="shared" si="189"/>
        <v>-4.6296296296296294E-2</v>
      </c>
      <c r="FU12" s="51">
        <f t="shared" si="189"/>
        <v>-0.15625</v>
      </c>
      <c r="FV12" s="51">
        <f t="shared" si="189"/>
        <v>8.771929824561403E-3</v>
      </c>
      <c r="FW12" s="51">
        <f t="shared" ref="FW12:GA12" si="190">+FW11/FW10</f>
        <v>8.771929824561403E-3</v>
      </c>
      <c r="FX12" s="51">
        <f t="shared" si="190"/>
        <v>-4.1666666666666664E-2</v>
      </c>
      <c r="FY12" s="51">
        <f t="shared" si="190"/>
        <v>-1.6666666666666666E-2</v>
      </c>
      <c r="FZ12" s="51">
        <f t="shared" si="190"/>
        <v>4.1666666666666664E-2</v>
      </c>
      <c r="GA12" s="51">
        <f t="shared" si="190"/>
        <v>1.6260162601626018E-2</v>
      </c>
      <c r="GB12" s="51">
        <f t="shared" ref="GB12:GE12" si="191">+GB11/GB10</f>
        <v>0</v>
      </c>
      <c r="GC12" s="51">
        <f t="shared" si="191"/>
        <v>1.6260162601626018E-2</v>
      </c>
      <c r="GD12" s="51">
        <f t="shared" si="191"/>
        <v>5.0420168067226892E-2</v>
      </c>
      <c r="GE12" s="51">
        <f t="shared" si="191"/>
        <v>7.7586206896551727E-2</v>
      </c>
      <c r="GF12" s="51">
        <f t="shared" ref="GF12:GI12" si="192">+GF11/GF10</f>
        <v>7.0175438596491224E-2</v>
      </c>
      <c r="GG12" s="51">
        <f t="shared" si="192"/>
        <v>7.0175438596491224E-2</v>
      </c>
      <c r="GH12" s="51">
        <f t="shared" si="192"/>
        <v>0.11926605504587157</v>
      </c>
      <c r="GI12" s="51">
        <f t="shared" si="192"/>
        <v>0.17307692307692307</v>
      </c>
      <c r="GJ12" s="51">
        <f t="shared" ref="GJ12:GN12" si="193">+GJ11/GJ10</f>
        <v>0.21212121212121213</v>
      </c>
      <c r="GK12" s="51">
        <f t="shared" si="193"/>
        <v>0.25</v>
      </c>
      <c r="GL12" s="51" t="e">
        <f t="shared" si="193"/>
        <v>#DIV/0!</v>
      </c>
      <c r="GM12" s="51" t="e">
        <f t="shared" si="193"/>
        <v>#DIV/0!</v>
      </c>
      <c r="GN12" s="51" t="e">
        <f t="shared" si="193"/>
        <v>#DIV/0!</v>
      </c>
    </row>
    <row r="13" spans="1:196" ht="15.5">
      <c r="F13" s="63"/>
      <c r="H13" s="1" t="s">
        <v>87</v>
      </c>
      <c r="I13" s="3">
        <v>903</v>
      </c>
      <c r="J13" s="3">
        <v>729</v>
      </c>
      <c r="K13" s="3">
        <v>729</v>
      </c>
      <c r="L13" s="3">
        <v>729</v>
      </c>
      <c r="M13" s="3">
        <v>729</v>
      </c>
      <c r="N13" s="3">
        <v>729</v>
      </c>
      <c r="O13" s="3">
        <v>729</v>
      </c>
      <c r="P13" s="3">
        <v>729</v>
      </c>
      <c r="Q13" s="3">
        <v>729</v>
      </c>
      <c r="R13" s="3">
        <v>729</v>
      </c>
      <c r="S13" s="3">
        <v>679</v>
      </c>
      <c r="T13" s="3">
        <v>729</v>
      </c>
      <c r="U13" s="3">
        <v>729</v>
      </c>
      <c r="V13" s="3">
        <v>736.19206717841803</v>
      </c>
      <c r="W13" s="3">
        <v>736.19206717841803</v>
      </c>
      <c r="X13" s="3">
        <v>679.74611518704489</v>
      </c>
      <c r="Y13" s="3">
        <v>668.04613132777956</v>
      </c>
      <c r="Z13" s="3">
        <v>694.46136145567061</v>
      </c>
      <c r="AA13" s="3">
        <v>704.64253339668858</v>
      </c>
      <c r="AB13" s="3">
        <v>693.32467456021789</v>
      </c>
      <c r="AC13" s="3">
        <v>701.49240475275428</v>
      </c>
      <c r="AD13" s="3">
        <v>711.95211896874696</v>
      </c>
      <c r="AE13" s="3">
        <v>716.07583093115807</v>
      </c>
      <c r="AF13" s="3">
        <v>711.5515229380502</v>
      </c>
      <c r="AG13" s="3">
        <v>657.6425700422576</v>
      </c>
      <c r="AH13" s="3">
        <v>655.42324121217587</v>
      </c>
      <c r="AI13" s="3">
        <v>687.77689086730652</v>
      </c>
      <c r="AJ13" s="3">
        <v>599.05685394273485</v>
      </c>
      <c r="AK13" s="3">
        <v>646.08292221736849</v>
      </c>
      <c r="AL13" s="3">
        <v>621.38247673824969</v>
      </c>
      <c r="AM13" s="3">
        <v>578.95337311294793</v>
      </c>
      <c r="AN13" s="3">
        <v>592.33348263164464</v>
      </c>
      <c r="AO13" s="3">
        <v>590.22158959460091</v>
      </c>
      <c r="AP13" s="3">
        <v>580.70606487135785</v>
      </c>
      <c r="AQ13" s="3">
        <v>590.83413876263489</v>
      </c>
      <c r="AU13" s="1" t="s">
        <v>87</v>
      </c>
      <c r="AV13" s="3">
        <v>729</v>
      </c>
      <c r="AW13" s="3">
        <v>729</v>
      </c>
      <c r="AX13" s="3">
        <v>729</v>
      </c>
      <c r="AY13" s="3">
        <v>729</v>
      </c>
      <c r="AZ13" s="3">
        <v>729</v>
      </c>
      <c r="BA13" s="3">
        <v>729</v>
      </c>
      <c r="BB13" s="3">
        <v>729</v>
      </c>
      <c r="BC13" s="3">
        <v>729</v>
      </c>
      <c r="BD13" s="3">
        <v>729</v>
      </c>
      <c r="BE13" s="3">
        <v>729</v>
      </c>
      <c r="BF13" s="3">
        <v>729</v>
      </c>
      <c r="BG13" s="3">
        <v>729</v>
      </c>
      <c r="BH13" s="3">
        <v>729</v>
      </c>
      <c r="BI13" s="3">
        <v>729</v>
      </c>
      <c r="BJ13" s="3">
        <v>729</v>
      </c>
      <c r="BK13" s="3">
        <v>729</v>
      </c>
      <c r="BL13" s="3">
        <v>729</v>
      </c>
      <c r="BM13" s="3">
        <v>729</v>
      </c>
      <c r="BN13" s="3">
        <v>729</v>
      </c>
      <c r="BO13" s="3">
        <v>729</v>
      </c>
      <c r="BP13" s="3">
        <v>729</v>
      </c>
      <c r="BQ13" s="3">
        <v>729</v>
      </c>
      <c r="BR13" s="3">
        <v>729</v>
      </c>
      <c r="BS13" s="3">
        <v>729</v>
      </c>
      <c r="BT13" s="3">
        <v>729</v>
      </c>
      <c r="BU13" s="3">
        <v>729</v>
      </c>
      <c r="BV13" s="3">
        <v>729</v>
      </c>
      <c r="BW13" s="3">
        <v>729</v>
      </c>
      <c r="BX13" s="3">
        <v>729</v>
      </c>
      <c r="BY13" s="3">
        <v>729</v>
      </c>
      <c r="BZ13" s="3">
        <v>729</v>
      </c>
      <c r="CA13" s="3">
        <v>729</v>
      </c>
      <c r="CB13" s="3">
        <v>729</v>
      </c>
      <c r="CC13" s="3">
        <v>729</v>
      </c>
      <c r="CD13" s="3">
        <v>729</v>
      </c>
      <c r="CE13" s="3">
        <v>729</v>
      </c>
      <c r="CF13" s="3">
        <v>729</v>
      </c>
      <c r="CG13" s="3">
        <v>729</v>
      </c>
      <c r="CH13" s="3">
        <v>729</v>
      </c>
      <c r="CI13" s="3">
        <v>729</v>
      </c>
      <c r="CJ13" s="3">
        <v>729</v>
      </c>
      <c r="CK13" s="3">
        <v>679</v>
      </c>
      <c r="CL13" s="3">
        <v>679</v>
      </c>
      <c r="CM13" s="3">
        <v>679</v>
      </c>
      <c r="CN13" s="3">
        <v>679</v>
      </c>
      <c r="CO13" s="3">
        <v>729</v>
      </c>
      <c r="CP13" s="3">
        <v>729</v>
      </c>
      <c r="CQ13" s="3">
        <v>729</v>
      </c>
      <c r="CR13" s="3">
        <v>729</v>
      </c>
      <c r="CS13" s="3">
        <v>729</v>
      </c>
      <c r="CT13" s="3">
        <v>729</v>
      </c>
      <c r="CU13" s="3">
        <v>729</v>
      </c>
      <c r="CV13" s="3">
        <v>729</v>
      </c>
      <c r="CW13" s="3">
        <v>729</v>
      </c>
      <c r="CX13" s="3">
        <v>736.19206717841803</v>
      </c>
      <c r="CY13" s="3">
        <v>736.19206717841803</v>
      </c>
      <c r="CZ13" s="3">
        <v>736.19206717841803</v>
      </c>
      <c r="DA13" s="3">
        <v>736.19206717841803</v>
      </c>
      <c r="DB13" s="3">
        <v>736.19206717841803</v>
      </c>
      <c r="DC13" s="3">
        <v>736.19206717841803</v>
      </c>
      <c r="DD13" s="3">
        <v>736.19206717841803</v>
      </c>
      <c r="DE13" s="3">
        <v>736.19206717841803</v>
      </c>
      <c r="DF13" s="3">
        <v>736.19206717841803</v>
      </c>
      <c r="DG13" s="3">
        <v>679.74611518704489</v>
      </c>
      <c r="DH13" s="3">
        <v>679.74611518704489</v>
      </c>
      <c r="DI13" s="3">
        <v>679.74611518704489</v>
      </c>
      <c r="DJ13" s="3">
        <v>679.74611518704489</v>
      </c>
      <c r="DK13" s="3">
        <v>668.04613132777956</v>
      </c>
      <c r="DL13" s="3">
        <v>668.04613132777956</v>
      </c>
      <c r="DM13" s="3">
        <v>668.04613132777956</v>
      </c>
      <c r="DN13" s="3">
        <v>668.04613132777956</v>
      </c>
      <c r="DO13" s="3">
        <v>694.46136145567061</v>
      </c>
      <c r="DP13" s="3">
        <v>694.46136145567061</v>
      </c>
      <c r="DQ13" s="3">
        <v>694.46136145567061</v>
      </c>
      <c r="DR13" s="3">
        <v>694.46136145567061</v>
      </c>
      <c r="DS13" s="3">
        <v>704.64253339668858</v>
      </c>
      <c r="DT13" s="3">
        <v>704.64253339668858</v>
      </c>
      <c r="DU13" s="3">
        <v>704.64253339668858</v>
      </c>
      <c r="DV13" s="3">
        <v>704.64253339668858</v>
      </c>
      <c r="DW13" s="3">
        <v>693.32467456021789</v>
      </c>
      <c r="DX13" s="3">
        <v>693.32467456021789</v>
      </c>
      <c r="DY13" s="3">
        <v>693.32467456021789</v>
      </c>
      <c r="DZ13" s="3">
        <v>693.32467456021789</v>
      </c>
      <c r="EA13" s="3">
        <v>701.49240475275428</v>
      </c>
      <c r="EB13" s="3">
        <v>701.49240475275428</v>
      </c>
      <c r="EC13" s="3">
        <v>701.49240475275428</v>
      </c>
      <c r="ED13" s="3">
        <v>701.49240475275428</v>
      </c>
      <c r="EE13" s="3">
        <v>701.49240475275428</v>
      </c>
      <c r="EF13" s="3">
        <v>711.95211896874696</v>
      </c>
      <c r="EG13" s="3">
        <v>711.95211896874696</v>
      </c>
      <c r="EH13" s="3">
        <v>711.95211896874696</v>
      </c>
      <c r="EI13" s="3">
        <v>711.95211896874696</v>
      </c>
      <c r="EJ13" s="3">
        <v>716.07583093115807</v>
      </c>
      <c r="EK13" s="3">
        <v>716.07583093115807</v>
      </c>
      <c r="EL13" s="3">
        <v>716.07583093115807</v>
      </c>
      <c r="EM13" s="3">
        <v>716.07583093115807</v>
      </c>
      <c r="EN13" s="3">
        <v>716.07583093115807</v>
      </c>
      <c r="EO13" s="3">
        <v>711.5515229380502</v>
      </c>
      <c r="EP13" s="3">
        <v>711.5515229380502</v>
      </c>
      <c r="EQ13" s="3">
        <v>711.5515229380502</v>
      </c>
      <c r="ER13" s="3">
        <v>711.5515229380502</v>
      </c>
      <c r="ES13" s="3">
        <v>657.6425700422576</v>
      </c>
      <c r="ET13" s="3">
        <v>657.6425700422576</v>
      </c>
      <c r="EU13" s="3">
        <v>657.6425700422576</v>
      </c>
      <c r="EV13" s="3">
        <v>657.6425700422576</v>
      </c>
      <c r="EW13" s="3">
        <v>655.42324121217587</v>
      </c>
      <c r="EX13" s="3">
        <v>655.42324121217587</v>
      </c>
      <c r="EY13" s="3">
        <v>655.42324121217587</v>
      </c>
      <c r="EZ13" s="3">
        <v>655.42324121217587</v>
      </c>
      <c r="FA13" s="3">
        <v>655.42324121217587</v>
      </c>
      <c r="FB13" s="3">
        <v>687.77689086730652</v>
      </c>
      <c r="FC13" s="3">
        <v>687.77689086730652</v>
      </c>
      <c r="FD13" s="3">
        <v>687.77689086730652</v>
      </c>
      <c r="FE13" s="3">
        <v>687.77689086730652</v>
      </c>
      <c r="FF13" s="3">
        <v>599.05685394273485</v>
      </c>
      <c r="FG13" s="3">
        <v>599.05685394273485</v>
      </c>
      <c r="FH13" s="3">
        <v>599.05685394273485</v>
      </c>
      <c r="FI13" s="3">
        <v>599.05685394273485</v>
      </c>
      <c r="FJ13" s="3">
        <v>646.08292221736849</v>
      </c>
      <c r="FK13" s="3">
        <v>646.08292221736849</v>
      </c>
      <c r="FL13" s="3">
        <v>646.08292221736849</v>
      </c>
      <c r="FM13" s="3">
        <v>646.08292221736849</v>
      </c>
      <c r="FN13" s="3">
        <v>646.08292221736849</v>
      </c>
      <c r="FO13" s="3">
        <v>621.38247673824969</v>
      </c>
      <c r="FP13" s="3">
        <v>621.38247673824969</v>
      </c>
      <c r="FQ13" s="3">
        <v>621.38247673824969</v>
      </c>
      <c r="FR13" s="3">
        <v>621.38247673824969</v>
      </c>
      <c r="FS13" s="3">
        <v>578.95337311294793</v>
      </c>
      <c r="FT13" s="3">
        <v>578.95337311294793</v>
      </c>
      <c r="FU13" s="3">
        <v>578.95337311294793</v>
      </c>
      <c r="FV13" s="3">
        <v>578.95337311294793</v>
      </c>
      <c r="FW13" s="3">
        <v>592.33348263164464</v>
      </c>
      <c r="FX13" s="3">
        <v>592.33348263164464</v>
      </c>
      <c r="FY13" s="3">
        <v>592.33348263164464</v>
      </c>
      <c r="FZ13" s="3">
        <v>592.33348263164464</v>
      </c>
      <c r="GA13" s="3">
        <v>592.33348263164464</v>
      </c>
      <c r="GB13" s="3">
        <v>590.22158959460091</v>
      </c>
      <c r="GC13" s="3">
        <v>590.22158959460091</v>
      </c>
      <c r="GD13" s="3">
        <v>590.22158959460091</v>
      </c>
      <c r="GE13" s="3">
        <v>590.22158959460091</v>
      </c>
      <c r="GF13" s="3">
        <v>580.70606487135785</v>
      </c>
      <c r="GG13" s="3">
        <v>580.70606487135785</v>
      </c>
      <c r="GH13" s="3">
        <v>580.70606487135785</v>
      </c>
      <c r="GI13" s="3">
        <v>580.70606487135785</v>
      </c>
      <c r="GJ13" s="3">
        <v>590.83413876263489</v>
      </c>
      <c r="GK13" s="3">
        <v>590.83413876263489</v>
      </c>
      <c r="GL13" s="3">
        <v>590.83413876263489</v>
      </c>
      <c r="GM13" s="3">
        <v>590.83413876263489</v>
      </c>
      <c r="GN13" s="3">
        <v>590.83413876263489</v>
      </c>
    </row>
    <row r="14" spans="1:196" ht="15.5">
      <c r="F14" s="64"/>
      <c r="H14" s="1" t="s">
        <v>111</v>
      </c>
      <c r="I14" s="3">
        <v>1140</v>
      </c>
      <c r="J14" s="3">
        <v>1140</v>
      </c>
      <c r="K14" s="3">
        <v>1140</v>
      </c>
      <c r="L14" s="3">
        <v>1140</v>
      </c>
      <c r="M14" s="3">
        <v>1140</v>
      </c>
      <c r="N14" s="3">
        <v>1140</v>
      </c>
      <c r="O14" s="3">
        <v>1140</v>
      </c>
      <c r="P14" s="3">
        <v>1140</v>
      </c>
      <c r="Q14" s="3">
        <v>1140</v>
      </c>
      <c r="R14" s="3">
        <v>1140</v>
      </c>
      <c r="AU14" s="1" t="s">
        <v>134</v>
      </c>
      <c r="AV14" s="41">
        <v>1140</v>
      </c>
      <c r="AW14" s="41">
        <v>1140</v>
      </c>
      <c r="AX14" s="41">
        <v>1140</v>
      </c>
      <c r="AY14" s="41">
        <v>1140</v>
      </c>
      <c r="AZ14" s="41">
        <v>1140</v>
      </c>
      <c r="BA14" s="41">
        <v>1140</v>
      </c>
      <c r="BB14" s="41">
        <v>1140</v>
      </c>
      <c r="BC14" s="41">
        <v>1140</v>
      </c>
      <c r="BD14" s="41">
        <v>1140</v>
      </c>
      <c r="BE14" s="41">
        <v>1140</v>
      </c>
      <c r="BF14" s="41">
        <v>1140</v>
      </c>
      <c r="BG14" s="41">
        <v>1140</v>
      </c>
      <c r="BH14" s="41">
        <v>1140</v>
      </c>
      <c r="BI14" s="41">
        <v>1140</v>
      </c>
      <c r="BJ14" s="41">
        <v>1140</v>
      </c>
      <c r="BK14" s="41">
        <v>1140</v>
      </c>
      <c r="BL14" s="41">
        <v>1140</v>
      </c>
      <c r="BM14" s="41">
        <v>1140</v>
      </c>
      <c r="BN14" s="41">
        <v>1140</v>
      </c>
      <c r="BO14" s="41">
        <v>1140</v>
      </c>
      <c r="BP14" s="41">
        <v>1140</v>
      </c>
      <c r="BQ14" s="41">
        <v>1140</v>
      </c>
      <c r="BR14" s="41">
        <v>1140</v>
      </c>
      <c r="BS14" s="41">
        <v>1140</v>
      </c>
      <c r="BT14" s="41">
        <v>1140</v>
      </c>
      <c r="BU14" s="41">
        <v>1140</v>
      </c>
      <c r="BV14" s="41">
        <v>1140</v>
      </c>
      <c r="BW14" s="41">
        <v>1140</v>
      </c>
      <c r="BX14" s="41">
        <v>1140</v>
      </c>
      <c r="BY14" s="41">
        <v>1140</v>
      </c>
      <c r="BZ14" s="41">
        <v>1140</v>
      </c>
      <c r="CA14" s="41">
        <v>1140</v>
      </c>
      <c r="CB14" s="41">
        <v>1140</v>
      </c>
      <c r="CC14" s="41">
        <v>1140</v>
      </c>
      <c r="CD14" s="41">
        <v>1140</v>
      </c>
      <c r="CE14" s="41">
        <v>1140</v>
      </c>
      <c r="CF14" s="41">
        <v>1140</v>
      </c>
      <c r="CG14" s="41">
        <v>1140</v>
      </c>
      <c r="CH14" s="41">
        <v>1140</v>
      </c>
      <c r="CI14" s="41">
        <v>1140</v>
      </c>
      <c r="CJ14" s="41">
        <v>1140</v>
      </c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</row>
    <row r="15" spans="1:196" ht="15">
      <c r="F15" s="62"/>
      <c r="H15" s="1" t="s">
        <v>112</v>
      </c>
      <c r="I15" s="3">
        <v>1090</v>
      </c>
      <c r="J15" s="3">
        <v>1090</v>
      </c>
      <c r="K15" s="3">
        <v>1090</v>
      </c>
      <c r="L15" s="3">
        <v>1090</v>
      </c>
      <c r="M15" s="3">
        <v>1090</v>
      </c>
      <c r="N15" s="3">
        <v>1090</v>
      </c>
      <c r="O15" s="3">
        <v>1090</v>
      </c>
      <c r="P15" s="3">
        <v>1090</v>
      </c>
      <c r="Q15" s="3">
        <v>1090</v>
      </c>
      <c r="R15" s="3">
        <v>1090</v>
      </c>
      <c r="AU15" s="1" t="s">
        <v>135</v>
      </c>
      <c r="AV15" s="3">
        <v>1090</v>
      </c>
      <c r="AW15" s="3">
        <v>1090</v>
      </c>
      <c r="AX15" s="3">
        <v>1090</v>
      </c>
      <c r="AY15" s="3">
        <v>1090</v>
      </c>
      <c r="AZ15" s="3">
        <v>1090</v>
      </c>
      <c r="BA15" s="3">
        <v>1090</v>
      </c>
      <c r="BB15" s="3">
        <v>1090</v>
      </c>
      <c r="BC15" s="3">
        <v>1090</v>
      </c>
      <c r="BD15" s="3">
        <v>1090</v>
      </c>
      <c r="BE15" s="3">
        <v>1090</v>
      </c>
      <c r="BF15" s="3">
        <v>1090</v>
      </c>
      <c r="BG15" s="3">
        <v>1090</v>
      </c>
      <c r="BH15" s="3">
        <v>1090</v>
      </c>
      <c r="BI15" s="3">
        <v>1090</v>
      </c>
      <c r="BJ15" s="3">
        <v>1090</v>
      </c>
      <c r="BK15" s="3">
        <v>1090</v>
      </c>
      <c r="BL15" s="3">
        <v>1090</v>
      </c>
      <c r="BM15" s="3">
        <v>1090</v>
      </c>
      <c r="BN15" s="3">
        <v>1090</v>
      </c>
      <c r="BO15" s="3">
        <v>1090</v>
      </c>
      <c r="BP15" s="3">
        <v>1090</v>
      </c>
      <c r="BQ15" s="3">
        <v>1090</v>
      </c>
      <c r="BR15" s="3">
        <v>1090</v>
      </c>
      <c r="BS15" s="3">
        <v>1090</v>
      </c>
      <c r="BT15" s="3">
        <v>1090</v>
      </c>
      <c r="BU15" s="3">
        <v>1090</v>
      </c>
      <c r="BV15" s="3">
        <v>1090</v>
      </c>
      <c r="BW15" s="3">
        <v>1090</v>
      </c>
      <c r="BX15" s="3">
        <v>1090</v>
      </c>
      <c r="BY15" s="3">
        <v>1090</v>
      </c>
      <c r="BZ15" s="3">
        <v>1090</v>
      </c>
      <c r="CA15" s="3">
        <v>1090</v>
      </c>
      <c r="CB15" s="3">
        <v>1090</v>
      </c>
      <c r="CC15" s="3">
        <v>1090</v>
      </c>
      <c r="CD15" s="3">
        <v>1090</v>
      </c>
      <c r="CE15" s="3">
        <v>1090</v>
      </c>
      <c r="CF15" s="3">
        <v>1090</v>
      </c>
      <c r="CG15" s="3">
        <v>1090</v>
      </c>
      <c r="CH15" s="3">
        <v>1090</v>
      </c>
      <c r="CI15" s="3">
        <v>1090</v>
      </c>
      <c r="CJ15" s="3">
        <v>1090</v>
      </c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</row>
    <row r="16" spans="1:196"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</row>
    <row r="17" spans="6:74"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</row>
    <row r="28" spans="6:74">
      <c r="F28" s="32"/>
      <c r="G28" s="32"/>
      <c r="H28" s="32"/>
    </row>
    <row r="29" spans="6:74">
      <c r="F29" s="32"/>
      <c r="G29" s="32"/>
      <c r="H29" s="32"/>
    </row>
    <row r="30" spans="6:74">
      <c r="F30" s="32"/>
      <c r="G30" s="32"/>
      <c r="H30" s="32"/>
    </row>
    <row r="31" spans="6:74">
      <c r="F31" s="32"/>
      <c r="G31" s="32"/>
      <c r="H31" s="32"/>
    </row>
    <row r="32" spans="6:74">
      <c r="F32" s="31"/>
      <c r="G32" s="32"/>
      <c r="H32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4229-C545-47EB-ADBA-4A9824DF5E37}">
  <sheetPr>
    <tabColor theme="4"/>
    <pageSetUpPr fitToPage="1"/>
  </sheetPr>
  <dimension ref="B42:AA86"/>
  <sheetViews>
    <sheetView showGridLines="0" topLeftCell="A19" zoomScale="80" zoomScaleNormal="80" workbookViewId="0">
      <selection activeCell="M36" sqref="M36"/>
    </sheetView>
  </sheetViews>
  <sheetFormatPr defaultColWidth="8.81640625" defaultRowHeight="14.5"/>
  <cols>
    <col min="1" max="1" width="5.81640625" customWidth="1"/>
    <col min="2" max="2" width="3.453125" bestFit="1" customWidth="1"/>
    <col min="3" max="3" width="18.1796875" customWidth="1"/>
    <col min="4" max="4" width="7.453125" customWidth="1"/>
    <col min="5" max="5" width="16.81640625" bestFit="1" customWidth="1"/>
    <col min="6" max="6" width="8.81640625" customWidth="1"/>
    <col min="7" max="7" width="14.1796875" bestFit="1" customWidth="1"/>
    <col min="8" max="8" width="17.1796875" bestFit="1" customWidth="1"/>
    <col min="11" max="11" width="10.453125" bestFit="1" customWidth="1"/>
    <col min="17" max="17" width="11.81640625" customWidth="1"/>
    <col min="21" max="21" width="12.81640625" customWidth="1"/>
    <col min="22" max="22" width="6" customWidth="1"/>
    <col min="23" max="23" width="13" customWidth="1"/>
  </cols>
  <sheetData>
    <row r="42" spans="19:27" ht="15.65" customHeight="1"/>
    <row r="43" spans="19:27" ht="14.9" customHeight="1"/>
    <row r="46" spans="19:27" ht="15.5">
      <c r="S46" s="195"/>
      <c r="T46" s="195"/>
      <c r="AA46" s="70"/>
    </row>
    <row r="47" spans="19:27">
      <c r="S47" s="195"/>
      <c r="T47" s="195"/>
    </row>
    <row r="52" spans="19:19">
      <c r="S52" s="76"/>
    </row>
    <row r="53" spans="19:19">
      <c r="S53" s="76"/>
    </row>
    <row r="54" spans="19:19">
      <c r="S54" s="76"/>
    </row>
    <row r="55" spans="19:19">
      <c r="S55" s="76"/>
    </row>
    <row r="56" spans="19:19">
      <c r="S56" s="76"/>
    </row>
    <row r="65" spans="2:17" s="14" customFormat="1" ht="14"/>
    <row r="66" spans="2:17" s="14" customFormat="1" ht="14"/>
    <row r="67" spans="2:17" s="14" customFormat="1" ht="14"/>
    <row r="68" spans="2:17" s="14" customFormat="1" ht="14"/>
    <row r="69" spans="2:17" s="31" customFormat="1" ht="14">
      <c r="B69" s="78"/>
      <c r="C69" s="78"/>
      <c r="D69" s="79"/>
      <c r="E69" s="79"/>
      <c r="F69" s="79"/>
      <c r="G69" s="79"/>
      <c r="H69" s="80"/>
    </row>
    <row r="70" spans="2:17" s="61" customFormat="1" ht="14">
      <c r="B70" s="81"/>
      <c r="C70" s="82"/>
      <c r="D70" s="83"/>
      <c r="E70" s="83"/>
      <c r="F70" s="83"/>
      <c r="G70" s="83"/>
      <c r="H70" s="84"/>
    </row>
    <row r="71" spans="2:17" s="61" customFormat="1" ht="14">
      <c r="B71" s="81"/>
      <c r="C71" s="82"/>
      <c r="D71" s="83"/>
      <c r="E71" s="83"/>
      <c r="F71" s="83"/>
      <c r="G71" s="83"/>
      <c r="H71" s="84"/>
    </row>
    <row r="72" spans="2:17" s="61" customFormat="1" ht="14">
      <c r="B72" s="81"/>
      <c r="C72" s="82"/>
      <c r="D72" s="83"/>
      <c r="E72" s="83"/>
      <c r="F72" s="83"/>
      <c r="G72" s="83"/>
      <c r="H72" s="84"/>
    </row>
    <row r="73" spans="2:17" s="61" customFormat="1" ht="14">
      <c r="B73" s="81"/>
      <c r="C73" s="82"/>
      <c r="D73" s="83"/>
      <c r="E73" s="83"/>
      <c r="F73" s="83"/>
      <c r="G73" s="83"/>
      <c r="H73" s="84"/>
    </row>
    <row r="80" spans="2:17" ht="15">
      <c r="Q80" s="62"/>
    </row>
    <row r="81" spans="17:17" ht="15.5">
      <c r="Q81" s="63"/>
    </row>
    <row r="82" spans="17:17" ht="15.5">
      <c r="Q82" s="63"/>
    </row>
    <row r="83" spans="17:17" ht="15.5">
      <c r="Q83" s="63"/>
    </row>
    <row r="84" spans="17:17" ht="15.5">
      <c r="Q84" s="64"/>
    </row>
    <row r="86" spans="17:17" ht="15">
      <c r="Q86" s="62"/>
    </row>
  </sheetData>
  <mergeCells count="1">
    <mergeCell ref="S46:T47"/>
  </mergeCells>
  <pageMargins left="0.2" right="0.2" top="0.75" bottom="0.75" header="0.3" footer="0.3"/>
  <pageSetup paperSize="9" scale="6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6FC7-DB4F-46B6-8BC2-DB8B0C2B4FE1}">
  <sheetPr>
    <tabColor theme="4"/>
    <pageSetUpPr fitToPage="1"/>
  </sheetPr>
  <dimension ref="A16:Y85"/>
  <sheetViews>
    <sheetView showGridLines="0" topLeftCell="A4" zoomScale="80" zoomScaleNormal="80" workbookViewId="0"/>
  </sheetViews>
  <sheetFormatPr defaultColWidth="8.81640625" defaultRowHeight="14.5"/>
  <cols>
    <col min="1" max="1" width="3.453125" bestFit="1" customWidth="1"/>
    <col min="2" max="2" width="18.1796875" customWidth="1"/>
    <col min="3" max="3" width="7.453125" customWidth="1"/>
    <col min="4" max="4" width="16.81640625" bestFit="1" customWidth="1"/>
    <col min="5" max="5" width="8.81640625" customWidth="1"/>
    <col min="6" max="6" width="14.1796875" bestFit="1" customWidth="1"/>
    <col min="7" max="7" width="17.1796875" bestFit="1" customWidth="1"/>
    <col min="10" max="10" width="10.453125" bestFit="1" customWidth="1"/>
    <col min="16" max="16" width="11.81640625" customWidth="1"/>
    <col min="19" max="19" width="19.1796875" customWidth="1"/>
    <col min="20" max="20" width="11.1796875" customWidth="1"/>
    <col min="21" max="21" width="10" customWidth="1"/>
  </cols>
  <sheetData>
    <row r="16" ht="14.15" customHeight="1"/>
    <row r="33" spans="7:25">
      <c r="P33" s="76"/>
    </row>
    <row r="41" spans="7:25" ht="15.65" customHeight="1">
      <c r="R41" s="195"/>
      <c r="S41" s="195"/>
      <c r="T41" s="88"/>
      <c r="U41" s="88"/>
    </row>
    <row r="42" spans="7:25" ht="21" customHeight="1">
      <c r="R42" s="195"/>
      <c r="S42" s="195"/>
      <c r="T42" s="88"/>
      <c r="U42" s="88"/>
    </row>
    <row r="43" spans="7:25" ht="14.9" customHeight="1">
      <c r="T43" s="88"/>
      <c r="U43" s="88"/>
    </row>
    <row r="44" spans="7:25" ht="14.9" customHeight="1">
      <c r="T44" s="200"/>
      <c r="U44" s="200"/>
    </row>
    <row r="45" spans="7:25" ht="15.65" customHeight="1">
      <c r="T45" s="200"/>
      <c r="U45" s="200"/>
    </row>
    <row r="46" spans="7:25" ht="14.9" customHeight="1">
      <c r="T46" s="200"/>
      <c r="U46" s="200"/>
      <c r="X46" s="195"/>
      <c r="Y46" s="195"/>
    </row>
    <row r="47" spans="7:25" ht="32.15" customHeight="1">
      <c r="T47" s="200"/>
      <c r="U47" s="200"/>
      <c r="X47" s="195"/>
      <c r="Y47" s="195"/>
    </row>
    <row r="48" spans="7:25" ht="21">
      <c r="G48" s="98"/>
      <c r="T48" s="104"/>
      <c r="U48" s="104"/>
      <c r="X48" s="195"/>
      <c r="Y48" s="195"/>
    </row>
    <row r="49" spans="7:25">
      <c r="G49" s="98"/>
      <c r="X49" s="195"/>
      <c r="Y49" s="195"/>
    </row>
    <row r="50" spans="7:25" ht="59.15" customHeight="1">
      <c r="T50" s="199"/>
      <c r="U50" s="199"/>
    </row>
    <row r="51" spans="7:25" ht="45.65" customHeight="1">
      <c r="R51" s="76"/>
      <c r="T51" s="197"/>
      <c r="U51" s="197"/>
    </row>
    <row r="52" spans="7:25" ht="27.65" customHeight="1">
      <c r="R52" s="76"/>
      <c r="T52" s="197"/>
      <c r="U52" s="197"/>
    </row>
    <row r="53" spans="7:25" ht="27.65" customHeight="1">
      <c r="R53" s="76"/>
      <c r="T53" s="198"/>
      <c r="U53" s="198"/>
    </row>
    <row r="54" spans="7:25" ht="27.65" customHeight="1">
      <c r="R54" s="76"/>
      <c r="T54" s="198"/>
      <c r="U54" s="198"/>
    </row>
    <row r="55" spans="7:25">
      <c r="R55" s="76"/>
    </row>
    <row r="64" spans="7:25" s="14" customFormat="1" ht="14">
      <c r="U64" s="103"/>
    </row>
    <row r="65" spans="1:16" s="14" customFormat="1" ht="14"/>
    <row r="66" spans="1:16" s="14" customFormat="1" ht="14"/>
    <row r="67" spans="1:16" s="14" customFormat="1" ht="14"/>
    <row r="68" spans="1:16" s="31" customFormat="1" ht="14">
      <c r="A68" s="78"/>
      <c r="B68" s="78"/>
      <c r="C68" s="79"/>
      <c r="D68" s="79"/>
      <c r="E68" s="79"/>
      <c r="F68" s="79"/>
      <c r="G68" s="80"/>
    </row>
    <row r="69" spans="1:16" s="61" customFormat="1" ht="14">
      <c r="A69" s="81"/>
      <c r="B69" s="82"/>
      <c r="C69" s="83"/>
      <c r="D69" s="83"/>
      <c r="E69" s="83"/>
      <c r="F69" s="83"/>
      <c r="G69" s="84"/>
    </row>
    <row r="70" spans="1:16" s="61" customFormat="1" ht="14">
      <c r="A70" s="81"/>
      <c r="B70" s="82"/>
      <c r="C70" s="83"/>
      <c r="D70" s="83"/>
      <c r="E70" s="83"/>
      <c r="F70" s="83"/>
      <c r="G70" s="84"/>
    </row>
    <row r="71" spans="1:16" s="61" customFormat="1" ht="14">
      <c r="A71" s="81"/>
      <c r="B71" s="82"/>
      <c r="C71" s="83"/>
      <c r="D71" s="83"/>
      <c r="E71" s="83"/>
      <c r="F71" s="83"/>
      <c r="G71" s="84"/>
    </row>
    <row r="72" spans="1:16" s="61" customFormat="1">
      <c r="A72" s="81"/>
      <c r="B72" s="82"/>
      <c r="C72" s="83"/>
      <c r="D72" s="83"/>
      <c r="E72"/>
      <c r="F72" s="83"/>
      <c r="G72" s="84"/>
    </row>
    <row r="79" spans="1:16" ht="15">
      <c r="P79" s="62"/>
    </row>
    <row r="80" spans="1:16" ht="15.5">
      <c r="P80" s="63"/>
    </row>
    <row r="81" spans="16:16" ht="15.5">
      <c r="P81" s="63"/>
    </row>
    <row r="82" spans="16:16" ht="15.5">
      <c r="P82" s="63"/>
    </row>
    <row r="83" spans="16:16" ht="15.5">
      <c r="P83" s="64"/>
    </row>
    <row r="85" spans="16:16" ht="15">
      <c r="P85" s="62"/>
    </row>
  </sheetData>
  <mergeCells count="7">
    <mergeCell ref="T51:U52"/>
    <mergeCell ref="T53:U54"/>
    <mergeCell ref="R41:S42"/>
    <mergeCell ref="X46:Y47"/>
    <mergeCell ref="X48:Y49"/>
    <mergeCell ref="T50:U50"/>
    <mergeCell ref="T44:U47"/>
  </mergeCells>
  <pageMargins left="0.2" right="0.2" top="0.75" bottom="0.75" header="0.3" footer="0.3"/>
  <pageSetup paperSize="9" scale="6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6257-0C76-4746-B996-71DD67B685A9}">
  <dimension ref="A1:KJ48"/>
  <sheetViews>
    <sheetView showGridLines="0" topLeftCell="H3" zoomScale="90" zoomScaleNormal="90" workbookViewId="0">
      <pane xSplit="1" topLeftCell="BS1" activePane="topRight" state="frozen"/>
      <selection activeCell="CC32" sqref="CC32"/>
      <selection pane="topRight" activeCell="CD33" sqref="CD33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hidden="1" customWidth="1"/>
    <col min="5" max="5" width="33.1796875" style="1" hidden="1" customWidth="1"/>
    <col min="6" max="6" width="39.453125" style="1" hidden="1" customWidth="1"/>
    <col min="7" max="7" width="10.54296875" style="1" hidden="1" customWidth="1"/>
    <col min="8" max="8" width="29" style="1" customWidth="1"/>
    <col min="9" max="10" width="8.26953125" style="1" hidden="1" customWidth="1"/>
    <col min="11" max="15" width="13.81640625" style="1" hidden="1" customWidth="1"/>
    <col min="16" max="16" width="9.1796875" style="1" hidden="1" customWidth="1"/>
    <col min="17" max="17" width="10.1796875" style="1" hidden="1" customWidth="1"/>
    <col min="18" max="18" width="7.81640625" style="1" hidden="1" customWidth="1"/>
    <col min="19" max="28" width="9.81640625" style="1" hidden="1" customWidth="1"/>
    <col min="29" max="29" width="11.81640625" style="1" hidden="1" customWidth="1"/>
    <col min="30" max="31" width="9.1796875" style="1" hidden="1" customWidth="1"/>
    <col min="32" max="38" width="8.1796875" style="1" hidden="1" customWidth="1"/>
    <col min="39" max="39" width="9.1796875" style="1" hidden="1" customWidth="1"/>
    <col min="40" max="61" width="8.1796875" style="1" hidden="1" customWidth="1"/>
    <col min="62" max="80" width="8.1796875" style="1" customWidth="1"/>
    <col min="81" max="81" width="5.08984375" style="61" customWidth="1"/>
    <col min="82" max="82" width="9.1796875" style="1"/>
    <col min="83" max="83" width="9.1796875" style="1" hidden="1" customWidth="1"/>
    <col min="84" max="84" width="22.81640625" style="1" customWidth="1"/>
    <col min="85" max="93" width="9.1796875" style="1" hidden="1" customWidth="1"/>
    <col min="94" max="94" width="9" style="1" hidden="1" customWidth="1"/>
    <col min="95" max="102" width="9.1796875" style="1" hidden="1" customWidth="1"/>
    <col min="103" max="111" width="10.1796875" style="1" hidden="1" customWidth="1"/>
    <col min="112" max="112" width="7.1796875" style="1" hidden="1" customWidth="1"/>
    <col min="113" max="113" width="7" style="1" hidden="1" customWidth="1"/>
    <col min="114" max="114" width="10" style="1" hidden="1" customWidth="1"/>
    <col min="115" max="115" width="9.81640625" style="1" hidden="1" customWidth="1"/>
    <col min="116" max="116" width="10" style="1" hidden="1" customWidth="1"/>
    <col min="117" max="123" width="10.453125" style="1" hidden="1" customWidth="1"/>
    <col min="124" max="125" width="10.1796875" style="1" hidden="1" customWidth="1"/>
    <col min="126" max="135" width="9.453125" style="1" hidden="1" customWidth="1"/>
    <col min="136" max="257" width="9.1796875" style="1" hidden="1" customWidth="1"/>
    <col min="258" max="265" width="8.81640625" style="1" hidden="1" customWidth="1"/>
    <col min="266" max="270" width="8.81640625" style="1" customWidth="1"/>
    <col min="271" max="277" width="9.1796875" style="1"/>
    <col min="278" max="283" width="9" style="1" customWidth="1"/>
    <col min="284" max="16384" width="9.1796875" style="1"/>
  </cols>
  <sheetData>
    <row r="1" spans="1:296" hidden="1"/>
    <row r="2" spans="1:296" hidden="1"/>
    <row r="3" spans="1:296" ht="19.399999999999999" customHeight="1">
      <c r="F3" s="15" t="s">
        <v>57</v>
      </c>
      <c r="H3" s="15" t="s">
        <v>57</v>
      </c>
      <c r="DJ3" s="170">
        <v>2023</v>
      </c>
      <c r="FI3" s="170">
        <v>2024</v>
      </c>
    </row>
    <row r="4" spans="1:296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23147</v>
      </c>
      <c r="J4" s="74">
        <v>23135</v>
      </c>
      <c r="K4" s="74">
        <v>23142</v>
      </c>
      <c r="L4" s="74">
        <v>23194</v>
      </c>
      <c r="M4" s="74">
        <v>23204</v>
      </c>
      <c r="N4" s="74">
        <v>23160</v>
      </c>
      <c r="O4" s="74">
        <v>23141</v>
      </c>
      <c r="P4" s="74">
        <v>23161</v>
      </c>
      <c r="Q4" s="74">
        <v>23161</v>
      </c>
      <c r="R4" s="74">
        <v>23123</v>
      </c>
      <c r="S4" s="74">
        <v>23156</v>
      </c>
      <c r="T4" s="74">
        <v>23126</v>
      </c>
      <c r="U4" s="74">
        <v>23180</v>
      </c>
      <c r="V4" s="74">
        <v>23108</v>
      </c>
      <c r="W4" s="74">
        <f>V4</f>
        <v>23108</v>
      </c>
      <c r="X4" s="74">
        <f>W4</f>
        <v>23108</v>
      </c>
      <c r="Y4" s="74">
        <f>X4</f>
        <v>23108</v>
      </c>
      <c r="Z4" s="74">
        <v>23150</v>
      </c>
      <c r="AA4" s="74">
        <v>23150</v>
      </c>
      <c r="AB4" s="74">
        <v>23150</v>
      </c>
      <c r="AC4" s="74">
        <v>23150</v>
      </c>
      <c r="AD4" s="74">
        <v>23500</v>
      </c>
      <c r="AE4" s="74">
        <v>23500</v>
      </c>
      <c r="AF4" s="74">
        <v>23500</v>
      </c>
      <c r="AG4" s="74">
        <v>23500</v>
      </c>
      <c r="AH4" s="74">
        <v>23500</v>
      </c>
      <c r="AI4" s="74">
        <v>23500</v>
      </c>
      <c r="AJ4" s="74">
        <v>24600</v>
      </c>
      <c r="AK4" s="74">
        <v>24600</v>
      </c>
      <c r="AL4" s="74">
        <v>24000</v>
      </c>
      <c r="AM4" s="74">
        <v>24000</v>
      </c>
      <c r="AN4" s="74">
        <v>24000</v>
      </c>
      <c r="AO4" s="74">
        <v>24000</v>
      </c>
      <c r="AP4" s="74">
        <v>24000</v>
      </c>
      <c r="AQ4" s="74">
        <v>24000</v>
      </c>
      <c r="AR4" s="74">
        <v>24000</v>
      </c>
      <c r="AS4" s="74">
        <v>24000</v>
      </c>
      <c r="AT4" s="74">
        <v>24000</v>
      </c>
      <c r="AU4" s="74">
        <v>24000</v>
      </c>
      <c r="AV4" s="74">
        <v>24000</v>
      </c>
      <c r="AW4" s="74">
        <v>24000</v>
      </c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G4" s="74">
        <v>23150</v>
      </c>
      <c r="CH4" s="74">
        <v>23150</v>
      </c>
      <c r="CI4" s="74">
        <v>23150</v>
      </c>
      <c r="CJ4" s="74">
        <v>23150</v>
      </c>
      <c r="CK4" s="74">
        <v>23150</v>
      </c>
      <c r="CL4" s="74">
        <v>23150</v>
      </c>
      <c r="CM4" s="74">
        <v>23150</v>
      </c>
      <c r="CN4" s="74">
        <v>23150</v>
      </c>
      <c r="CO4" s="74">
        <v>23150</v>
      </c>
      <c r="CP4" s="74">
        <v>23150</v>
      </c>
      <c r="CQ4" s="74">
        <v>23150</v>
      </c>
      <c r="CR4" s="74">
        <v>23150</v>
      </c>
      <c r="CS4" s="74">
        <v>23500</v>
      </c>
      <c r="CT4" s="74">
        <v>23500</v>
      </c>
      <c r="CU4" s="74">
        <v>23500</v>
      </c>
      <c r="CV4" s="74">
        <v>23500</v>
      </c>
      <c r="CW4" s="74">
        <v>23500</v>
      </c>
      <c r="CX4" s="74">
        <v>23500</v>
      </c>
      <c r="CY4" s="74">
        <v>23500</v>
      </c>
      <c r="CZ4" s="74">
        <v>23500</v>
      </c>
      <c r="DA4" s="74">
        <v>24600</v>
      </c>
      <c r="DB4" s="74">
        <v>24600</v>
      </c>
      <c r="DC4" s="74">
        <v>24600</v>
      </c>
      <c r="DD4" s="74">
        <v>24600</v>
      </c>
      <c r="DE4" s="74">
        <v>24600</v>
      </c>
      <c r="DF4" s="74">
        <v>24000</v>
      </c>
      <c r="DG4" s="74">
        <v>24000</v>
      </c>
      <c r="DH4" s="74">
        <v>24000</v>
      </c>
      <c r="DI4" s="74">
        <v>24000</v>
      </c>
      <c r="DJ4" s="74">
        <v>24000</v>
      </c>
      <c r="DK4" s="74">
        <v>24000</v>
      </c>
      <c r="DL4" s="74">
        <v>24000</v>
      </c>
      <c r="DM4" s="74">
        <v>24000</v>
      </c>
      <c r="DN4" s="74">
        <v>24000</v>
      </c>
      <c r="DO4" s="74">
        <v>24000</v>
      </c>
      <c r="DP4" s="74">
        <v>24000</v>
      </c>
      <c r="DQ4" s="74">
        <v>24000</v>
      </c>
      <c r="DR4" s="74">
        <v>24000</v>
      </c>
      <c r="DS4" s="74">
        <v>24000</v>
      </c>
      <c r="DT4" s="74">
        <v>24000</v>
      </c>
      <c r="DU4" s="74">
        <v>24000</v>
      </c>
      <c r="DV4" s="74">
        <v>24000</v>
      </c>
      <c r="DW4" s="74">
        <v>24000</v>
      </c>
      <c r="DX4" s="74">
        <v>24000</v>
      </c>
      <c r="DY4" s="74">
        <v>24000</v>
      </c>
      <c r="DZ4" s="74">
        <v>24000</v>
      </c>
      <c r="EA4" s="74">
        <v>24000</v>
      </c>
      <c r="EB4" s="74">
        <v>24000</v>
      </c>
      <c r="EC4" s="74">
        <v>24000</v>
      </c>
      <c r="ED4" s="74">
        <v>24000</v>
      </c>
      <c r="EE4" s="74">
        <v>24000</v>
      </c>
      <c r="EF4" s="74">
        <v>24000</v>
      </c>
      <c r="EG4" s="74">
        <v>24000</v>
      </c>
      <c r="EH4" s="74">
        <v>24000</v>
      </c>
      <c r="EI4" s="74">
        <v>24000</v>
      </c>
      <c r="EJ4" s="74">
        <v>24000</v>
      </c>
      <c r="EK4" s="74">
        <v>24000</v>
      </c>
      <c r="EL4" s="74">
        <v>24000</v>
      </c>
      <c r="EM4" s="74">
        <v>24000</v>
      </c>
      <c r="EN4" s="74">
        <v>24000</v>
      </c>
      <c r="EO4" s="74">
        <v>24000</v>
      </c>
      <c r="EP4" s="74">
        <v>24000</v>
      </c>
      <c r="EQ4" s="74">
        <v>24000</v>
      </c>
      <c r="ER4" s="74">
        <v>24000</v>
      </c>
      <c r="ES4" s="74">
        <v>24000</v>
      </c>
      <c r="ET4" s="74">
        <v>24000</v>
      </c>
      <c r="EU4" s="74">
        <v>24000</v>
      </c>
      <c r="EV4" s="74">
        <v>24000</v>
      </c>
      <c r="EW4" s="74">
        <v>24000</v>
      </c>
      <c r="EX4" s="74">
        <v>24000</v>
      </c>
      <c r="EY4" s="74">
        <v>24000</v>
      </c>
      <c r="EZ4" s="74">
        <v>24000</v>
      </c>
      <c r="FA4" s="74">
        <v>24000</v>
      </c>
      <c r="FB4" s="74">
        <v>24000</v>
      </c>
      <c r="FC4" s="74">
        <v>24000</v>
      </c>
      <c r="FD4" s="74">
        <v>24000</v>
      </c>
      <c r="FE4" s="74">
        <v>24000</v>
      </c>
      <c r="FF4" s="74">
        <v>24000</v>
      </c>
      <c r="FG4" s="74">
        <v>24000</v>
      </c>
      <c r="FH4" s="74">
        <v>24000</v>
      </c>
      <c r="FI4" s="74">
        <v>24000</v>
      </c>
      <c r="FJ4" s="74">
        <v>24000</v>
      </c>
      <c r="FK4" s="74"/>
      <c r="FL4" s="74"/>
      <c r="FM4" s="74"/>
      <c r="FN4" s="74"/>
      <c r="FO4" s="74"/>
      <c r="FP4" s="74"/>
      <c r="FQ4" s="74"/>
      <c r="FR4" s="74"/>
      <c r="FS4" s="74"/>
      <c r="FT4" s="74"/>
      <c r="FU4" s="74"/>
      <c r="FV4" s="74"/>
      <c r="FW4" s="74"/>
      <c r="FX4" s="74"/>
      <c r="HG4" s="178">
        <v>2025</v>
      </c>
      <c r="JF4" s="178">
        <v>2026</v>
      </c>
    </row>
    <row r="5" spans="1:296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33" t="s">
        <v>8</v>
      </c>
      <c r="J5" s="33" t="s">
        <v>9</v>
      </c>
      <c r="K5" s="33" t="s">
        <v>10</v>
      </c>
      <c r="L5" s="33" t="s">
        <v>11</v>
      </c>
      <c r="M5" s="33" t="s">
        <v>12</v>
      </c>
      <c r="N5" s="33" t="s">
        <v>13</v>
      </c>
      <c r="O5" s="33" t="s">
        <v>14</v>
      </c>
      <c r="P5" s="33" t="s">
        <v>15</v>
      </c>
      <c r="Q5" s="33" t="s">
        <v>16</v>
      </c>
      <c r="R5" s="33" t="s">
        <v>17</v>
      </c>
      <c r="S5" s="33" t="s">
        <v>18</v>
      </c>
      <c r="T5" s="33" t="s">
        <v>19</v>
      </c>
      <c r="U5" s="33">
        <v>1</v>
      </c>
      <c r="V5" s="33">
        <v>2</v>
      </c>
      <c r="W5" s="33">
        <v>3</v>
      </c>
      <c r="X5" s="33">
        <v>4</v>
      </c>
      <c r="Y5" s="33">
        <v>5</v>
      </c>
      <c r="Z5" s="33">
        <v>6</v>
      </c>
      <c r="AA5" s="33">
        <v>7</v>
      </c>
      <c r="AB5" s="33">
        <v>8</v>
      </c>
      <c r="AC5" s="33" t="s">
        <v>63</v>
      </c>
      <c r="AD5" s="33">
        <v>9</v>
      </c>
      <c r="AE5" s="33">
        <v>10</v>
      </c>
      <c r="AF5" s="86" t="s">
        <v>65</v>
      </c>
      <c r="AG5" s="86" t="s">
        <v>66</v>
      </c>
      <c r="AH5" s="86" t="s">
        <v>67</v>
      </c>
      <c r="AI5" s="86" t="s">
        <v>68</v>
      </c>
      <c r="AJ5" s="86">
        <v>11</v>
      </c>
      <c r="AK5" s="86">
        <v>12</v>
      </c>
      <c r="AL5" s="94" t="s">
        <v>74</v>
      </c>
      <c r="AM5" s="94">
        <v>2</v>
      </c>
      <c r="AN5" s="94">
        <v>3</v>
      </c>
      <c r="AO5" s="94">
        <v>4</v>
      </c>
      <c r="AP5" s="94">
        <v>5</v>
      </c>
      <c r="AQ5" s="94">
        <v>6</v>
      </c>
      <c r="AR5" s="94">
        <v>7</v>
      </c>
      <c r="AS5" s="94">
        <v>8</v>
      </c>
      <c r="AT5" s="94">
        <v>9</v>
      </c>
      <c r="AU5" s="94">
        <v>10</v>
      </c>
      <c r="AV5" s="99">
        <v>11</v>
      </c>
      <c r="AW5" s="99">
        <v>12</v>
      </c>
      <c r="AX5" s="99" t="s">
        <v>122</v>
      </c>
      <c r="AY5" s="99">
        <v>2</v>
      </c>
      <c r="AZ5" s="99">
        <v>3</v>
      </c>
      <c r="BA5" s="99">
        <v>4</v>
      </c>
      <c r="BB5" s="99">
        <v>5</v>
      </c>
      <c r="BC5" s="99">
        <v>6</v>
      </c>
      <c r="BD5" s="99">
        <v>7</v>
      </c>
      <c r="BE5" s="99">
        <v>8</v>
      </c>
      <c r="BF5" s="99">
        <v>9</v>
      </c>
      <c r="BG5" s="99">
        <v>10</v>
      </c>
      <c r="BH5" s="99">
        <v>11</v>
      </c>
      <c r="BI5" s="99">
        <v>12</v>
      </c>
      <c r="BJ5" s="99" t="s">
        <v>169</v>
      </c>
      <c r="BK5" s="99">
        <v>2</v>
      </c>
      <c r="BL5" s="99">
        <v>3</v>
      </c>
      <c r="BM5" s="99">
        <v>4</v>
      </c>
      <c r="BN5" s="99">
        <v>5</v>
      </c>
      <c r="BO5" s="99">
        <v>6</v>
      </c>
      <c r="BP5" s="99">
        <v>7</v>
      </c>
      <c r="BQ5" s="99">
        <v>8</v>
      </c>
      <c r="BR5" s="99">
        <v>9</v>
      </c>
      <c r="BS5" s="99">
        <v>10</v>
      </c>
      <c r="BT5" s="99">
        <v>11</v>
      </c>
      <c r="BU5" s="99">
        <v>12</v>
      </c>
      <c r="BV5" s="99" t="s">
        <v>193</v>
      </c>
      <c r="BW5" s="99">
        <v>2</v>
      </c>
      <c r="BX5" s="99">
        <v>3</v>
      </c>
      <c r="BY5" s="99">
        <v>4</v>
      </c>
      <c r="BZ5" s="99">
        <v>5</v>
      </c>
      <c r="CA5" s="99">
        <v>6</v>
      </c>
      <c r="CB5" s="99">
        <v>7</v>
      </c>
      <c r="CC5" s="148"/>
      <c r="CD5" s="34" t="s">
        <v>5</v>
      </c>
      <c r="CE5" s="33" t="s">
        <v>6</v>
      </c>
      <c r="CF5" s="33" t="s">
        <v>2</v>
      </c>
      <c r="CG5" s="94">
        <v>24</v>
      </c>
      <c r="CH5" s="94">
        <v>25</v>
      </c>
      <c r="CI5" s="94">
        <v>26</v>
      </c>
      <c r="CJ5" s="94">
        <v>27</v>
      </c>
      <c r="CK5" s="94">
        <v>28</v>
      </c>
      <c r="CL5" s="94">
        <v>29</v>
      </c>
      <c r="CM5" s="94">
        <v>30</v>
      </c>
      <c r="CN5" s="94">
        <v>31</v>
      </c>
      <c r="CO5" s="94">
        <v>32</v>
      </c>
      <c r="CP5" s="94">
        <v>33</v>
      </c>
      <c r="CQ5" s="94">
        <v>34</v>
      </c>
      <c r="CR5" s="94">
        <v>35</v>
      </c>
      <c r="CS5" s="94">
        <v>36</v>
      </c>
      <c r="CT5" s="94">
        <v>37</v>
      </c>
      <c r="CU5" s="94">
        <v>38</v>
      </c>
      <c r="CV5" s="94">
        <v>39</v>
      </c>
      <c r="CW5" s="94">
        <v>40</v>
      </c>
      <c r="CX5" s="94">
        <v>41</v>
      </c>
      <c r="CY5" s="94">
        <v>42</v>
      </c>
      <c r="CZ5" s="94">
        <v>43</v>
      </c>
      <c r="DA5" s="94">
        <v>44</v>
      </c>
      <c r="DB5" s="94">
        <v>45</v>
      </c>
      <c r="DC5" s="99">
        <v>46</v>
      </c>
      <c r="DD5" s="99">
        <v>47</v>
      </c>
      <c r="DE5" s="99">
        <v>48</v>
      </c>
      <c r="DF5" s="99">
        <v>49</v>
      </c>
      <c r="DG5" s="99">
        <v>50</v>
      </c>
      <c r="DH5" s="99">
        <v>51</v>
      </c>
      <c r="DI5" s="99">
        <v>52</v>
      </c>
      <c r="DJ5" s="94" t="s">
        <v>97</v>
      </c>
      <c r="DK5" s="94">
        <v>2</v>
      </c>
      <c r="DL5" s="94">
        <v>3</v>
      </c>
      <c r="DM5" s="94">
        <v>5</v>
      </c>
      <c r="DN5" s="94">
        <v>6</v>
      </c>
      <c r="DO5" s="94">
        <v>7</v>
      </c>
      <c r="DP5" s="94">
        <v>8</v>
      </c>
      <c r="DQ5" s="94">
        <v>9</v>
      </c>
      <c r="DR5" s="94">
        <v>10</v>
      </c>
      <c r="DS5" s="94">
        <v>11</v>
      </c>
      <c r="DT5" s="94">
        <v>12</v>
      </c>
      <c r="DU5" s="94">
        <v>13</v>
      </c>
      <c r="DV5" s="94">
        <v>14</v>
      </c>
      <c r="DW5" s="94">
        <v>15</v>
      </c>
      <c r="DX5" s="94">
        <v>16</v>
      </c>
      <c r="DY5" s="94">
        <v>17</v>
      </c>
      <c r="DZ5" s="94">
        <v>18</v>
      </c>
      <c r="EA5" s="94">
        <v>19</v>
      </c>
      <c r="EB5" s="94">
        <v>20</v>
      </c>
      <c r="EC5" s="94">
        <v>21</v>
      </c>
      <c r="ED5" s="94">
        <v>22</v>
      </c>
      <c r="EE5" s="94">
        <v>23</v>
      </c>
      <c r="EF5" s="94">
        <v>24</v>
      </c>
      <c r="EG5" s="94">
        <v>25</v>
      </c>
      <c r="EH5" s="94">
        <v>26</v>
      </c>
      <c r="EI5" s="94">
        <v>27</v>
      </c>
      <c r="EJ5" s="94">
        <v>28</v>
      </c>
      <c r="EK5" s="94">
        <v>29</v>
      </c>
      <c r="EL5" s="94">
        <v>30</v>
      </c>
      <c r="EM5" s="94">
        <v>31</v>
      </c>
      <c r="EN5" s="94">
        <v>32</v>
      </c>
      <c r="EO5" s="94">
        <v>33</v>
      </c>
      <c r="EP5" s="99">
        <v>34</v>
      </c>
      <c r="EQ5" s="99">
        <v>35</v>
      </c>
      <c r="ER5" s="99">
        <v>36</v>
      </c>
      <c r="ES5" s="99">
        <v>37</v>
      </c>
      <c r="ET5" s="99">
        <v>38</v>
      </c>
      <c r="EU5" s="99">
        <v>39</v>
      </c>
      <c r="EV5" s="99">
        <v>40</v>
      </c>
      <c r="EW5" s="99">
        <v>41</v>
      </c>
      <c r="EX5" s="99">
        <v>42</v>
      </c>
      <c r="EY5" s="99">
        <v>43</v>
      </c>
      <c r="EZ5" s="99">
        <v>44</v>
      </c>
      <c r="FA5" s="99">
        <v>45</v>
      </c>
      <c r="FB5" s="99">
        <v>46</v>
      </c>
      <c r="FC5" s="99">
        <v>47</v>
      </c>
      <c r="FD5" s="99">
        <v>48</v>
      </c>
      <c r="FE5" s="99">
        <v>49</v>
      </c>
      <c r="FF5" s="99">
        <v>50</v>
      </c>
      <c r="FG5" s="99">
        <v>51</v>
      </c>
      <c r="FH5" s="99">
        <v>52</v>
      </c>
      <c r="FI5" s="99" t="s">
        <v>117</v>
      </c>
      <c r="FJ5" s="94" t="s">
        <v>123</v>
      </c>
      <c r="FK5" s="94" t="s">
        <v>124</v>
      </c>
      <c r="FL5" s="94" t="s">
        <v>125</v>
      </c>
      <c r="FM5" s="94" t="s">
        <v>126</v>
      </c>
      <c r="FN5" s="94" t="s">
        <v>142</v>
      </c>
      <c r="FO5" s="94" t="s">
        <v>143</v>
      </c>
      <c r="FP5" s="94" t="s">
        <v>144</v>
      </c>
      <c r="FQ5" s="94" t="s">
        <v>145</v>
      </c>
      <c r="FR5" s="94" t="s">
        <v>146</v>
      </c>
      <c r="FS5" s="94">
        <v>13</v>
      </c>
      <c r="FT5" s="94">
        <v>14</v>
      </c>
      <c r="FU5" s="94">
        <v>15</v>
      </c>
      <c r="FV5" s="94">
        <v>16</v>
      </c>
      <c r="FW5" s="94">
        <v>17</v>
      </c>
      <c r="FX5" s="94">
        <v>18</v>
      </c>
      <c r="FY5" s="94">
        <v>19</v>
      </c>
      <c r="FZ5" s="94">
        <v>20</v>
      </c>
      <c r="GA5" s="94">
        <v>21</v>
      </c>
      <c r="GB5" s="94">
        <v>22</v>
      </c>
      <c r="GC5" s="94">
        <v>23</v>
      </c>
      <c r="GD5" s="94">
        <v>24</v>
      </c>
      <c r="GE5" s="94">
        <v>25</v>
      </c>
      <c r="GF5" s="94">
        <v>26</v>
      </c>
      <c r="GG5" s="94">
        <v>27</v>
      </c>
      <c r="GH5" s="94">
        <v>28</v>
      </c>
      <c r="GI5" s="94">
        <v>29</v>
      </c>
      <c r="GJ5" s="94">
        <v>30</v>
      </c>
      <c r="GK5" s="94">
        <v>31</v>
      </c>
      <c r="GL5" s="94">
        <v>32</v>
      </c>
      <c r="GM5" s="94">
        <v>33</v>
      </c>
      <c r="GN5" s="94">
        <v>34</v>
      </c>
      <c r="GO5" s="94">
        <v>35</v>
      </c>
      <c r="GP5" s="94">
        <v>36</v>
      </c>
      <c r="GQ5" s="94">
        <v>37</v>
      </c>
      <c r="GR5" s="94">
        <v>38</v>
      </c>
      <c r="GS5" s="94">
        <v>39</v>
      </c>
      <c r="GT5" s="94">
        <v>40</v>
      </c>
      <c r="GU5" s="94">
        <v>41</v>
      </c>
      <c r="GV5" s="94">
        <v>42</v>
      </c>
      <c r="GW5" s="94">
        <v>43</v>
      </c>
      <c r="GX5" s="94">
        <v>44</v>
      </c>
      <c r="GY5" s="94">
        <v>45</v>
      </c>
      <c r="GZ5" s="94">
        <v>46</v>
      </c>
      <c r="HA5" s="94">
        <v>47</v>
      </c>
      <c r="HB5" s="94">
        <v>48</v>
      </c>
      <c r="HC5" s="94">
        <v>49</v>
      </c>
      <c r="HD5" s="94">
        <v>50</v>
      </c>
      <c r="HE5" s="94">
        <v>51</v>
      </c>
      <c r="HF5" s="94">
        <v>52</v>
      </c>
      <c r="HG5" s="94" t="s">
        <v>121</v>
      </c>
      <c r="HH5" s="94" t="s">
        <v>123</v>
      </c>
      <c r="HI5" s="94" t="s">
        <v>124</v>
      </c>
      <c r="HJ5" s="94" t="s">
        <v>125</v>
      </c>
      <c r="HK5" s="94" t="s">
        <v>170</v>
      </c>
      <c r="HL5" s="94" t="s">
        <v>172</v>
      </c>
      <c r="HM5" s="94" t="s">
        <v>142</v>
      </c>
      <c r="HN5" s="94" t="s">
        <v>143</v>
      </c>
      <c r="HO5" s="94" t="s">
        <v>144</v>
      </c>
      <c r="HP5" s="94" t="s">
        <v>145</v>
      </c>
      <c r="HQ5" s="94" t="s">
        <v>146</v>
      </c>
      <c r="HR5" s="94" t="s">
        <v>147</v>
      </c>
      <c r="HS5" s="94" t="s">
        <v>148</v>
      </c>
      <c r="HT5" s="94" t="s">
        <v>149</v>
      </c>
      <c r="HU5" s="94" t="s">
        <v>150</v>
      </c>
      <c r="HV5" s="94" t="s">
        <v>151</v>
      </c>
      <c r="HW5" s="94" t="s">
        <v>152</v>
      </c>
      <c r="HX5" s="94" t="s">
        <v>153</v>
      </c>
      <c r="HY5" s="94" t="s">
        <v>154</v>
      </c>
      <c r="HZ5" s="94" t="s">
        <v>155</v>
      </c>
      <c r="IA5" s="94" t="s">
        <v>157</v>
      </c>
      <c r="IB5" s="94" t="s">
        <v>158</v>
      </c>
      <c r="IC5" s="94" t="s">
        <v>159</v>
      </c>
      <c r="ID5" s="94" t="s">
        <v>160</v>
      </c>
      <c r="IE5" s="94" t="s">
        <v>161</v>
      </c>
      <c r="IF5" s="94" t="s">
        <v>162</v>
      </c>
      <c r="IG5" s="94" t="s">
        <v>163</v>
      </c>
      <c r="IH5" s="94" t="s">
        <v>164</v>
      </c>
      <c r="II5" s="94" t="s">
        <v>165</v>
      </c>
      <c r="IJ5" s="94" t="s">
        <v>166</v>
      </c>
      <c r="IK5" s="94" t="s">
        <v>167</v>
      </c>
      <c r="IL5" s="94" t="s">
        <v>168</v>
      </c>
      <c r="IM5" s="94" t="s">
        <v>174</v>
      </c>
      <c r="IN5" s="94" t="s">
        <v>175</v>
      </c>
      <c r="IO5" s="94" t="s">
        <v>176</v>
      </c>
      <c r="IP5" s="94" t="s">
        <v>177</v>
      </c>
      <c r="IQ5" s="94" t="s">
        <v>178</v>
      </c>
      <c r="IR5" s="94" t="s">
        <v>179</v>
      </c>
      <c r="IS5" s="94" t="s">
        <v>180</v>
      </c>
      <c r="IT5" s="94" t="s">
        <v>181</v>
      </c>
      <c r="IU5" s="94" t="s">
        <v>182</v>
      </c>
      <c r="IV5" s="94" t="s">
        <v>183</v>
      </c>
      <c r="IW5" s="94" t="s">
        <v>184</v>
      </c>
      <c r="IX5" s="94" t="s">
        <v>185</v>
      </c>
      <c r="IY5" s="94" t="s">
        <v>186</v>
      </c>
      <c r="IZ5" s="94" t="s">
        <v>187</v>
      </c>
      <c r="JA5" s="94" t="s">
        <v>188</v>
      </c>
      <c r="JB5" s="94" t="s">
        <v>189</v>
      </c>
      <c r="JC5" s="94" t="s">
        <v>190</v>
      </c>
      <c r="JD5" s="94" t="s">
        <v>191</v>
      </c>
      <c r="JE5" s="94" t="s">
        <v>192</v>
      </c>
      <c r="JF5" s="94" t="s">
        <v>121</v>
      </c>
      <c r="JG5" s="94" t="s">
        <v>123</v>
      </c>
      <c r="JH5" s="94" t="s">
        <v>124</v>
      </c>
      <c r="JI5" s="94" t="s">
        <v>125</v>
      </c>
      <c r="JJ5" s="94" t="s">
        <v>126</v>
      </c>
      <c r="JK5" s="94" t="s">
        <v>170</v>
      </c>
      <c r="JL5" s="94" t="s">
        <v>172</v>
      </c>
      <c r="JM5" s="94" t="s">
        <v>142</v>
      </c>
      <c r="JN5" s="94" t="s">
        <v>143</v>
      </c>
      <c r="JO5" s="94" t="s">
        <v>144</v>
      </c>
      <c r="JP5" s="94" t="s">
        <v>145</v>
      </c>
      <c r="JQ5" s="94" t="s">
        <v>146</v>
      </c>
      <c r="JR5" s="94" t="s">
        <v>147</v>
      </c>
      <c r="JS5" s="94" t="s">
        <v>148</v>
      </c>
      <c r="JT5" s="94" t="s">
        <v>149</v>
      </c>
      <c r="JU5" s="94" t="s">
        <v>150</v>
      </c>
      <c r="JV5" s="94" t="s">
        <v>151</v>
      </c>
      <c r="JW5" s="94" t="s">
        <v>152</v>
      </c>
      <c r="JX5" s="94" t="s">
        <v>153</v>
      </c>
      <c r="JY5" s="94" t="s">
        <v>154</v>
      </c>
      <c r="JZ5" s="94" t="s">
        <v>155</v>
      </c>
      <c r="KA5" s="94" t="s">
        <v>157</v>
      </c>
      <c r="KB5" s="94" t="s">
        <v>158</v>
      </c>
      <c r="KC5" s="94" t="s">
        <v>159</v>
      </c>
      <c r="KD5" s="94" t="s">
        <v>160</v>
      </c>
      <c r="KE5" s="94" t="s">
        <v>161</v>
      </c>
      <c r="KF5" s="94" t="s">
        <v>162</v>
      </c>
      <c r="KG5" s="94" t="s">
        <v>163</v>
      </c>
      <c r="KH5" s="94" t="s">
        <v>164</v>
      </c>
      <c r="KI5" s="94" t="s">
        <v>165</v>
      </c>
      <c r="KJ5" s="94" t="s">
        <v>166</v>
      </c>
    </row>
    <row r="6" spans="1:296" ht="14" hidden="1">
      <c r="A6" s="4">
        <v>3</v>
      </c>
      <c r="B6" s="8">
        <v>150000007</v>
      </c>
      <c r="C6" s="8" t="s">
        <v>20</v>
      </c>
      <c r="D6" s="4" t="s">
        <v>43</v>
      </c>
      <c r="E6" s="5" t="s">
        <v>44</v>
      </c>
      <c r="F6" s="7" t="s">
        <v>45</v>
      </c>
      <c r="G6" s="16" t="s">
        <v>23</v>
      </c>
      <c r="H6" s="7" t="s">
        <v>45</v>
      </c>
      <c r="I6" s="6">
        <v>20500</v>
      </c>
      <c r="J6" s="6">
        <v>20500</v>
      </c>
      <c r="K6" s="6">
        <v>21500</v>
      </c>
      <c r="L6" s="6">
        <v>21500</v>
      </c>
      <c r="M6" s="6">
        <v>22500</v>
      </c>
      <c r="N6" s="6">
        <v>22500</v>
      </c>
      <c r="O6" s="6">
        <v>22500</v>
      </c>
      <c r="P6" s="6">
        <v>22500</v>
      </c>
      <c r="Q6" s="6">
        <v>22500</v>
      </c>
      <c r="R6" s="6">
        <v>22500</v>
      </c>
      <c r="S6" s="6">
        <v>22500</v>
      </c>
      <c r="T6" s="6">
        <v>22500</v>
      </c>
      <c r="U6" s="6">
        <v>22500</v>
      </c>
      <c r="V6" s="6">
        <v>22500</v>
      </c>
      <c r="W6" s="6">
        <v>22500</v>
      </c>
      <c r="X6" s="6">
        <v>22500</v>
      </c>
      <c r="Y6" s="6">
        <v>22500</v>
      </c>
      <c r="Z6" s="6">
        <v>22500</v>
      </c>
      <c r="AA6" s="6">
        <v>22500</v>
      </c>
      <c r="AB6" s="6">
        <v>22500</v>
      </c>
      <c r="AC6" s="6">
        <v>22500</v>
      </c>
      <c r="AD6" s="6">
        <v>22500</v>
      </c>
      <c r="AE6" s="6">
        <v>22500</v>
      </c>
      <c r="AF6" s="6">
        <v>22500</v>
      </c>
      <c r="AG6" s="6">
        <v>22500</v>
      </c>
      <c r="AH6" s="6">
        <v>22500</v>
      </c>
      <c r="AI6" s="6">
        <v>22500</v>
      </c>
      <c r="AJ6" s="6">
        <v>22500</v>
      </c>
      <c r="AK6" s="6">
        <v>23000</v>
      </c>
      <c r="AL6" s="6">
        <v>25000</v>
      </c>
      <c r="AM6" s="6">
        <v>25000</v>
      </c>
      <c r="AN6" s="6">
        <v>25000</v>
      </c>
      <c r="AO6" s="6">
        <v>25000</v>
      </c>
      <c r="AP6" s="6">
        <v>25000</v>
      </c>
      <c r="AQ6" s="6">
        <v>25000</v>
      </c>
      <c r="AR6" s="6">
        <v>23000</v>
      </c>
      <c r="AS6" s="6">
        <v>22500</v>
      </c>
      <c r="AT6" s="6">
        <v>22500</v>
      </c>
      <c r="AU6" s="6">
        <v>22500</v>
      </c>
      <c r="AV6" s="91">
        <v>22500</v>
      </c>
      <c r="AW6" s="91">
        <v>22500</v>
      </c>
      <c r="AX6" s="91">
        <v>22500</v>
      </c>
      <c r="AY6" s="91">
        <v>22500</v>
      </c>
      <c r="AZ6" s="91">
        <v>22000</v>
      </c>
      <c r="BA6" s="91">
        <v>22000</v>
      </c>
      <c r="BB6" s="91">
        <v>22000</v>
      </c>
      <c r="BC6" s="91">
        <v>22000</v>
      </c>
      <c r="BD6" s="91">
        <v>22000</v>
      </c>
      <c r="BE6" s="91">
        <v>22000</v>
      </c>
      <c r="BF6" s="91">
        <v>22000</v>
      </c>
      <c r="BG6" s="91">
        <v>22000</v>
      </c>
      <c r="BH6" s="91">
        <v>22000</v>
      </c>
      <c r="BI6" s="91">
        <v>22000</v>
      </c>
      <c r="BJ6" s="91">
        <v>22000</v>
      </c>
      <c r="BK6" s="91">
        <v>22000</v>
      </c>
      <c r="BL6" s="91">
        <v>22000</v>
      </c>
      <c r="BM6" s="91">
        <v>22000</v>
      </c>
      <c r="BN6" s="91">
        <v>22000</v>
      </c>
      <c r="BO6" s="91">
        <v>22000</v>
      </c>
      <c r="BP6" s="91">
        <v>22000</v>
      </c>
      <c r="BQ6" s="91">
        <v>22000</v>
      </c>
      <c r="BR6" s="91">
        <v>22000</v>
      </c>
      <c r="BS6" s="91">
        <v>22000</v>
      </c>
      <c r="BT6" s="91">
        <v>22000</v>
      </c>
      <c r="BU6" s="91">
        <v>22000</v>
      </c>
      <c r="BV6" s="91">
        <v>22000</v>
      </c>
      <c r="BW6" s="91">
        <v>22000</v>
      </c>
      <c r="BX6" s="91">
        <v>22000</v>
      </c>
      <c r="BY6" s="91">
        <v>22000</v>
      </c>
      <c r="BZ6" s="91">
        <v>22000</v>
      </c>
      <c r="CA6" s="91">
        <v>22000</v>
      </c>
      <c r="CB6" s="91">
        <v>22000</v>
      </c>
      <c r="CC6" s="149"/>
      <c r="CD6" s="4" t="s">
        <v>43</v>
      </c>
      <c r="CE6" s="5" t="s">
        <v>44</v>
      </c>
      <c r="CF6" s="7" t="s">
        <v>45</v>
      </c>
      <c r="CG6" s="6">
        <v>22500</v>
      </c>
      <c r="CH6" s="6">
        <v>22500</v>
      </c>
      <c r="CI6" s="6">
        <v>22500</v>
      </c>
      <c r="CJ6" s="6">
        <v>23500</v>
      </c>
      <c r="CK6" s="6">
        <v>23500</v>
      </c>
      <c r="CL6" s="6">
        <v>23500</v>
      </c>
      <c r="CM6" s="6">
        <v>23500</v>
      </c>
      <c r="CN6" s="6">
        <v>23500</v>
      </c>
      <c r="CO6" s="6">
        <v>23500</v>
      </c>
      <c r="CP6" s="6">
        <v>23500</v>
      </c>
      <c r="CQ6" s="6">
        <v>23500</v>
      </c>
      <c r="CR6" s="6">
        <v>23500</v>
      </c>
      <c r="CS6" s="6">
        <v>22500</v>
      </c>
      <c r="CT6" s="6">
        <v>22500</v>
      </c>
      <c r="CU6" s="6">
        <v>22500</v>
      </c>
      <c r="CV6" s="6">
        <v>22500</v>
      </c>
      <c r="CW6" s="6">
        <v>22500</v>
      </c>
      <c r="CX6" s="6">
        <v>22500</v>
      </c>
      <c r="CY6" s="6">
        <v>22500</v>
      </c>
      <c r="CZ6" s="6">
        <v>22500</v>
      </c>
      <c r="DA6" s="6">
        <v>22500</v>
      </c>
      <c r="DB6" s="6">
        <v>22500</v>
      </c>
      <c r="DC6" s="6">
        <v>22500</v>
      </c>
      <c r="DD6" s="6">
        <v>22500</v>
      </c>
      <c r="DE6" s="6">
        <v>22500</v>
      </c>
      <c r="DF6" s="6">
        <v>22500</v>
      </c>
      <c r="DG6" s="6">
        <v>22500</v>
      </c>
      <c r="DH6" s="6">
        <v>22500</v>
      </c>
      <c r="DI6" s="6">
        <v>22500</v>
      </c>
      <c r="DJ6" s="6">
        <v>22500</v>
      </c>
      <c r="DK6" s="6">
        <v>22500</v>
      </c>
      <c r="DL6" s="6">
        <v>22500</v>
      </c>
      <c r="DM6" s="6">
        <v>22500</v>
      </c>
      <c r="DN6" s="6">
        <v>22500</v>
      </c>
      <c r="DO6" s="6">
        <v>22500</v>
      </c>
      <c r="DP6" s="6">
        <v>22500</v>
      </c>
      <c r="DQ6" s="6">
        <v>22500</v>
      </c>
      <c r="DR6" s="6">
        <v>22500</v>
      </c>
      <c r="DS6" s="6">
        <v>22500</v>
      </c>
      <c r="DT6" s="6">
        <v>22500</v>
      </c>
      <c r="DU6" s="6">
        <v>22500</v>
      </c>
      <c r="DV6" s="6">
        <v>22500</v>
      </c>
      <c r="DW6" s="6">
        <v>22500</v>
      </c>
      <c r="DX6" s="6">
        <v>22500</v>
      </c>
      <c r="DY6" s="6">
        <v>22500</v>
      </c>
      <c r="DZ6" s="6">
        <v>22500</v>
      </c>
      <c r="EA6" s="6">
        <v>22500</v>
      </c>
      <c r="EB6" s="6">
        <v>22500</v>
      </c>
      <c r="EC6" s="6">
        <v>22500</v>
      </c>
      <c r="ED6" s="6">
        <v>22500</v>
      </c>
      <c r="EE6" s="6">
        <v>22500</v>
      </c>
      <c r="EF6" s="6">
        <v>22500</v>
      </c>
      <c r="EG6" s="6">
        <v>23000</v>
      </c>
      <c r="EH6" s="6">
        <v>23000</v>
      </c>
      <c r="EI6" s="6">
        <v>23000</v>
      </c>
      <c r="EJ6" s="6">
        <v>23000</v>
      </c>
      <c r="EK6" s="6">
        <v>23000</v>
      </c>
      <c r="EL6" s="6">
        <v>23000</v>
      </c>
      <c r="EM6" s="6">
        <v>22500</v>
      </c>
      <c r="EN6" s="6">
        <v>22500</v>
      </c>
      <c r="EO6" s="6">
        <v>22500</v>
      </c>
      <c r="EP6" s="91">
        <v>22500</v>
      </c>
      <c r="EQ6" s="91">
        <v>22500</v>
      </c>
      <c r="ER6" s="91">
        <v>22500</v>
      </c>
      <c r="ES6" s="91">
        <v>22500</v>
      </c>
      <c r="ET6" s="91">
        <v>22500</v>
      </c>
      <c r="EU6" s="91">
        <v>22500</v>
      </c>
      <c r="EV6" s="91">
        <v>22500</v>
      </c>
      <c r="EW6" s="91">
        <v>22500</v>
      </c>
      <c r="EX6" s="91">
        <v>22500</v>
      </c>
      <c r="EY6" s="91">
        <v>22500</v>
      </c>
      <c r="EZ6" s="91">
        <v>22500</v>
      </c>
      <c r="FA6" s="91">
        <v>22500</v>
      </c>
      <c r="FB6" s="91">
        <v>22500</v>
      </c>
      <c r="FC6" s="91">
        <v>22500</v>
      </c>
      <c r="FD6" s="91">
        <v>22500</v>
      </c>
      <c r="FE6" s="91">
        <v>22500</v>
      </c>
      <c r="FF6" s="91">
        <v>22500</v>
      </c>
      <c r="FG6" s="91">
        <v>22500</v>
      </c>
      <c r="FH6" s="91">
        <v>22500</v>
      </c>
      <c r="FI6" s="91">
        <v>22500</v>
      </c>
      <c r="FJ6" s="91">
        <v>22500</v>
      </c>
      <c r="FK6" s="91">
        <v>22500</v>
      </c>
      <c r="FL6" s="91">
        <v>22500</v>
      </c>
      <c r="FM6" s="91">
        <v>22500</v>
      </c>
      <c r="FN6" s="91">
        <v>22500</v>
      </c>
      <c r="FO6" s="91">
        <v>22500</v>
      </c>
      <c r="FP6" s="91">
        <v>22000</v>
      </c>
      <c r="FQ6" s="91">
        <v>22000</v>
      </c>
      <c r="FR6" s="91">
        <v>22000</v>
      </c>
      <c r="FS6" s="91">
        <v>22000</v>
      </c>
      <c r="FT6" s="91">
        <v>22000</v>
      </c>
      <c r="FU6" s="91">
        <v>22000</v>
      </c>
      <c r="FV6" s="91">
        <v>22000</v>
      </c>
      <c r="FW6" s="91">
        <v>22000</v>
      </c>
      <c r="FX6" s="91">
        <v>22000</v>
      </c>
      <c r="FY6" s="91">
        <v>22000</v>
      </c>
      <c r="FZ6" s="91">
        <v>22000</v>
      </c>
      <c r="GA6" s="91">
        <v>22000</v>
      </c>
      <c r="GB6" s="91">
        <v>22000</v>
      </c>
      <c r="GC6" s="91">
        <v>22000</v>
      </c>
      <c r="GD6" s="91">
        <v>22000</v>
      </c>
      <c r="GE6" s="91">
        <v>22000</v>
      </c>
      <c r="GF6" s="91">
        <v>22000</v>
      </c>
      <c r="GG6" s="91">
        <v>22000</v>
      </c>
      <c r="GH6" s="91">
        <v>22000</v>
      </c>
      <c r="GI6" s="91">
        <v>22000</v>
      </c>
      <c r="GJ6" s="91">
        <v>22000</v>
      </c>
      <c r="GK6" s="91">
        <v>22000</v>
      </c>
      <c r="GL6" s="91">
        <v>22000</v>
      </c>
      <c r="GM6" s="91">
        <v>22000</v>
      </c>
      <c r="GN6" s="91">
        <v>22000</v>
      </c>
      <c r="GO6" s="91">
        <v>22000</v>
      </c>
      <c r="GP6" s="91">
        <v>22000</v>
      </c>
      <c r="GQ6" s="91">
        <v>22000</v>
      </c>
      <c r="GR6" s="91">
        <v>22000</v>
      </c>
      <c r="GS6" s="91">
        <v>22000</v>
      </c>
      <c r="GT6" s="91">
        <v>22000</v>
      </c>
      <c r="GU6" s="91">
        <v>22000</v>
      </c>
      <c r="GV6" s="91">
        <v>22000</v>
      </c>
      <c r="GW6" s="91">
        <v>22000</v>
      </c>
      <c r="GX6" s="91">
        <v>22000</v>
      </c>
      <c r="GY6" s="91">
        <v>22000</v>
      </c>
      <c r="GZ6" s="91">
        <v>22000</v>
      </c>
      <c r="HA6" s="91">
        <v>22000</v>
      </c>
      <c r="HB6" s="91">
        <v>22000</v>
      </c>
      <c r="HC6" s="91">
        <v>22000</v>
      </c>
      <c r="HD6" s="91">
        <v>22000</v>
      </c>
      <c r="HE6" s="91">
        <v>22000</v>
      </c>
      <c r="HF6" s="91">
        <v>22000</v>
      </c>
      <c r="HG6" s="91"/>
      <c r="HH6" s="91"/>
      <c r="HI6" s="91"/>
      <c r="HJ6" s="91"/>
      <c r="HK6" s="91"/>
      <c r="HL6" s="91"/>
      <c r="HM6" s="91"/>
      <c r="HN6" s="91"/>
      <c r="HO6" s="91"/>
      <c r="HP6" s="91"/>
      <c r="HQ6" s="91"/>
      <c r="HR6" s="91"/>
      <c r="HS6" s="91"/>
      <c r="HT6" s="91"/>
      <c r="HU6" s="91"/>
      <c r="HV6" s="91"/>
      <c r="HW6" s="91"/>
      <c r="HX6" s="91"/>
      <c r="HY6" s="91"/>
      <c r="HZ6" s="91"/>
      <c r="IA6" s="91"/>
      <c r="IB6" s="91"/>
      <c r="IC6" s="91"/>
      <c r="ID6" s="91"/>
      <c r="IE6" s="91"/>
      <c r="IF6" s="91"/>
      <c r="IG6" s="91"/>
      <c r="IH6" s="91"/>
      <c r="II6" s="91"/>
      <c r="IJ6" s="91"/>
      <c r="IK6" s="91"/>
      <c r="IL6" s="91"/>
      <c r="IM6" s="91"/>
      <c r="IN6" s="91"/>
      <c r="IO6" s="91"/>
      <c r="IP6" s="91"/>
      <c r="IQ6" s="91"/>
      <c r="IR6" s="91"/>
      <c r="IS6" s="91"/>
      <c r="IT6" s="91"/>
      <c r="IU6" s="91"/>
      <c r="IV6" s="91"/>
      <c r="IW6" s="91"/>
      <c r="IX6" s="91"/>
      <c r="IY6" s="91"/>
      <c r="IZ6" s="91"/>
      <c r="JA6" s="91"/>
      <c r="JB6" s="91"/>
      <c r="JC6" s="91"/>
      <c r="JD6" s="91"/>
      <c r="JE6" s="91"/>
      <c r="JF6" s="91"/>
      <c r="JG6" s="91"/>
      <c r="JH6" s="91"/>
      <c r="JI6" s="91"/>
      <c r="JJ6" s="91"/>
    </row>
    <row r="7" spans="1:296" ht="18" hidden="1" customHeight="1">
      <c r="A7" s="4">
        <v>3</v>
      </c>
      <c r="B7" s="8">
        <v>150000007</v>
      </c>
      <c r="C7" s="8" t="s">
        <v>20</v>
      </c>
      <c r="D7" s="4" t="s">
        <v>43</v>
      </c>
      <c r="E7" s="5" t="s">
        <v>44</v>
      </c>
      <c r="F7" s="7" t="s">
        <v>45</v>
      </c>
      <c r="G7" s="4" t="s">
        <v>24</v>
      </c>
      <c r="H7" s="7" t="s">
        <v>45</v>
      </c>
      <c r="I7" s="10">
        <f t="shared" ref="I7:AC7" si="0">I6/I4*1000</f>
        <v>885.64392793882575</v>
      </c>
      <c r="J7" s="10">
        <f t="shared" si="0"/>
        <v>886.10330667819323</v>
      </c>
      <c r="K7" s="10">
        <f t="shared" si="0"/>
        <v>929.04675481807965</v>
      </c>
      <c r="L7" s="10">
        <f t="shared" si="0"/>
        <v>926.96386996637057</v>
      </c>
      <c r="M7" s="10">
        <f t="shared" si="0"/>
        <v>969.66040337872778</v>
      </c>
      <c r="N7" s="10">
        <f t="shared" si="0"/>
        <v>971.50259067357513</v>
      </c>
      <c r="O7" s="10">
        <f t="shared" si="0"/>
        <v>972.30024631606238</v>
      </c>
      <c r="P7" s="10">
        <f t="shared" si="0"/>
        <v>971.46064504986828</v>
      </c>
      <c r="Q7" s="10">
        <f t="shared" si="0"/>
        <v>971.46064504986828</v>
      </c>
      <c r="R7" s="10">
        <f t="shared" si="0"/>
        <v>973.05712926523381</v>
      </c>
      <c r="S7" s="10">
        <f t="shared" si="0"/>
        <v>971.6704093971324</v>
      </c>
      <c r="T7" s="10">
        <f t="shared" si="0"/>
        <v>972.93090028539314</v>
      </c>
      <c r="U7" s="10">
        <f t="shared" si="0"/>
        <v>970.66436583261429</v>
      </c>
      <c r="V7" s="10">
        <f t="shared" si="0"/>
        <v>973.68876579539551</v>
      </c>
      <c r="W7" s="10">
        <f t="shared" si="0"/>
        <v>973.68876579539551</v>
      </c>
      <c r="X7" s="10">
        <f t="shared" si="0"/>
        <v>973.68876579539551</v>
      </c>
      <c r="Y7" s="10">
        <f t="shared" si="0"/>
        <v>973.68876579539551</v>
      </c>
      <c r="Z7" s="10">
        <f t="shared" si="0"/>
        <v>971.92224622030233</v>
      </c>
      <c r="AA7" s="10">
        <f t="shared" si="0"/>
        <v>971.92224622030233</v>
      </c>
      <c r="AB7" s="10">
        <f t="shared" si="0"/>
        <v>971.92224622030233</v>
      </c>
      <c r="AC7" s="10">
        <f t="shared" si="0"/>
        <v>971.92224622030233</v>
      </c>
      <c r="AD7" s="10">
        <f t="shared" ref="AD7:AK7" si="1">AD6/AD4*1000</f>
        <v>957.44680851063833</v>
      </c>
      <c r="AE7" s="10">
        <f t="shared" si="1"/>
        <v>957.44680851063833</v>
      </c>
      <c r="AF7" s="10">
        <f t="shared" si="1"/>
        <v>957.44680851063833</v>
      </c>
      <c r="AG7" s="10">
        <f t="shared" si="1"/>
        <v>957.44680851063833</v>
      </c>
      <c r="AH7" s="10">
        <f t="shared" si="1"/>
        <v>957.44680851063833</v>
      </c>
      <c r="AI7" s="10">
        <f t="shared" si="1"/>
        <v>957.44680851063833</v>
      </c>
      <c r="AJ7" s="10">
        <f t="shared" si="1"/>
        <v>914.63414634146341</v>
      </c>
      <c r="AK7" s="10">
        <f t="shared" si="1"/>
        <v>934.95934959349586</v>
      </c>
      <c r="AL7" s="10">
        <f t="shared" ref="AL7:AQ7" si="2">AL6/AL4*1000</f>
        <v>1041.6666666666667</v>
      </c>
      <c r="AM7" s="10">
        <f t="shared" si="2"/>
        <v>1041.6666666666667</v>
      </c>
      <c r="AN7" s="10">
        <f t="shared" si="2"/>
        <v>1041.6666666666667</v>
      </c>
      <c r="AO7" s="10">
        <f t="shared" si="2"/>
        <v>1041.6666666666667</v>
      </c>
      <c r="AP7" s="10">
        <f t="shared" si="2"/>
        <v>1041.6666666666667</v>
      </c>
      <c r="AQ7" s="10">
        <f t="shared" si="2"/>
        <v>1041.6666666666667</v>
      </c>
      <c r="AR7" s="10">
        <f t="shared" ref="AR7:AW7" si="3">AR6/AR4*1000</f>
        <v>958.33333333333337</v>
      </c>
      <c r="AS7" s="10">
        <f t="shared" si="3"/>
        <v>937.5</v>
      </c>
      <c r="AT7" s="10">
        <f t="shared" si="3"/>
        <v>937.5</v>
      </c>
      <c r="AU7" s="10">
        <f t="shared" si="3"/>
        <v>937.5</v>
      </c>
      <c r="AV7" s="75">
        <f t="shared" si="3"/>
        <v>937.5</v>
      </c>
      <c r="AW7" s="75">
        <f t="shared" si="3"/>
        <v>937.5</v>
      </c>
      <c r="AX7" s="75" t="e">
        <f t="shared" ref="AX7:AY7" si="4">AX6/AX4*1000</f>
        <v>#DIV/0!</v>
      </c>
      <c r="AY7" s="75" t="e">
        <f t="shared" si="4"/>
        <v>#DIV/0!</v>
      </c>
      <c r="AZ7" s="75" t="e">
        <f t="shared" ref="AZ7:BA7" si="5">AZ6/AZ4*1000</f>
        <v>#DIV/0!</v>
      </c>
      <c r="BA7" s="75" t="e">
        <f t="shared" si="5"/>
        <v>#DIV/0!</v>
      </c>
      <c r="BB7" s="75" t="e">
        <f t="shared" ref="BB7:BC7" si="6">BB6/BB4*1000</f>
        <v>#DIV/0!</v>
      </c>
      <c r="BC7" s="75" t="e">
        <f t="shared" si="6"/>
        <v>#DIV/0!</v>
      </c>
      <c r="BD7" s="75" t="e">
        <f t="shared" ref="BD7:BE7" si="7">BD6/BD4*1000</f>
        <v>#DIV/0!</v>
      </c>
      <c r="BE7" s="75" t="e">
        <f t="shared" si="7"/>
        <v>#DIV/0!</v>
      </c>
      <c r="BF7" s="75" t="e">
        <f t="shared" ref="BF7:BG7" si="8">BF6/BF4*1000</f>
        <v>#DIV/0!</v>
      </c>
      <c r="BG7" s="75" t="e">
        <f t="shared" si="8"/>
        <v>#DIV/0!</v>
      </c>
      <c r="BH7" s="75" t="e">
        <f t="shared" ref="BH7:BI7" si="9">BH6/BH4*1000</f>
        <v>#DIV/0!</v>
      </c>
      <c r="BI7" s="75" t="e">
        <f t="shared" si="9"/>
        <v>#DIV/0!</v>
      </c>
      <c r="BJ7" s="75" t="e">
        <f t="shared" ref="BJ7:BK7" si="10">BJ6/BJ4*1000</f>
        <v>#DIV/0!</v>
      </c>
      <c r="BK7" s="75" t="e">
        <f t="shared" si="10"/>
        <v>#DIV/0!</v>
      </c>
      <c r="BL7" s="75" t="e">
        <f t="shared" ref="BL7:BM7" si="11">BL6/BL4*1000</f>
        <v>#DIV/0!</v>
      </c>
      <c r="BM7" s="75" t="e">
        <f t="shared" si="11"/>
        <v>#DIV/0!</v>
      </c>
      <c r="BN7" s="75" t="e">
        <f t="shared" ref="BN7:BO7" si="12">BN6/BN4*1000</f>
        <v>#DIV/0!</v>
      </c>
      <c r="BO7" s="75" t="e">
        <f t="shared" si="12"/>
        <v>#DIV/0!</v>
      </c>
      <c r="BP7" s="75" t="e">
        <f t="shared" ref="BP7:BQ7" si="13">BP6/BP4*1000</f>
        <v>#DIV/0!</v>
      </c>
      <c r="BQ7" s="75" t="e">
        <f t="shared" si="13"/>
        <v>#DIV/0!</v>
      </c>
      <c r="BR7" s="75" t="e">
        <f t="shared" ref="BR7:BS7" si="14">BR6/BR4*1000</f>
        <v>#DIV/0!</v>
      </c>
      <c r="BS7" s="75" t="e">
        <f t="shared" si="14"/>
        <v>#DIV/0!</v>
      </c>
      <c r="BT7" s="75" t="e">
        <f t="shared" ref="BT7:BU7" si="15">BT6/BT4*1000</f>
        <v>#DIV/0!</v>
      </c>
      <c r="BU7" s="75" t="e">
        <f t="shared" si="15"/>
        <v>#DIV/0!</v>
      </c>
      <c r="BV7" s="75" t="e">
        <f t="shared" ref="BV7:BW7" si="16">BV6/BV4*1000</f>
        <v>#DIV/0!</v>
      </c>
      <c r="BW7" s="75" t="e">
        <f t="shared" si="16"/>
        <v>#DIV/0!</v>
      </c>
      <c r="BX7" s="75" t="e">
        <f t="shared" ref="BX7:BY7" si="17">BX6/BX4*1000</f>
        <v>#DIV/0!</v>
      </c>
      <c r="BY7" s="75" t="e">
        <f t="shared" si="17"/>
        <v>#DIV/0!</v>
      </c>
      <c r="BZ7" s="75" t="e">
        <f t="shared" ref="BZ7:CA7" si="18">BZ6/BZ4*1000</f>
        <v>#DIV/0!</v>
      </c>
      <c r="CA7" s="75" t="e">
        <f t="shared" si="18"/>
        <v>#DIV/0!</v>
      </c>
      <c r="CB7" s="75" t="e">
        <f t="shared" ref="CB7" si="19">CB6/CB4*1000</f>
        <v>#DIV/0!</v>
      </c>
      <c r="CD7" s="4" t="s">
        <v>43</v>
      </c>
      <c r="CE7" s="5" t="s">
        <v>44</v>
      </c>
      <c r="CF7" s="7" t="s">
        <v>45</v>
      </c>
      <c r="CG7" s="10">
        <f>CG6/CG4*1000</f>
        <v>971.92224622030233</v>
      </c>
      <c r="CH7" s="10">
        <f t="shared" ref="CH7:CV7" si="20">CH6/CH4*1000</f>
        <v>971.92224622030233</v>
      </c>
      <c r="CI7" s="10">
        <f t="shared" si="20"/>
        <v>971.92224622030233</v>
      </c>
      <c r="CJ7" s="10">
        <f t="shared" si="20"/>
        <v>1015.1187904967602</v>
      </c>
      <c r="CK7" s="10">
        <f t="shared" si="20"/>
        <v>1015.1187904967602</v>
      </c>
      <c r="CL7" s="10">
        <f t="shared" si="20"/>
        <v>1015.1187904967602</v>
      </c>
      <c r="CM7" s="10">
        <f t="shared" si="20"/>
        <v>1015.1187904967602</v>
      </c>
      <c r="CN7" s="10">
        <f t="shared" si="20"/>
        <v>1015.1187904967602</v>
      </c>
      <c r="CO7" s="10">
        <f t="shared" si="20"/>
        <v>1015.1187904967602</v>
      </c>
      <c r="CP7" s="10">
        <f t="shared" si="20"/>
        <v>1015.1187904967602</v>
      </c>
      <c r="CQ7" s="10">
        <f t="shared" si="20"/>
        <v>1015.1187904967602</v>
      </c>
      <c r="CR7" s="10">
        <f t="shared" si="20"/>
        <v>1015.1187904967602</v>
      </c>
      <c r="CS7" s="10">
        <f t="shared" si="20"/>
        <v>957.44680851063833</v>
      </c>
      <c r="CT7" s="10">
        <f t="shared" si="20"/>
        <v>957.44680851063833</v>
      </c>
      <c r="CU7" s="10">
        <f t="shared" si="20"/>
        <v>957.44680851063833</v>
      </c>
      <c r="CV7" s="10">
        <f t="shared" si="20"/>
        <v>957.44680851063833</v>
      </c>
      <c r="CW7" s="10">
        <f t="shared" ref="CW7:DH7" si="21">CW6/CW4*1000</f>
        <v>957.44680851063833</v>
      </c>
      <c r="CX7" s="10">
        <f t="shared" si="21"/>
        <v>957.44680851063833</v>
      </c>
      <c r="CY7" s="10">
        <f t="shared" si="21"/>
        <v>957.44680851063833</v>
      </c>
      <c r="CZ7" s="10">
        <f t="shared" si="21"/>
        <v>957.44680851063833</v>
      </c>
      <c r="DA7" s="10">
        <f t="shared" si="21"/>
        <v>914.63414634146341</v>
      </c>
      <c r="DB7" s="10">
        <f t="shared" si="21"/>
        <v>914.63414634146341</v>
      </c>
      <c r="DC7" s="10">
        <f t="shared" si="21"/>
        <v>914.63414634146341</v>
      </c>
      <c r="DD7" s="10">
        <f t="shared" si="21"/>
        <v>914.63414634146341</v>
      </c>
      <c r="DE7" s="10">
        <f t="shared" si="21"/>
        <v>914.63414634146341</v>
      </c>
      <c r="DF7" s="10">
        <f t="shared" si="21"/>
        <v>937.5</v>
      </c>
      <c r="DG7" s="10">
        <f t="shared" si="21"/>
        <v>937.5</v>
      </c>
      <c r="DH7" s="10">
        <f t="shared" si="21"/>
        <v>937.5</v>
      </c>
      <c r="DI7" s="10">
        <f t="shared" ref="DI7:DR7" si="22">DI6/DI4*1000</f>
        <v>937.5</v>
      </c>
      <c r="DJ7" s="10">
        <f t="shared" si="22"/>
        <v>937.5</v>
      </c>
      <c r="DK7" s="10">
        <f t="shared" si="22"/>
        <v>937.5</v>
      </c>
      <c r="DL7" s="10">
        <f t="shared" si="22"/>
        <v>937.5</v>
      </c>
      <c r="DM7" s="10">
        <f t="shared" si="22"/>
        <v>937.5</v>
      </c>
      <c r="DN7" s="10">
        <f t="shared" si="22"/>
        <v>937.5</v>
      </c>
      <c r="DO7" s="10">
        <f t="shared" si="22"/>
        <v>937.5</v>
      </c>
      <c r="DP7" s="10">
        <f t="shared" si="22"/>
        <v>937.5</v>
      </c>
      <c r="DQ7" s="10">
        <f t="shared" si="22"/>
        <v>937.5</v>
      </c>
      <c r="DR7" s="10">
        <f t="shared" si="22"/>
        <v>937.5</v>
      </c>
      <c r="DS7" s="10">
        <f>DS6/DS4*1000</f>
        <v>937.5</v>
      </c>
      <c r="DT7" s="10">
        <f>DT6/DT4*1000</f>
        <v>937.5</v>
      </c>
      <c r="DU7" s="10">
        <f t="shared" ref="DU7:DZ7" si="23">DU6/DU4*1000</f>
        <v>937.5</v>
      </c>
      <c r="DV7" s="10">
        <f t="shared" si="23"/>
        <v>937.5</v>
      </c>
      <c r="DW7" s="10">
        <f t="shared" si="23"/>
        <v>937.5</v>
      </c>
      <c r="DX7" s="10">
        <f t="shared" si="23"/>
        <v>937.5</v>
      </c>
      <c r="DY7" s="10">
        <f t="shared" si="23"/>
        <v>937.5</v>
      </c>
      <c r="DZ7" s="10">
        <f t="shared" si="23"/>
        <v>937.5</v>
      </c>
      <c r="EA7" s="10">
        <f>EA6/EA4*1000</f>
        <v>937.5</v>
      </c>
      <c r="EB7" s="10">
        <f t="shared" ref="EB7:EH7" si="24">EB6/EB4*1000</f>
        <v>937.5</v>
      </c>
      <c r="EC7" s="10">
        <f t="shared" si="24"/>
        <v>937.5</v>
      </c>
      <c r="ED7" s="10">
        <f t="shared" si="24"/>
        <v>937.5</v>
      </c>
      <c r="EE7" s="10">
        <f t="shared" si="24"/>
        <v>937.5</v>
      </c>
      <c r="EF7" s="10">
        <f t="shared" si="24"/>
        <v>937.5</v>
      </c>
      <c r="EG7" s="10">
        <f t="shared" si="24"/>
        <v>958.33333333333337</v>
      </c>
      <c r="EH7" s="10">
        <f t="shared" si="24"/>
        <v>958.33333333333337</v>
      </c>
      <c r="EI7" s="10">
        <f t="shared" ref="EI7:EN7" si="25">EI6/EI4*1000</f>
        <v>958.33333333333337</v>
      </c>
      <c r="EJ7" s="10">
        <f t="shared" si="25"/>
        <v>958.33333333333337</v>
      </c>
      <c r="EK7" s="10">
        <f t="shared" si="25"/>
        <v>958.33333333333337</v>
      </c>
      <c r="EL7" s="10">
        <f t="shared" si="25"/>
        <v>958.33333333333337</v>
      </c>
      <c r="EM7" s="10">
        <f t="shared" si="25"/>
        <v>937.5</v>
      </c>
      <c r="EN7" s="10">
        <f t="shared" si="25"/>
        <v>937.5</v>
      </c>
      <c r="EO7" s="10">
        <f>EO6/EO4*1000</f>
        <v>937.5</v>
      </c>
      <c r="EP7" s="75">
        <f t="shared" ref="EP7:EU7" si="26">EP6/EP4*1000</f>
        <v>937.5</v>
      </c>
      <c r="EQ7" s="75">
        <f t="shared" si="26"/>
        <v>937.5</v>
      </c>
      <c r="ER7" s="75">
        <f t="shared" si="26"/>
        <v>937.5</v>
      </c>
      <c r="ES7" s="75">
        <f t="shared" si="26"/>
        <v>937.5</v>
      </c>
      <c r="ET7" s="75">
        <f t="shared" si="26"/>
        <v>937.5</v>
      </c>
      <c r="EU7" s="75">
        <f t="shared" si="26"/>
        <v>937.5</v>
      </c>
      <c r="EV7" s="75">
        <f t="shared" ref="EV7:FB7" si="27">EV6/EV4*1000</f>
        <v>937.5</v>
      </c>
      <c r="EW7" s="75">
        <f t="shared" si="27"/>
        <v>937.5</v>
      </c>
      <c r="EX7" s="75">
        <f t="shared" si="27"/>
        <v>937.5</v>
      </c>
      <c r="EY7" s="75">
        <f t="shared" si="27"/>
        <v>937.5</v>
      </c>
      <c r="EZ7" s="75">
        <f t="shared" si="27"/>
        <v>937.5</v>
      </c>
      <c r="FA7" s="75">
        <f t="shared" si="27"/>
        <v>937.5</v>
      </c>
      <c r="FB7" s="75">
        <f t="shared" si="27"/>
        <v>937.5</v>
      </c>
      <c r="FC7" s="75">
        <f t="shared" ref="FC7:FD7" si="28">FC6/FC4*1000</f>
        <v>937.5</v>
      </c>
      <c r="FD7" s="75">
        <f t="shared" si="28"/>
        <v>937.5</v>
      </c>
      <c r="FE7" s="75">
        <f t="shared" ref="FE7:FF7" si="29">FE6/FE4*1000</f>
        <v>937.5</v>
      </c>
      <c r="FF7" s="75">
        <f t="shared" si="29"/>
        <v>937.5</v>
      </c>
      <c r="FG7" s="75">
        <f t="shared" ref="FG7:FH7" si="30">FG6/FG4*1000</f>
        <v>937.5</v>
      </c>
      <c r="FH7" s="75">
        <f t="shared" si="30"/>
        <v>937.5</v>
      </c>
      <c r="FI7" s="75">
        <f t="shared" ref="FI7:FJ7" si="31">FI6/FI4*1000</f>
        <v>937.5</v>
      </c>
      <c r="FJ7" s="75">
        <f t="shared" si="31"/>
        <v>937.5</v>
      </c>
      <c r="FK7" s="75" t="e">
        <f t="shared" ref="FK7:FL7" si="32">FK6/FK4*1000</f>
        <v>#DIV/0!</v>
      </c>
      <c r="FL7" s="75" t="e">
        <f t="shared" si="32"/>
        <v>#DIV/0!</v>
      </c>
      <c r="FM7" s="75" t="e">
        <f t="shared" ref="FM7:FN7" si="33">FM6/FM4*1000</f>
        <v>#DIV/0!</v>
      </c>
      <c r="FN7" s="75" t="e">
        <f t="shared" si="33"/>
        <v>#DIV/0!</v>
      </c>
      <c r="FO7" s="75" t="e">
        <f t="shared" ref="FO7:FP7" si="34">FO6/FO4*1000</f>
        <v>#DIV/0!</v>
      </c>
      <c r="FP7" s="75" t="e">
        <f t="shared" si="34"/>
        <v>#DIV/0!</v>
      </c>
      <c r="FQ7" s="75" t="e">
        <f t="shared" ref="FQ7:FR7" si="35">FQ6/FQ4*1000</f>
        <v>#DIV/0!</v>
      </c>
      <c r="FR7" s="75" t="e">
        <f t="shared" si="35"/>
        <v>#DIV/0!</v>
      </c>
      <c r="FS7" s="75" t="e">
        <f t="shared" ref="FS7:FT7" si="36">FS6/FS4*1000</f>
        <v>#DIV/0!</v>
      </c>
      <c r="FT7" s="75" t="e">
        <f t="shared" si="36"/>
        <v>#DIV/0!</v>
      </c>
      <c r="FU7" s="75" t="e">
        <f t="shared" ref="FU7:FW7" si="37">FU6/FU4*1000</f>
        <v>#DIV/0!</v>
      </c>
      <c r="FV7" s="75" t="e">
        <f t="shared" si="37"/>
        <v>#DIV/0!</v>
      </c>
      <c r="FW7" s="75" t="e">
        <f t="shared" si="37"/>
        <v>#DIV/0!</v>
      </c>
      <c r="FX7" s="75"/>
      <c r="FY7" s="75"/>
      <c r="FZ7" s="75"/>
      <c r="GA7" s="75"/>
      <c r="GB7" s="75"/>
      <c r="GC7" s="75"/>
      <c r="GD7" s="75"/>
      <c r="GE7" s="75"/>
      <c r="GF7" s="75"/>
      <c r="GG7" s="75"/>
      <c r="GH7" s="75"/>
      <c r="GI7" s="75"/>
      <c r="GJ7" s="75"/>
      <c r="GK7" s="75"/>
      <c r="GL7" s="75"/>
      <c r="GM7" s="75"/>
      <c r="GN7" s="75"/>
      <c r="GO7" s="75"/>
      <c r="GP7" s="75"/>
      <c r="GQ7" s="75"/>
      <c r="GR7" s="75"/>
      <c r="GS7" s="75"/>
      <c r="GT7" s="75"/>
      <c r="GU7" s="75"/>
      <c r="GV7" s="75"/>
      <c r="GW7" s="75"/>
      <c r="GX7" s="75"/>
      <c r="GY7" s="75"/>
      <c r="GZ7" s="75"/>
      <c r="HA7" s="75"/>
      <c r="HB7" s="75"/>
      <c r="HC7" s="75"/>
      <c r="HD7" s="75"/>
      <c r="HE7" s="75"/>
      <c r="HF7" s="75"/>
      <c r="HG7" s="75"/>
      <c r="HH7" s="75"/>
      <c r="HI7" s="75"/>
      <c r="HJ7" s="75"/>
      <c r="HK7" s="75"/>
      <c r="HL7" s="75"/>
      <c r="HM7" s="75"/>
      <c r="HN7" s="75"/>
      <c r="HO7" s="75"/>
      <c r="HP7" s="75"/>
      <c r="HQ7" s="75"/>
      <c r="HR7" s="75"/>
      <c r="HS7" s="75"/>
      <c r="HT7" s="75"/>
      <c r="HU7" s="75"/>
      <c r="HV7" s="75"/>
      <c r="HW7" s="75"/>
      <c r="HX7" s="75"/>
      <c r="HY7" s="75"/>
      <c r="HZ7" s="75"/>
      <c r="IA7" s="75"/>
      <c r="IB7" s="75"/>
      <c r="IC7" s="75"/>
      <c r="ID7" s="75"/>
      <c r="IE7" s="75"/>
      <c r="IF7" s="75"/>
      <c r="IG7" s="75"/>
      <c r="IH7" s="75"/>
      <c r="II7" s="75"/>
      <c r="IJ7" s="75"/>
      <c r="IK7" s="75"/>
      <c r="IL7" s="75"/>
      <c r="IM7" s="75"/>
      <c r="IN7" s="75"/>
      <c r="IO7" s="75"/>
      <c r="IP7" s="75"/>
      <c r="IQ7" s="75"/>
      <c r="IR7" s="75"/>
      <c r="IS7" s="75"/>
      <c r="IT7" s="75"/>
      <c r="IU7" s="75"/>
      <c r="IV7" s="75"/>
      <c r="IW7" s="75"/>
      <c r="IX7" s="75"/>
      <c r="IY7" s="75"/>
      <c r="IZ7" s="75"/>
      <c r="JA7" s="75"/>
      <c r="JB7" s="75"/>
      <c r="JC7" s="75"/>
      <c r="JD7" s="75"/>
      <c r="JE7" s="75"/>
      <c r="JF7" s="75"/>
      <c r="JG7" s="75"/>
      <c r="JH7" s="75"/>
      <c r="JI7" s="75"/>
      <c r="JJ7" s="75"/>
    </row>
    <row r="8" spans="1:296" ht="18" hidden="1" customHeight="1">
      <c r="A8" s="4"/>
      <c r="B8" s="8"/>
      <c r="C8" s="8"/>
      <c r="D8" s="105" t="s">
        <v>37</v>
      </c>
      <c r="E8" s="5"/>
      <c r="F8" s="7" t="s">
        <v>64</v>
      </c>
      <c r="G8" s="4" t="s">
        <v>24</v>
      </c>
      <c r="H8" s="7" t="s">
        <v>64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>
        <v>820</v>
      </c>
      <c r="V8" s="10">
        <v>837.5</v>
      </c>
      <c r="W8" s="10">
        <v>903</v>
      </c>
      <c r="X8" s="10">
        <v>928.75</v>
      </c>
      <c r="Y8" s="10">
        <v>932.5</v>
      </c>
      <c r="Z8" s="10">
        <v>922.5</v>
      </c>
      <c r="AA8" s="10">
        <v>901.25</v>
      </c>
      <c r="AB8" s="10">
        <v>850</v>
      </c>
      <c r="AC8" s="10"/>
      <c r="AD8" s="10">
        <v>804</v>
      </c>
      <c r="AE8" s="10">
        <v>760</v>
      </c>
      <c r="AF8" s="10">
        <v>760</v>
      </c>
      <c r="AG8" s="10">
        <v>760</v>
      </c>
      <c r="AH8" s="10">
        <v>760</v>
      </c>
      <c r="AI8" s="10">
        <v>760</v>
      </c>
      <c r="AJ8" s="10">
        <v>760</v>
      </c>
      <c r="AK8" s="10">
        <v>760</v>
      </c>
      <c r="AL8" s="10">
        <v>680</v>
      </c>
      <c r="AM8" s="10">
        <v>680</v>
      </c>
      <c r="AN8" s="10">
        <v>680</v>
      </c>
      <c r="AO8" s="10">
        <v>680</v>
      </c>
      <c r="AP8" s="10">
        <v>680</v>
      </c>
      <c r="AQ8" s="10">
        <v>680</v>
      </c>
      <c r="AR8" s="10">
        <v>680</v>
      </c>
      <c r="AS8" s="10">
        <v>680</v>
      </c>
      <c r="AT8" s="10">
        <v>680</v>
      </c>
      <c r="AU8" s="10">
        <v>680</v>
      </c>
      <c r="AV8" s="75">
        <v>680</v>
      </c>
      <c r="AW8" s="75">
        <v>680</v>
      </c>
      <c r="AX8" s="75">
        <v>680</v>
      </c>
      <c r="AY8" s="75">
        <v>680</v>
      </c>
      <c r="AZ8" s="75">
        <v>680</v>
      </c>
      <c r="BA8" s="75">
        <v>680</v>
      </c>
      <c r="BB8" s="75">
        <v>680</v>
      </c>
      <c r="BC8" s="75">
        <v>680</v>
      </c>
      <c r="BD8" s="75">
        <v>680</v>
      </c>
      <c r="BE8" s="75">
        <v>680</v>
      </c>
      <c r="BF8" s="75">
        <v>680</v>
      </c>
      <c r="BG8" s="75">
        <v>680</v>
      </c>
      <c r="BH8" s="75">
        <v>680</v>
      </c>
      <c r="BI8" s="75">
        <v>680</v>
      </c>
      <c r="BJ8" s="75">
        <v>680</v>
      </c>
      <c r="BK8" s="75">
        <v>680</v>
      </c>
      <c r="BL8" s="75">
        <v>680</v>
      </c>
      <c r="BM8" s="75">
        <v>680</v>
      </c>
      <c r="BN8" s="75">
        <v>680</v>
      </c>
      <c r="BO8" s="75">
        <v>680</v>
      </c>
      <c r="BP8" s="75">
        <v>680</v>
      </c>
      <c r="BQ8" s="75">
        <v>680</v>
      </c>
      <c r="BR8" s="75">
        <v>680</v>
      </c>
      <c r="BS8" s="75">
        <v>680</v>
      </c>
      <c r="BT8" s="75">
        <v>680</v>
      </c>
      <c r="BU8" s="75">
        <v>680</v>
      </c>
      <c r="BV8" s="75">
        <v>680</v>
      </c>
      <c r="BW8" s="75">
        <v>680</v>
      </c>
      <c r="BX8" s="75">
        <v>680</v>
      </c>
      <c r="BY8" s="75">
        <v>680</v>
      </c>
      <c r="BZ8" s="75">
        <v>680</v>
      </c>
      <c r="CA8" s="75">
        <v>680</v>
      </c>
      <c r="CB8" s="75">
        <v>680</v>
      </c>
      <c r="CD8" s="4" t="s">
        <v>37</v>
      </c>
      <c r="CE8" s="5"/>
      <c r="CF8" s="7" t="s">
        <v>64</v>
      </c>
      <c r="CG8" s="10">
        <v>922.5</v>
      </c>
      <c r="CH8" s="10">
        <v>922.5</v>
      </c>
      <c r="CI8" s="10">
        <v>922.5</v>
      </c>
      <c r="CJ8" s="10">
        <v>922.5</v>
      </c>
      <c r="CK8" s="10">
        <v>922.5</v>
      </c>
      <c r="CL8" s="95">
        <v>880</v>
      </c>
      <c r="CM8" s="95">
        <v>880</v>
      </c>
      <c r="CN8" s="95">
        <v>880</v>
      </c>
      <c r="CO8" s="95">
        <v>880</v>
      </c>
      <c r="CP8" s="95">
        <v>820</v>
      </c>
      <c r="CQ8" s="95">
        <v>820</v>
      </c>
      <c r="CR8" s="95">
        <v>820</v>
      </c>
      <c r="CS8" s="95">
        <v>820</v>
      </c>
      <c r="CT8" s="95">
        <v>820</v>
      </c>
      <c r="CU8" s="95">
        <v>800</v>
      </c>
      <c r="CV8" s="95">
        <v>760</v>
      </c>
      <c r="CW8" s="10">
        <v>760</v>
      </c>
      <c r="CX8" s="10">
        <v>760</v>
      </c>
      <c r="CY8" s="10">
        <v>760</v>
      </c>
      <c r="CZ8" s="10">
        <v>760</v>
      </c>
      <c r="DA8" s="10">
        <v>720</v>
      </c>
      <c r="DB8" s="10">
        <v>720</v>
      </c>
      <c r="DC8" s="10">
        <v>720</v>
      </c>
      <c r="DD8" s="10">
        <v>680</v>
      </c>
      <c r="DE8" s="10">
        <v>680</v>
      </c>
      <c r="DF8" s="10">
        <v>680</v>
      </c>
      <c r="DG8" s="10">
        <v>680</v>
      </c>
      <c r="DH8" s="10">
        <v>680</v>
      </c>
      <c r="DI8" s="10">
        <v>680</v>
      </c>
      <c r="DJ8" s="10">
        <v>680</v>
      </c>
      <c r="DK8" s="10">
        <v>680</v>
      </c>
      <c r="DL8" s="10">
        <v>680</v>
      </c>
      <c r="DM8" s="10">
        <v>680</v>
      </c>
      <c r="DN8" s="10">
        <v>680</v>
      </c>
      <c r="DO8" s="10">
        <v>680</v>
      </c>
      <c r="DP8" s="10">
        <v>680</v>
      </c>
      <c r="DQ8" s="10">
        <v>680</v>
      </c>
      <c r="DR8" s="10">
        <v>680</v>
      </c>
      <c r="DS8" s="10">
        <v>680</v>
      </c>
      <c r="DT8" s="10">
        <v>680</v>
      </c>
      <c r="DU8" s="10">
        <v>680</v>
      </c>
      <c r="DV8" s="10">
        <v>680</v>
      </c>
      <c r="DW8" s="10">
        <v>680</v>
      </c>
      <c r="DX8" s="10">
        <v>680</v>
      </c>
      <c r="DY8" s="10">
        <v>680</v>
      </c>
      <c r="DZ8" s="10">
        <v>680</v>
      </c>
      <c r="EA8" s="10">
        <v>680</v>
      </c>
      <c r="EB8" s="10">
        <v>680</v>
      </c>
      <c r="EC8" s="10">
        <v>680</v>
      </c>
      <c r="ED8" s="10">
        <v>680</v>
      </c>
      <c r="EE8" s="10">
        <v>680</v>
      </c>
      <c r="EF8" s="10">
        <v>680</v>
      </c>
      <c r="EG8" s="10">
        <v>680</v>
      </c>
      <c r="EH8" s="10">
        <v>680</v>
      </c>
      <c r="EI8" s="10">
        <v>680</v>
      </c>
      <c r="EJ8" s="10">
        <v>680</v>
      </c>
      <c r="EK8" s="10">
        <v>680</v>
      </c>
      <c r="EL8" s="10">
        <v>680</v>
      </c>
      <c r="EM8" s="10">
        <v>680</v>
      </c>
      <c r="EN8" s="10">
        <v>680</v>
      </c>
      <c r="EO8" s="10">
        <v>680</v>
      </c>
      <c r="EP8" s="75">
        <v>680</v>
      </c>
      <c r="EQ8" s="75">
        <v>680</v>
      </c>
      <c r="ER8" s="75">
        <v>680</v>
      </c>
      <c r="ES8" s="75">
        <v>680</v>
      </c>
      <c r="ET8" s="75">
        <v>680</v>
      </c>
      <c r="EU8" s="75">
        <v>680</v>
      </c>
      <c r="EV8" s="75">
        <v>680</v>
      </c>
      <c r="EW8" s="75">
        <v>680</v>
      </c>
      <c r="EX8" s="75">
        <v>680</v>
      </c>
      <c r="EY8" s="75">
        <v>680</v>
      </c>
      <c r="EZ8" s="75">
        <v>680</v>
      </c>
      <c r="FA8" s="75">
        <v>680</v>
      </c>
      <c r="FB8" s="75">
        <v>680</v>
      </c>
      <c r="FC8" s="75">
        <v>680</v>
      </c>
      <c r="FD8" s="75">
        <v>680</v>
      </c>
      <c r="FE8" s="75">
        <v>680</v>
      </c>
      <c r="FF8" s="75">
        <v>680</v>
      </c>
      <c r="FG8" s="75">
        <v>680</v>
      </c>
      <c r="FH8" s="75">
        <v>680</v>
      </c>
      <c r="FI8" s="75">
        <v>680</v>
      </c>
      <c r="FJ8" s="75">
        <v>680</v>
      </c>
      <c r="FK8" s="75">
        <v>680</v>
      </c>
      <c r="FL8" s="75">
        <v>680</v>
      </c>
      <c r="FM8" s="75">
        <v>680</v>
      </c>
      <c r="FN8" s="75">
        <v>680</v>
      </c>
      <c r="FO8" s="75">
        <v>680</v>
      </c>
      <c r="FP8" s="75">
        <v>680</v>
      </c>
      <c r="FQ8" s="75">
        <v>680</v>
      </c>
      <c r="FR8" s="75">
        <v>680</v>
      </c>
      <c r="FS8" s="75">
        <v>680</v>
      </c>
      <c r="FT8" s="75">
        <v>680</v>
      </c>
      <c r="FU8" s="75">
        <v>680</v>
      </c>
      <c r="FV8" s="75">
        <v>680</v>
      </c>
      <c r="FW8" s="75">
        <v>680</v>
      </c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5"/>
      <c r="GJ8" s="75"/>
      <c r="GK8" s="75"/>
      <c r="GL8" s="75"/>
      <c r="GM8" s="75"/>
      <c r="GN8" s="75"/>
      <c r="GO8" s="75"/>
      <c r="GP8" s="75"/>
      <c r="GQ8" s="75"/>
      <c r="GR8" s="75"/>
      <c r="GS8" s="75"/>
      <c r="GT8" s="75"/>
      <c r="GU8" s="75"/>
      <c r="GV8" s="75"/>
      <c r="GW8" s="75"/>
      <c r="GX8" s="75"/>
      <c r="GY8" s="75"/>
      <c r="GZ8" s="75"/>
      <c r="HA8" s="75"/>
      <c r="HB8" s="75"/>
      <c r="HC8" s="75"/>
      <c r="HD8" s="75"/>
      <c r="HE8" s="75"/>
      <c r="HF8" s="75"/>
      <c r="HG8" s="75"/>
      <c r="HH8" s="75"/>
      <c r="HI8" s="75"/>
      <c r="HJ8" s="75"/>
      <c r="HK8" s="75"/>
      <c r="HL8" s="75"/>
      <c r="HM8" s="75"/>
      <c r="HN8" s="75"/>
      <c r="HO8" s="75"/>
      <c r="HP8" s="75"/>
      <c r="HQ8" s="75"/>
      <c r="HR8" s="75"/>
      <c r="HS8" s="75"/>
      <c r="HT8" s="75"/>
      <c r="HU8" s="75"/>
      <c r="HV8" s="75"/>
      <c r="HW8" s="75"/>
      <c r="HX8" s="75"/>
      <c r="HY8" s="75"/>
      <c r="HZ8" s="75"/>
      <c r="IA8" s="75"/>
      <c r="IB8" s="75"/>
      <c r="IC8" s="75"/>
      <c r="ID8" s="75"/>
      <c r="IE8" s="75"/>
      <c r="IF8" s="75"/>
      <c r="IG8" s="75"/>
      <c r="IH8" s="75"/>
      <c r="II8" s="75"/>
      <c r="IJ8" s="75"/>
      <c r="IK8" s="75"/>
      <c r="IL8" s="75"/>
      <c r="IM8" s="75"/>
      <c r="IN8" s="75"/>
      <c r="IO8" s="75"/>
      <c r="IP8" s="75"/>
      <c r="IQ8" s="75"/>
      <c r="IR8" s="75"/>
      <c r="IS8" s="75"/>
      <c r="IT8" s="75"/>
      <c r="IU8" s="75"/>
      <c r="IV8" s="75"/>
      <c r="IW8" s="75"/>
      <c r="IX8" s="75"/>
      <c r="IY8" s="75"/>
      <c r="IZ8" s="75"/>
      <c r="JA8" s="75"/>
      <c r="JB8" s="75"/>
      <c r="JC8" s="75"/>
      <c r="JD8" s="75"/>
      <c r="JE8" s="75"/>
      <c r="JF8" s="75"/>
      <c r="JG8" s="75"/>
      <c r="JH8" s="75"/>
      <c r="JI8" s="75"/>
      <c r="JJ8" s="75"/>
    </row>
    <row r="9" spans="1:296" s="32" customFormat="1" ht="14">
      <c r="A9" s="44"/>
      <c r="B9" s="45" t="s">
        <v>46</v>
      </c>
      <c r="C9" s="45" t="s">
        <v>47</v>
      </c>
      <c r="D9" s="44" t="s">
        <v>48</v>
      </c>
      <c r="E9" s="45" t="s">
        <v>29</v>
      </c>
      <c r="F9" s="45" t="s">
        <v>100</v>
      </c>
      <c r="G9" s="46" t="s">
        <v>24</v>
      </c>
      <c r="H9" s="96" t="s">
        <v>140</v>
      </c>
      <c r="I9" s="46">
        <v>1430</v>
      </c>
      <c r="J9" s="46">
        <v>1430</v>
      </c>
      <c r="K9" s="46">
        <v>1430</v>
      </c>
      <c r="L9" s="46">
        <v>1430</v>
      </c>
      <c r="M9" s="46">
        <v>1430</v>
      </c>
      <c r="N9" s="46">
        <v>1430</v>
      </c>
      <c r="O9" s="46">
        <v>1430</v>
      </c>
      <c r="P9" s="46">
        <v>1430</v>
      </c>
      <c r="Q9" s="46">
        <v>1430</v>
      </c>
      <c r="R9" s="46">
        <v>1530</v>
      </c>
      <c r="S9" s="46">
        <v>1530</v>
      </c>
      <c r="T9" s="46">
        <v>1530</v>
      </c>
      <c r="U9" s="46">
        <v>1530</v>
      </c>
      <c r="V9" s="46">
        <v>1530</v>
      </c>
      <c r="W9" s="46">
        <v>1560</v>
      </c>
      <c r="X9" s="46">
        <v>1610</v>
      </c>
      <c r="Y9" s="46">
        <v>1610</v>
      </c>
      <c r="Z9" s="46">
        <v>1610</v>
      </c>
      <c r="AA9" s="46">
        <v>1610</v>
      </c>
      <c r="AB9" s="46">
        <v>1610</v>
      </c>
      <c r="AC9" s="46">
        <v>1610</v>
      </c>
      <c r="AD9" s="46">
        <v>1530</v>
      </c>
      <c r="AE9" s="46">
        <v>1530</v>
      </c>
      <c r="AF9" s="46">
        <v>1530</v>
      </c>
      <c r="AG9" s="46">
        <v>1530</v>
      </c>
      <c r="AH9" s="46">
        <v>1530</v>
      </c>
      <c r="AI9" s="46">
        <v>1530</v>
      </c>
      <c r="AJ9" s="46">
        <v>1530</v>
      </c>
      <c r="AK9" s="46">
        <v>1530</v>
      </c>
      <c r="AL9" s="46">
        <v>1400</v>
      </c>
      <c r="AM9" s="46">
        <v>1400</v>
      </c>
      <c r="AN9" s="46">
        <v>1400</v>
      </c>
      <c r="AO9" s="46">
        <v>1530</v>
      </c>
      <c r="AP9" s="46">
        <v>1530</v>
      </c>
      <c r="AQ9" s="46">
        <v>1530</v>
      </c>
      <c r="AR9" s="46">
        <v>1450</v>
      </c>
      <c r="AS9" s="46">
        <v>1400</v>
      </c>
      <c r="AT9" s="46">
        <v>1400</v>
      </c>
      <c r="AU9" s="46">
        <v>1400</v>
      </c>
      <c r="AV9" s="46">
        <v>1400</v>
      </c>
      <c r="AW9" s="46">
        <v>1400</v>
      </c>
      <c r="AX9" s="46">
        <v>1400</v>
      </c>
      <c r="AY9" s="46">
        <v>1400</v>
      </c>
      <c r="AZ9" s="46">
        <v>1400</v>
      </c>
      <c r="BA9" s="46">
        <v>1400</v>
      </c>
      <c r="BB9" s="46">
        <v>1400</v>
      </c>
      <c r="BC9" s="46">
        <v>1400</v>
      </c>
      <c r="BD9" s="46">
        <v>1400</v>
      </c>
      <c r="BE9" s="46">
        <v>1400</v>
      </c>
      <c r="BF9" s="46">
        <v>1400</v>
      </c>
      <c r="BG9" s="46">
        <v>1400</v>
      </c>
      <c r="BH9" s="46">
        <v>1400</v>
      </c>
      <c r="BI9" s="46">
        <v>1400</v>
      </c>
      <c r="BJ9" s="46">
        <v>1400</v>
      </c>
      <c r="BK9" s="46">
        <v>1400</v>
      </c>
      <c r="BL9" s="46">
        <f>1400-50</f>
        <v>1350</v>
      </c>
      <c r="BM9" s="46">
        <f>1400-50</f>
        <v>1350</v>
      </c>
      <c r="BN9" s="46">
        <f>1400-50</f>
        <v>1350</v>
      </c>
      <c r="BO9" s="46">
        <f>1400-50</f>
        <v>1350</v>
      </c>
      <c r="BP9" s="46">
        <f>1400-50</f>
        <v>1350</v>
      </c>
      <c r="BQ9" s="46">
        <f>1400-50-20</f>
        <v>1330</v>
      </c>
      <c r="BR9" s="46">
        <f>1400-50-20-20</f>
        <v>1310</v>
      </c>
      <c r="BS9" s="46">
        <f>1400-50-20-20</f>
        <v>1310</v>
      </c>
      <c r="BT9" s="46">
        <f>1400-50-20-20-10</f>
        <v>1300</v>
      </c>
      <c r="BU9" s="46">
        <f>1400-50-20-20-10</f>
        <v>1300</v>
      </c>
      <c r="BV9" s="46">
        <f>1400-50-20-20-10</f>
        <v>1300</v>
      </c>
      <c r="BW9" s="46">
        <f>1400-50-20-20-10</f>
        <v>1300</v>
      </c>
      <c r="BX9" s="46">
        <f>1400-50-20-20-10</f>
        <v>1300</v>
      </c>
      <c r="BY9" s="46">
        <v>1400</v>
      </c>
      <c r="BZ9" s="46">
        <v>1470</v>
      </c>
      <c r="CA9" s="46">
        <v>1450</v>
      </c>
      <c r="CB9" s="46">
        <v>1430</v>
      </c>
      <c r="CC9" s="150"/>
      <c r="CD9" s="44" t="s">
        <v>48</v>
      </c>
      <c r="CE9" s="45" t="s">
        <v>29</v>
      </c>
      <c r="CF9" s="96" t="s">
        <v>140</v>
      </c>
      <c r="CG9" s="46">
        <v>1610</v>
      </c>
      <c r="CH9" s="46">
        <v>1610</v>
      </c>
      <c r="CI9" s="46">
        <v>1610</v>
      </c>
      <c r="CJ9" s="46">
        <v>1610</v>
      </c>
      <c r="CK9" s="46">
        <v>1610</v>
      </c>
      <c r="CL9" s="46">
        <v>1610</v>
      </c>
      <c r="CM9" s="46">
        <v>1610</v>
      </c>
      <c r="CN9" s="46">
        <v>1610</v>
      </c>
      <c r="CO9" s="46">
        <v>1610</v>
      </c>
      <c r="CP9" s="46">
        <v>1610</v>
      </c>
      <c r="CQ9" s="46">
        <v>1610</v>
      </c>
      <c r="CR9" s="46">
        <v>1610</v>
      </c>
      <c r="CS9" s="46">
        <v>1530</v>
      </c>
      <c r="CT9" s="46">
        <v>1530</v>
      </c>
      <c r="CU9" s="46">
        <v>1530</v>
      </c>
      <c r="CV9" s="46">
        <v>1530</v>
      </c>
      <c r="CW9" s="46">
        <v>1530</v>
      </c>
      <c r="CX9" s="46">
        <v>1530</v>
      </c>
      <c r="CY9" s="46">
        <v>1530</v>
      </c>
      <c r="CZ9" s="46">
        <v>1530</v>
      </c>
      <c r="DA9" s="46">
        <v>1530</v>
      </c>
      <c r="DB9" s="46">
        <v>1530</v>
      </c>
      <c r="DC9" s="46">
        <v>1530</v>
      </c>
      <c r="DD9" s="46">
        <v>1530</v>
      </c>
      <c r="DE9" s="46">
        <v>1530</v>
      </c>
      <c r="DF9" s="46">
        <v>1530</v>
      </c>
      <c r="DG9" s="46">
        <v>1530</v>
      </c>
      <c r="DH9" s="46">
        <v>1400</v>
      </c>
      <c r="DI9" s="46">
        <v>1400</v>
      </c>
      <c r="DJ9" s="133">
        <v>1400</v>
      </c>
      <c r="DK9" s="133">
        <v>1400</v>
      </c>
      <c r="DL9" s="133">
        <v>1400</v>
      </c>
      <c r="DM9" s="133">
        <v>1400</v>
      </c>
      <c r="DN9" s="133">
        <v>1400</v>
      </c>
      <c r="DO9" s="133">
        <v>1400</v>
      </c>
      <c r="DP9" s="133">
        <v>1400</v>
      </c>
      <c r="DQ9" s="133">
        <v>1400</v>
      </c>
      <c r="DR9" s="133">
        <v>1400</v>
      </c>
      <c r="DS9" s="133">
        <v>1400</v>
      </c>
      <c r="DT9" s="133">
        <v>1400</v>
      </c>
      <c r="DU9" s="133">
        <v>1400</v>
      </c>
      <c r="DV9" s="133">
        <v>1530</v>
      </c>
      <c r="DW9" s="133">
        <v>1530</v>
      </c>
      <c r="DX9" s="133">
        <v>1530</v>
      </c>
      <c r="DY9" s="133">
        <v>1530</v>
      </c>
      <c r="DZ9" s="133">
        <v>1530</v>
      </c>
      <c r="EA9" s="133">
        <v>1530</v>
      </c>
      <c r="EB9" s="133">
        <v>1530</v>
      </c>
      <c r="EC9" s="133">
        <v>1530</v>
      </c>
      <c r="ED9" s="133">
        <v>1530</v>
      </c>
      <c r="EE9" s="133">
        <v>1530</v>
      </c>
      <c r="EF9" s="133">
        <v>1450</v>
      </c>
      <c r="EG9" s="133">
        <v>1450</v>
      </c>
      <c r="EH9" s="133">
        <v>1450</v>
      </c>
      <c r="EI9" s="133">
        <v>1450</v>
      </c>
      <c r="EJ9" s="133">
        <v>1450</v>
      </c>
      <c r="EK9" s="133">
        <v>1400</v>
      </c>
      <c r="EL9" s="133">
        <v>1400</v>
      </c>
      <c r="EM9" s="133">
        <v>1400</v>
      </c>
      <c r="EN9" s="133">
        <v>1400</v>
      </c>
      <c r="EO9" s="133">
        <v>1400</v>
      </c>
      <c r="EP9" s="133">
        <v>1400</v>
      </c>
      <c r="EQ9" s="133">
        <v>1400</v>
      </c>
      <c r="ER9" s="133">
        <v>1400</v>
      </c>
      <c r="ES9" s="133">
        <v>1400</v>
      </c>
      <c r="ET9" s="133">
        <v>1400</v>
      </c>
      <c r="EU9" s="133">
        <v>1400</v>
      </c>
      <c r="EV9" s="133">
        <v>1400</v>
      </c>
      <c r="EW9" s="133">
        <v>1400</v>
      </c>
      <c r="EX9" s="133">
        <v>1400</v>
      </c>
      <c r="EY9" s="133">
        <v>1400</v>
      </c>
      <c r="EZ9" s="133">
        <v>1400</v>
      </c>
      <c r="FA9" s="133">
        <v>1400</v>
      </c>
      <c r="FB9" s="133">
        <v>1400</v>
      </c>
      <c r="FC9" s="133">
        <v>1400</v>
      </c>
      <c r="FD9" s="133">
        <v>1400</v>
      </c>
      <c r="FE9" s="133">
        <v>1400</v>
      </c>
      <c r="FF9" s="133">
        <v>1400</v>
      </c>
      <c r="FG9" s="133">
        <v>1400</v>
      </c>
      <c r="FH9" s="133">
        <v>1400</v>
      </c>
      <c r="FI9" s="133">
        <v>1400</v>
      </c>
      <c r="FJ9" s="133">
        <v>1400</v>
      </c>
      <c r="FK9" s="133">
        <v>1400</v>
      </c>
      <c r="FL9" s="133">
        <v>1400</v>
      </c>
      <c r="FM9" s="133">
        <v>1400</v>
      </c>
      <c r="FN9" s="133">
        <v>1400</v>
      </c>
      <c r="FO9" s="133">
        <v>1400</v>
      </c>
      <c r="FP9" s="133">
        <v>1400</v>
      </c>
      <c r="FQ9" s="133">
        <v>1400</v>
      </c>
      <c r="FR9" s="133">
        <v>1400</v>
      </c>
      <c r="FS9" s="133">
        <v>1400</v>
      </c>
      <c r="FT9" s="133">
        <v>1400</v>
      </c>
      <c r="FU9" s="133">
        <v>1400</v>
      </c>
      <c r="FV9" s="133">
        <v>1400</v>
      </c>
      <c r="FW9" s="133">
        <v>1400</v>
      </c>
      <c r="FX9" s="133">
        <v>1400</v>
      </c>
      <c r="FY9" s="133">
        <v>1400</v>
      </c>
      <c r="FZ9" s="133">
        <v>1400</v>
      </c>
      <c r="GA9" s="133">
        <v>1400</v>
      </c>
      <c r="GB9" s="133">
        <v>1400</v>
      </c>
      <c r="GC9" s="133">
        <v>1400</v>
      </c>
      <c r="GD9" s="133">
        <v>1400</v>
      </c>
      <c r="GE9" s="133">
        <v>1400</v>
      </c>
      <c r="GF9" s="133">
        <v>1400</v>
      </c>
      <c r="GG9" s="133">
        <v>1400</v>
      </c>
      <c r="GH9" s="133">
        <v>1400</v>
      </c>
      <c r="GI9" s="133">
        <v>1400</v>
      </c>
      <c r="GJ9" s="133">
        <v>1400</v>
      </c>
      <c r="GK9" s="133">
        <v>1400</v>
      </c>
      <c r="GL9" s="133">
        <v>1400</v>
      </c>
      <c r="GM9" s="133">
        <v>1400</v>
      </c>
      <c r="GN9" s="133">
        <v>1400</v>
      </c>
      <c r="GO9" s="133">
        <v>1400</v>
      </c>
      <c r="GP9" s="133">
        <v>1400</v>
      </c>
      <c r="GQ9" s="133">
        <v>1400</v>
      </c>
      <c r="GR9" s="133">
        <v>1400</v>
      </c>
      <c r="GS9" s="133">
        <v>1400</v>
      </c>
      <c r="GT9" s="133">
        <v>1400</v>
      </c>
      <c r="GU9" s="133">
        <v>1400</v>
      </c>
      <c r="GV9" s="133">
        <v>1400</v>
      </c>
      <c r="GW9" s="133">
        <v>1400</v>
      </c>
      <c r="GX9" s="133">
        <v>1400</v>
      </c>
      <c r="GY9" s="133">
        <v>1400</v>
      </c>
      <c r="GZ9" s="133">
        <v>1400</v>
      </c>
      <c r="HA9" s="133">
        <v>1400</v>
      </c>
      <c r="HB9" s="133">
        <v>1400</v>
      </c>
      <c r="HC9" s="133">
        <v>1400</v>
      </c>
      <c r="HD9" s="133">
        <v>1400</v>
      </c>
      <c r="HE9" s="133">
        <v>1400</v>
      </c>
      <c r="HF9" s="133">
        <v>1400</v>
      </c>
      <c r="HG9" s="133">
        <v>1400</v>
      </c>
      <c r="HH9" s="133">
        <v>1400</v>
      </c>
      <c r="HI9" s="133">
        <v>1400</v>
      </c>
      <c r="HJ9" s="133">
        <v>1400</v>
      </c>
      <c r="HK9" s="133">
        <v>1400</v>
      </c>
      <c r="HL9" s="133">
        <v>1400</v>
      </c>
      <c r="HM9" s="133">
        <v>1400</v>
      </c>
      <c r="HN9" s="133">
        <v>1400</v>
      </c>
      <c r="HO9" s="133">
        <f>1400-50</f>
        <v>1350</v>
      </c>
      <c r="HP9" s="133">
        <f t="shared" ref="HP9:IJ9" si="38">1400-50</f>
        <v>1350</v>
      </c>
      <c r="HQ9" s="133">
        <f t="shared" si="38"/>
        <v>1350</v>
      </c>
      <c r="HR9" s="133">
        <f t="shared" si="38"/>
        <v>1350</v>
      </c>
      <c r="HS9" s="133">
        <f t="shared" si="38"/>
        <v>1350</v>
      </c>
      <c r="HT9" s="133">
        <f t="shared" si="38"/>
        <v>1350</v>
      </c>
      <c r="HU9" s="133">
        <f t="shared" si="38"/>
        <v>1350</v>
      </c>
      <c r="HV9" s="133">
        <f t="shared" si="38"/>
        <v>1350</v>
      </c>
      <c r="HW9" s="133">
        <f t="shared" si="38"/>
        <v>1350</v>
      </c>
      <c r="HX9" s="133">
        <f t="shared" si="38"/>
        <v>1350</v>
      </c>
      <c r="HY9" s="133">
        <f t="shared" si="38"/>
        <v>1350</v>
      </c>
      <c r="HZ9" s="133">
        <f t="shared" si="38"/>
        <v>1350</v>
      </c>
      <c r="IA9" s="133">
        <f t="shared" si="38"/>
        <v>1350</v>
      </c>
      <c r="IB9" s="133">
        <f t="shared" si="38"/>
        <v>1350</v>
      </c>
      <c r="IC9" s="133">
        <f t="shared" si="38"/>
        <v>1350</v>
      </c>
      <c r="ID9" s="133">
        <f t="shared" si="38"/>
        <v>1350</v>
      </c>
      <c r="IE9" s="133">
        <f t="shared" si="38"/>
        <v>1350</v>
      </c>
      <c r="IF9" s="133">
        <f t="shared" si="38"/>
        <v>1350</v>
      </c>
      <c r="IG9" s="133">
        <f t="shared" si="38"/>
        <v>1350</v>
      </c>
      <c r="IH9" s="133">
        <f t="shared" si="38"/>
        <v>1350</v>
      </c>
      <c r="II9" s="133">
        <f t="shared" si="38"/>
        <v>1350</v>
      </c>
      <c r="IJ9" s="133">
        <f t="shared" si="38"/>
        <v>1350</v>
      </c>
      <c r="IK9" s="133">
        <f>1400-50-20</f>
        <v>1330</v>
      </c>
      <c r="IL9" s="133">
        <f t="shared" ref="IL9:IN9" si="39">1400-50-20</f>
        <v>1330</v>
      </c>
      <c r="IM9" s="133">
        <f t="shared" si="39"/>
        <v>1330</v>
      </c>
      <c r="IN9" s="133">
        <f t="shared" si="39"/>
        <v>1330</v>
      </c>
      <c r="IO9" s="133">
        <f>1400-50-20-20</f>
        <v>1310</v>
      </c>
      <c r="IP9" s="133">
        <f t="shared" ref="IP9:IW9" si="40">1400-50-20-20</f>
        <v>1310</v>
      </c>
      <c r="IQ9" s="133">
        <f t="shared" si="40"/>
        <v>1310</v>
      </c>
      <c r="IR9" s="133">
        <f t="shared" si="40"/>
        <v>1310</v>
      </c>
      <c r="IS9" s="133">
        <f t="shared" si="40"/>
        <v>1310</v>
      </c>
      <c r="IT9" s="133">
        <f t="shared" si="40"/>
        <v>1310</v>
      </c>
      <c r="IU9" s="133">
        <f t="shared" si="40"/>
        <v>1310</v>
      </c>
      <c r="IV9" s="133">
        <f t="shared" si="40"/>
        <v>1310</v>
      </c>
      <c r="IW9" s="133">
        <f t="shared" si="40"/>
        <v>1310</v>
      </c>
      <c r="IX9" s="133">
        <f>1400-50-20-20-10</f>
        <v>1300</v>
      </c>
      <c r="IY9" s="133">
        <f t="shared" ref="IY9:JP9" si="41">1400-50-20-20-10</f>
        <v>1300</v>
      </c>
      <c r="IZ9" s="133">
        <f t="shared" si="41"/>
        <v>1300</v>
      </c>
      <c r="JA9" s="133">
        <f t="shared" si="41"/>
        <v>1300</v>
      </c>
      <c r="JB9" s="133">
        <f t="shared" si="41"/>
        <v>1300</v>
      </c>
      <c r="JC9" s="133">
        <f t="shared" si="41"/>
        <v>1300</v>
      </c>
      <c r="JD9" s="133">
        <f t="shared" si="41"/>
        <v>1300</v>
      </c>
      <c r="JE9" s="133">
        <f t="shared" si="41"/>
        <v>1300</v>
      </c>
      <c r="JF9" s="133">
        <f t="shared" si="41"/>
        <v>1300</v>
      </c>
      <c r="JG9" s="133">
        <f t="shared" si="41"/>
        <v>1300</v>
      </c>
      <c r="JH9" s="133">
        <f t="shared" si="41"/>
        <v>1300</v>
      </c>
      <c r="JI9" s="133">
        <f t="shared" si="41"/>
        <v>1300</v>
      </c>
      <c r="JJ9" s="133">
        <f t="shared" si="41"/>
        <v>1300</v>
      </c>
      <c r="JK9" s="133">
        <f t="shared" si="41"/>
        <v>1300</v>
      </c>
      <c r="JL9" s="133">
        <f t="shared" si="41"/>
        <v>1300</v>
      </c>
      <c r="JM9" s="133">
        <f t="shared" si="41"/>
        <v>1300</v>
      </c>
      <c r="JN9" s="133">
        <f t="shared" si="41"/>
        <v>1300</v>
      </c>
      <c r="JO9" s="133">
        <f t="shared" si="41"/>
        <v>1300</v>
      </c>
      <c r="JP9" s="133">
        <f t="shared" si="41"/>
        <v>1300</v>
      </c>
      <c r="JQ9" s="133">
        <f>1300+50</f>
        <v>1350</v>
      </c>
      <c r="JR9" s="133">
        <f>1300+50</f>
        <v>1350</v>
      </c>
      <c r="JS9" s="133">
        <v>1400</v>
      </c>
      <c r="JT9" s="133">
        <v>1400</v>
      </c>
      <c r="JU9" s="133">
        <v>1400</v>
      </c>
      <c r="JV9" s="133">
        <v>1470</v>
      </c>
      <c r="JW9" s="133">
        <v>1470</v>
      </c>
      <c r="JX9" s="133">
        <v>1470</v>
      </c>
      <c r="JY9" s="133">
        <v>1470</v>
      </c>
      <c r="JZ9" s="133">
        <v>1470</v>
      </c>
      <c r="KA9" s="133">
        <v>1470</v>
      </c>
      <c r="KB9" s="133">
        <v>1450</v>
      </c>
      <c r="KC9" s="133">
        <v>1450</v>
      </c>
      <c r="KD9" s="133">
        <v>1450</v>
      </c>
      <c r="KE9" s="133">
        <v>1450</v>
      </c>
      <c r="KF9" s="133">
        <v>1430</v>
      </c>
      <c r="KG9" s="133">
        <v>1430</v>
      </c>
      <c r="KH9" s="133"/>
      <c r="KI9" s="133"/>
      <c r="KJ9" s="133"/>
    </row>
    <row r="10" spans="1:296" s="32" customFormat="1" ht="14">
      <c r="A10" s="166"/>
      <c r="B10" s="167"/>
      <c r="C10" s="167"/>
      <c r="D10" s="44"/>
      <c r="E10" s="167"/>
      <c r="F10" s="167"/>
      <c r="G10" s="46"/>
      <c r="H10" s="96" t="s">
        <v>141</v>
      </c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>
        <f>AL9-50</f>
        <v>1350</v>
      </c>
      <c r="AM10" s="164">
        <f t="shared" ref="AM10:AY10" si="42">AM9-50</f>
        <v>1350</v>
      </c>
      <c r="AN10" s="164">
        <f t="shared" si="42"/>
        <v>1350</v>
      </c>
      <c r="AO10" s="164">
        <f t="shared" si="42"/>
        <v>1480</v>
      </c>
      <c r="AP10" s="164">
        <f t="shared" si="42"/>
        <v>1480</v>
      </c>
      <c r="AQ10" s="164">
        <f t="shared" si="42"/>
        <v>1480</v>
      </c>
      <c r="AR10" s="164">
        <f t="shared" si="42"/>
        <v>1400</v>
      </c>
      <c r="AS10" s="164">
        <f t="shared" si="42"/>
        <v>1350</v>
      </c>
      <c r="AT10" s="164">
        <f t="shared" si="42"/>
        <v>1350</v>
      </c>
      <c r="AU10" s="164">
        <f t="shared" si="42"/>
        <v>1350</v>
      </c>
      <c r="AV10" s="164">
        <f t="shared" si="42"/>
        <v>1350</v>
      </c>
      <c r="AW10" s="164">
        <f t="shared" si="42"/>
        <v>1350</v>
      </c>
      <c r="AX10" s="164">
        <f t="shared" si="42"/>
        <v>1350</v>
      </c>
      <c r="AY10" s="164">
        <f t="shared" si="42"/>
        <v>1350</v>
      </c>
      <c r="AZ10" s="164">
        <f t="shared" ref="AZ10:BA10" si="43">AZ9-50</f>
        <v>1350</v>
      </c>
      <c r="BA10" s="164">
        <f t="shared" si="43"/>
        <v>1350</v>
      </c>
      <c r="BB10" s="164">
        <f t="shared" ref="BB10:BC10" si="44">BB9-50</f>
        <v>1350</v>
      </c>
      <c r="BC10" s="164">
        <f t="shared" si="44"/>
        <v>1350</v>
      </c>
      <c r="BD10" s="164">
        <f t="shared" ref="BD10:BE10" si="45">BD9-50</f>
        <v>1350</v>
      </c>
      <c r="BE10" s="164">
        <f t="shared" si="45"/>
        <v>1350</v>
      </c>
      <c r="BF10" s="164">
        <f t="shared" ref="BF10:BG10" si="46">BF9-50</f>
        <v>1350</v>
      </c>
      <c r="BG10" s="164">
        <f t="shared" si="46"/>
        <v>1350</v>
      </c>
      <c r="BH10" s="164">
        <f t="shared" ref="BH10:BI10" si="47">BH9-50</f>
        <v>1350</v>
      </c>
      <c r="BI10" s="164">
        <f t="shared" si="47"/>
        <v>1350</v>
      </c>
      <c r="BJ10" s="164">
        <f t="shared" ref="BJ10" si="48">BJ9-50</f>
        <v>1350</v>
      </c>
      <c r="BK10" s="164">
        <f>BK9-100</f>
        <v>1300</v>
      </c>
      <c r="BL10" s="164">
        <f t="shared" ref="BL10:BX10" si="49">BL9-100</f>
        <v>1250</v>
      </c>
      <c r="BM10" s="164">
        <f t="shared" si="49"/>
        <v>1250</v>
      </c>
      <c r="BN10" s="164">
        <f t="shared" si="49"/>
        <v>1250</v>
      </c>
      <c r="BO10" s="164">
        <f t="shared" si="49"/>
        <v>1250</v>
      </c>
      <c r="BP10" s="164">
        <f t="shared" si="49"/>
        <v>1250</v>
      </c>
      <c r="BQ10" s="164">
        <f t="shared" si="49"/>
        <v>1230</v>
      </c>
      <c r="BR10" s="164">
        <f t="shared" si="49"/>
        <v>1210</v>
      </c>
      <c r="BS10" s="164">
        <f t="shared" si="49"/>
        <v>1210</v>
      </c>
      <c r="BT10" s="164">
        <f t="shared" si="49"/>
        <v>1200</v>
      </c>
      <c r="BU10" s="164">
        <f t="shared" si="49"/>
        <v>1200</v>
      </c>
      <c r="BV10" s="164">
        <f t="shared" si="49"/>
        <v>1200</v>
      </c>
      <c r="BW10" s="164">
        <f t="shared" si="49"/>
        <v>1200</v>
      </c>
      <c r="BX10" s="164">
        <f t="shared" si="49"/>
        <v>1200</v>
      </c>
      <c r="BY10" s="164">
        <f t="shared" ref="BY10:BZ10" si="50">BY9-100</f>
        <v>1300</v>
      </c>
      <c r="BZ10" s="164">
        <f t="shared" si="50"/>
        <v>1370</v>
      </c>
      <c r="CA10" s="164">
        <f t="shared" ref="CA10:CB10" si="51">CA9-100</f>
        <v>1350</v>
      </c>
      <c r="CB10" s="164">
        <f t="shared" si="51"/>
        <v>1330</v>
      </c>
      <c r="CC10" s="150"/>
      <c r="CD10" s="44"/>
      <c r="CE10" s="167"/>
      <c r="CF10" s="96" t="s">
        <v>141</v>
      </c>
      <c r="CG10" s="164"/>
      <c r="CH10" s="164"/>
      <c r="CI10" s="164"/>
      <c r="CJ10" s="164"/>
      <c r="CK10" s="164"/>
      <c r="CL10" s="164"/>
      <c r="CM10" s="164"/>
      <c r="CN10" s="164"/>
      <c r="CO10" s="164"/>
      <c r="CP10" s="164"/>
      <c r="CQ10" s="164"/>
      <c r="CR10" s="164"/>
      <c r="CS10" s="164"/>
      <c r="CT10" s="164"/>
      <c r="CU10" s="164"/>
      <c r="CV10" s="164"/>
      <c r="CW10" s="164"/>
      <c r="CX10" s="164"/>
      <c r="CY10" s="164"/>
      <c r="CZ10" s="164"/>
      <c r="DA10" s="164"/>
      <c r="DB10" s="164"/>
      <c r="DC10" s="164"/>
      <c r="DD10" s="164"/>
      <c r="DE10" s="164"/>
      <c r="DF10" s="164"/>
      <c r="DG10" s="164"/>
      <c r="DH10" s="164"/>
      <c r="DI10" s="164"/>
      <c r="DJ10" s="165">
        <f>DJ9-50</f>
        <v>1350</v>
      </c>
      <c r="DK10" s="165">
        <f t="shared" ref="DK10:FM10" si="52">DK9-50</f>
        <v>1350</v>
      </c>
      <c r="DL10" s="165">
        <f t="shared" si="52"/>
        <v>1350</v>
      </c>
      <c r="DM10" s="165">
        <f t="shared" si="52"/>
        <v>1350</v>
      </c>
      <c r="DN10" s="165">
        <f t="shared" si="52"/>
        <v>1350</v>
      </c>
      <c r="DO10" s="165">
        <f t="shared" si="52"/>
        <v>1350</v>
      </c>
      <c r="DP10" s="165">
        <f t="shared" si="52"/>
        <v>1350</v>
      </c>
      <c r="DQ10" s="165">
        <f t="shared" si="52"/>
        <v>1350</v>
      </c>
      <c r="DR10" s="165">
        <f t="shared" si="52"/>
        <v>1350</v>
      </c>
      <c r="DS10" s="165">
        <f t="shared" si="52"/>
        <v>1350</v>
      </c>
      <c r="DT10" s="165">
        <f t="shared" si="52"/>
        <v>1350</v>
      </c>
      <c r="DU10" s="165">
        <f t="shared" si="52"/>
        <v>1350</v>
      </c>
      <c r="DV10" s="165">
        <f t="shared" si="52"/>
        <v>1480</v>
      </c>
      <c r="DW10" s="165">
        <f t="shared" si="52"/>
        <v>1480</v>
      </c>
      <c r="DX10" s="165">
        <f t="shared" si="52"/>
        <v>1480</v>
      </c>
      <c r="DY10" s="165">
        <f t="shared" si="52"/>
        <v>1480</v>
      </c>
      <c r="DZ10" s="165">
        <f t="shared" si="52"/>
        <v>1480</v>
      </c>
      <c r="EA10" s="165">
        <f t="shared" si="52"/>
        <v>1480</v>
      </c>
      <c r="EB10" s="165">
        <f t="shared" si="52"/>
        <v>1480</v>
      </c>
      <c r="EC10" s="165">
        <f t="shared" si="52"/>
        <v>1480</v>
      </c>
      <c r="ED10" s="165">
        <f t="shared" si="52"/>
        <v>1480</v>
      </c>
      <c r="EE10" s="165">
        <f t="shared" si="52"/>
        <v>1480</v>
      </c>
      <c r="EF10" s="165">
        <f t="shared" si="52"/>
        <v>1400</v>
      </c>
      <c r="EG10" s="165">
        <f t="shared" si="52"/>
        <v>1400</v>
      </c>
      <c r="EH10" s="165">
        <f t="shared" si="52"/>
        <v>1400</v>
      </c>
      <c r="EI10" s="165">
        <f t="shared" si="52"/>
        <v>1400</v>
      </c>
      <c r="EJ10" s="165">
        <f t="shared" si="52"/>
        <v>1400</v>
      </c>
      <c r="EK10" s="165">
        <f t="shared" si="52"/>
        <v>1350</v>
      </c>
      <c r="EL10" s="165">
        <f t="shared" si="52"/>
        <v>1350</v>
      </c>
      <c r="EM10" s="165">
        <f t="shared" si="52"/>
        <v>1350</v>
      </c>
      <c r="EN10" s="165">
        <f t="shared" si="52"/>
        <v>1350</v>
      </c>
      <c r="EO10" s="165">
        <f t="shared" si="52"/>
        <v>1350</v>
      </c>
      <c r="EP10" s="165">
        <f t="shared" si="52"/>
        <v>1350</v>
      </c>
      <c r="EQ10" s="165">
        <f t="shared" si="52"/>
        <v>1350</v>
      </c>
      <c r="ER10" s="165">
        <f t="shared" si="52"/>
        <v>1350</v>
      </c>
      <c r="ES10" s="165">
        <f t="shared" si="52"/>
        <v>1350</v>
      </c>
      <c r="ET10" s="165">
        <f t="shared" si="52"/>
        <v>1350</v>
      </c>
      <c r="EU10" s="165">
        <f t="shared" si="52"/>
        <v>1350</v>
      </c>
      <c r="EV10" s="165">
        <f t="shared" si="52"/>
        <v>1350</v>
      </c>
      <c r="EW10" s="165">
        <f t="shared" si="52"/>
        <v>1350</v>
      </c>
      <c r="EX10" s="165">
        <f t="shared" si="52"/>
        <v>1350</v>
      </c>
      <c r="EY10" s="165">
        <f t="shared" si="52"/>
        <v>1350</v>
      </c>
      <c r="EZ10" s="165">
        <f t="shared" si="52"/>
        <v>1350</v>
      </c>
      <c r="FA10" s="165">
        <f t="shared" si="52"/>
        <v>1350</v>
      </c>
      <c r="FB10" s="165">
        <f t="shared" si="52"/>
        <v>1350</v>
      </c>
      <c r="FC10" s="165">
        <f t="shared" si="52"/>
        <v>1350</v>
      </c>
      <c r="FD10" s="165">
        <f t="shared" si="52"/>
        <v>1350</v>
      </c>
      <c r="FE10" s="165">
        <f t="shared" si="52"/>
        <v>1350</v>
      </c>
      <c r="FF10" s="165">
        <f t="shared" si="52"/>
        <v>1350</v>
      </c>
      <c r="FG10" s="165">
        <f t="shared" si="52"/>
        <v>1350</v>
      </c>
      <c r="FH10" s="165">
        <f t="shared" si="52"/>
        <v>1350</v>
      </c>
      <c r="FI10" s="165">
        <f t="shared" si="52"/>
        <v>1350</v>
      </c>
      <c r="FJ10" s="165">
        <f t="shared" si="52"/>
        <v>1350</v>
      </c>
      <c r="FK10" s="165">
        <f t="shared" si="52"/>
        <v>1350</v>
      </c>
      <c r="FL10" s="165">
        <f t="shared" si="52"/>
        <v>1350</v>
      </c>
      <c r="FM10" s="165">
        <f t="shared" si="52"/>
        <v>1350</v>
      </c>
      <c r="FN10" s="165">
        <f t="shared" ref="FN10:FP10" si="53">FN9-50</f>
        <v>1350</v>
      </c>
      <c r="FO10" s="165">
        <f t="shared" si="53"/>
        <v>1350</v>
      </c>
      <c r="FP10" s="165">
        <f t="shared" si="53"/>
        <v>1350</v>
      </c>
      <c r="FQ10" s="165">
        <f t="shared" ref="FQ10:FR10" si="54">FQ9-50</f>
        <v>1350</v>
      </c>
      <c r="FR10" s="165">
        <f t="shared" si="54"/>
        <v>1350</v>
      </c>
      <c r="FS10" s="165">
        <f t="shared" ref="FS10:FT10" si="55">FS9-50</f>
        <v>1350</v>
      </c>
      <c r="FT10" s="165">
        <f t="shared" si="55"/>
        <v>1350</v>
      </c>
      <c r="FU10" s="165">
        <f t="shared" ref="FU10:FW10" si="56">FU9-50</f>
        <v>1350</v>
      </c>
      <c r="FV10" s="165">
        <f t="shared" si="56"/>
        <v>1350</v>
      </c>
      <c r="FW10" s="165">
        <f t="shared" si="56"/>
        <v>1350</v>
      </c>
      <c r="FX10" s="165">
        <f t="shared" ref="FX10:FY10" si="57">FX9-50</f>
        <v>1350</v>
      </c>
      <c r="FY10" s="165">
        <f t="shared" si="57"/>
        <v>1350</v>
      </c>
      <c r="FZ10" s="165">
        <f t="shared" ref="FZ10:GA10" si="58">FZ9-50</f>
        <v>1350</v>
      </c>
      <c r="GA10" s="165">
        <f t="shared" si="58"/>
        <v>1350</v>
      </c>
      <c r="GB10" s="165">
        <f t="shared" ref="GB10:GC10" si="59">GB9-50</f>
        <v>1350</v>
      </c>
      <c r="GC10" s="165">
        <f t="shared" si="59"/>
        <v>1350</v>
      </c>
      <c r="GD10" s="165">
        <f t="shared" ref="GD10:GE10" si="60">GD9-50</f>
        <v>1350</v>
      </c>
      <c r="GE10" s="165">
        <f t="shared" si="60"/>
        <v>1350</v>
      </c>
      <c r="GF10" s="165">
        <f t="shared" ref="GF10:GG10" si="61">GF9-50</f>
        <v>1350</v>
      </c>
      <c r="GG10" s="165">
        <f t="shared" si="61"/>
        <v>1350</v>
      </c>
      <c r="GH10" s="165">
        <f t="shared" ref="GH10:GI10" si="62">GH9-50</f>
        <v>1350</v>
      </c>
      <c r="GI10" s="165">
        <f t="shared" si="62"/>
        <v>1350</v>
      </c>
      <c r="GJ10" s="165">
        <f t="shared" ref="GJ10:GK10" si="63">GJ9-50</f>
        <v>1350</v>
      </c>
      <c r="GK10" s="165">
        <f t="shared" si="63"/>
        <v>1350</v>
      </c>
      <c r="GL10" s="165">
        <f t="shared" ref="GL10:GM10" si="64">GL9-50</f>
        <v>1350</v>
      </c>
      <c r="GM10" s="165">
        <f t="shared" si="64"/>
        <v>1350</v>
      </c>
      <c r="GN10" s="165">
        <f t="shared" ref="GN10:GO10" si="65">GN9-50</f>
        <v>1350</v>
      </c>
      <c r="GO10" s="165">
        <f t="shared" si="65"/>
        <v>1350</v>
      </c>
      <c r="GP10" s="165">
        <f t="shared" ref="GP10:GQ10" si="66">GP9-50</f>
        <v>1350</v>
      </c>
      <c r="GQ10" s="165">
        <f t="shared" si="66"/>
        <v>1350</v>
      </c>
      <c r="GR10" s="165">
        <f t="shared" ref="GR10:GS10" si="67">GR9-50</f>
        <v>1350</v>
      </c>
      <c r="GS10" s="165">
        <f t="shared" si="67"/>
        <v>1350</v>
      </c>
      <c r="GT10" s="165">
        <f t="shared" ref="GT10:GU10" si="68">GT9-50</f>
        <v>1350</v>
      </c>
      <c r="GU10" s="165">
        <f t="shared" si="68"/>
        <v>1350</v>
      </c>
      <c r="GV10" s="165">
        <f t="shared" ref="GV10:GW10" si="69">GV9-50</f>
        <v>1350</v>
      </c>
      <c r="GW10" s="165">
        <f t="shared" si="69"/>
        <v>1350</v>
      </c>
      <c r="GX10" s="165">
        <f t="shared" ref="GX10:HB10" si="70">GX9-50</f>
        <v>1350</v>
      </c>
      <c r="GY10" s="165">
        <f t="shared" si="70"/>
        <v>1350</v>
      </c>
      <c r="GZ10" s="165">
        <f t="shared" si="70"/>
        <v>1350</v>
      </c>
      <c r="HA10" s="165">
        <f t="shared" si="70"/>
        <v>1350</v>
      </c>
      <c r="HB10" s="165">
        <f t="shared" si="70"/>
        <v>1350</v>
      </c>
      <c r="HC10" s="165">
        <f t="shared" ref="HC10:HF10" si="71">HC9-50</f>
        <v>1350</v>
      </c>
      <c r="HD10" s="165">
        <f t="shared" si="71"/>
        <v>1350</v>
      </c>
      <c r="HE10" s="165">
        <f t="shared" si="71"/>
        <v>1350</v>
      </c>
      <c r="HF10" s="165">
        <f t="shared" si="71"/>
        <v>1350</v>
      </c>
      <c r="HG10" s="165">
        <f t="shared" ref="HG10:HH10" si="72">HG9-50</f>
        <v>1350</v>
      </c>
      <c r="HH10" s="165">
        <f t="shared" si="72"/>
        <v>1350</v>
      </c>
      <c r="HI10" s="165">
        <f t="shared" ref="HI10:HJ10" si="73">HI9-50</f>
        <v>1350</v>
      </c>
      <c r="HJ10" s="165">
        <f t="shared" si="73"/>
        <v>1350</v>
      </c>
      <c r="HK10" s="165">
        <f t="shared" ref="HK10:HL10" si="74">HK9-50</f>
        <v>1350</v>
      </c>
      <c r="HL10" s="165">
        <f t="shared" si="74"/>
        <v>1350</v>
      </c>
      <c r="HM10" s="165">
        <f t="shared" ref="HM10" si="75">HM9-50</f>
        <v>1350</v>
      </c>
      <c r="HN10" s="165">
        <f t="shared" ref="HN10" si="76">HN9-50</f>
        <v>1350</v>
      </c>
      <c r="HO10" s="165">
        <f t="shared" ref="HO10:HR10" si="77">HO9-50</f>
        <v>1300</v>
      </c>
      <c r="HP10" s="165">
        <f t="shared" si="77"/>
        <v>1300</v>
      </c>
      <c r="HQ10" s="165">
        <f t="shared" si="77"/>
        <v>1300</v>
      </c>
      <c r="HR10" s="165">
        <f t="shared" si="77"/>
        <v>1300</v>
      </c>
      <c r="HS10" s="165">
        <f t="shared" ref="HS10:HV10" si="78">HS9-50</f>
        <v>1300</v>
      </c>
      <c r="HT10" s="165">
        <f t="shared" si="78"/>
        <v>1300</v>
      </c>
      <c r="HU10" s="165">
        <f t="shared" si="78"/>
        <v>1300</v>
      </c>
      <c r="HV10" s="165">
        <f t="shared" si="78"/>
        <v>1300</v>
      </c>
      <c r="HW10" s="165">
        <f t="shared" ref="HW10:IA10" si="79">HW9-50</f>
        <v>1300</v>
      </c>
      <c r="HX10" s="165">
        <f t="shared" si="79"/>
        <v>1300</v>
      </c>
      <c r="HY10" s="165">
        <f t="shared" si="79"/>
        <v>1300</v>
      </c>
      <c r="HZ10" s="165">
        <f t="shared" si="79"/>
        <v>1300</v>
      </c>
      <c r="IA10" s="165">
        <f t="shared" si="79"/>
        <v>1300</v>
      </c>
      <c r="IB10" s="165">
        <f t="shared" ref="IB10:IE10" si="80">IB9-50</f>
        <v>1300</v>
      </c>
      <c r="IC10" s="165">
        <f t="shared" si="80"/>
        <v>1300</v>
      </c>
      <c r="ID10" s="165">
        <f t="shared" si="80"/>
        <v>1300</v>
      </c>
      <c r="IE10" s="165">
        <f t="shared" si="80"/>
        <v>1300</v>
      </c>
      <c r="IF10" s="165">
        <f t="shared" ref="IF10:IJ10" si="81">IF9-50</f>
        <v>1300</v>
      </c>
      <c r="IG10" s="165">
        <f t="shared" si="81"/>
        <v>1300</v>
      </c>
      <c r="IH10" s="165">
        <f t="shared" si="81"/>
        <v>1300</v>
      </c>
      <c r="II10" s="165">
        <f t="shared" si="81"/>
        <v>1300</v>
      </c>
      <c r="IJ10" s="165">
        <f t="shared" si="81"/>
        <v>1300</v>
      </c>
      <c r="IK10" s="165">
        <f t="shared" ref="IK10:IN10" si="82">IK9-50</f>
        <v>1280</v>
      </c>
      <c r="IL10" s="165">
        <f t="shared" si="82"/>
        <v>1280</v>
      </c>
      <c r="IM10" s="165">
        <f t="shared" si="82"/>
        <v>1280</v>
      </c>
      <c r="IN10" s="165">
        <f t="shared" si="82"/>
        <v>1280</v>
      </c>
      <c r="IO10" s="165">
        <f t="shared" ref="IO10:IR10" si="83">IO9-50</f>
        <v>1260</v>
      </c>
      <c r="IP10" s="165">
        <f t="shared" si="83"/>
        <v>1260</v>
      </c>
      <c r="IQ10" s="165">
        <f t="shared" si="83"/>
        <v>1260</v>
      </c>
      <c r="IR10" s="165">
        <f t="shared" si="83"/>
        <v>1260</v>
      </c>
      <c r="IS10" s="165">
        <f t="shared" ref="IS10:IW10" si="84">IS9-50</f>
        <v>1260</v>
      </c>
      <c r="IT10" s="165">
        <f t="shared" si="84"/>
        <v>1260</v>
      </c>
      <c r="IU10" s="165">
        <f t="shared" si="84"/>
        <v>1260</v>
      </c>
      <c r="IV10" s="165">
        <f t="shared" si="84"/>
        <v>1260</v>
      </c>
      <c r="IW10" s="165">
        <f t="shared" si="84"/>
        <v>1260</v>
      </c>
      <c r="IX10" s="165">
        <f t="shared" ref="IX10:JA10" si="85">IX9-50</f>
        <v>1250</v>
      </c>
      <c r="IY10" s="165">
        <f t="shared" si="85"/>
        <v>1250</v>
      </c>
      <c r="IZ10" s="165">
        <f t="shared" si="85"/>
        <v>1250</v>
      </c>
      <c r="JA10" s="165">
        <f t="shared" si="85"/>
        <v>1250</v>
      </c>
      <c r="JB10" s="165">
        <f t="shared" ref="JB10:JE10" si="86">JB9-50</f>
        <v>1250</v>
      </c>
      <c r="JC10" s="165">
        <f t="shared" si="86"/>
        <v>1250</v>
      </c>
      <c r="JD10" s="165">
        <f t="shared" si="86"/>
        <v>1250</v>
      </c>
      <c r="JE10" s="165">
        <f t="shared" si="86"/>
        <v>1250</v>
      </c>
      <c r="JF10" s="165">
        <f>JF9-100</f>
        <v>1200</v>
      </c>
      <c r="JG10" s="165">
        <f t="shared" ref="JG10:JN10" si="87">JG9-100</f>
        <v>1200</v>
      </c>
      <c r="JH10" s="165">
        <f t="shared" si="87"/>
        <v>1200</v>
      </c>
      <c r="JI10" s="165">
        <f t="shared" si="87"/>
        <v>1200</v>
      </c>
      <c r="JJ10" s="165">
        <f t="shared" si="87"/>
        <v>1200</v>
      </c>
      <c r="JK10" s="165">
        <f t="shared" si="87"/>
        <v>1200</v>
      </c>
      <c r="JL10" s="165">
        <f t="shared" si="87"/>
        <v>1200</v>
      </c>
      <c r="JM10" s="165">
        <f t="shared" si="87"/>
        <v>1200</v>
      </c>
      <c r="JN10" s="165">
        <f t="shared" si="87"/>
        <v>1200</v>
      </c>
      <c r="JO10" s="165">
        <f t="shared" ref="JO10:JR10" si="88">JO9-100</f>
        <v>1200</v>
      </c>
      <c r="JP10" s="165">
        <f t="shared" si="88"/>
        <v>1200</v>
      </c>
      <c r="JQ10" s="165">
        <f t="shared" si="88"/>
        <v>1250</v>
      </c>
      <c r="JR10" s="165">
        <f t="shared" si="88"/>
        <v>1250</v>
      </c>
      <c r="JS10" s="165">
        <f t="shared" ref="JS10:JT10" si="89">JS9-100</f>
        <v>1300</v>
      </c>
      <c r="JT10" s="165">
        <f t="shared" si="89"/>
        <v>1300</v>
      </c>
      <c r="JU10" s="165">
        <f t="shared" ref="JU10:JV10" si="90">JU9-100</f>
        <v>1300</v>
      </c>
      <c r="JV10" s="165">
        <f t="shared" si="90"/>
        <v>1370</v>
      </c>
      <c r="JW10" s="165">
        <f t="shared" ref="JW10:KA10" si="91">JW9-100</f>
        <v>1370</v>
      </c>
      <c r="JX10" s="165">
        <f t="shared" si="91"/>
        <v>1370</v>
      </c>
      <c r="JY10" s="165">
        <f t="shared" si="91"/>
        <v>1370</v>
      </c>
      <c r="JZ10" s="165">
        <f t="shared" si="91"/>
        <v>1370</v>
      </c>
      <c r="KA10" s="165">
        <f t="shared" si="91"/>
        <v>1370</v>
      </c>
      <c r="KB10" s="165">
        <f t="shared" ref="KB10:KE10" si="92">KB9-100</f>
        <v>1350</v>
      </c>
      <c r="KC10" s="165">
        <f t="shared" si="92"/>
        <v>1350</v>
      </c>
      <c r="KD10" s="165">
        <f t="shared" si="92"/>
        <v>1350</v>
      </c>
      <c r="KE10" s="165">
        <f t="shared" si="92"/>
        <v>1350</v>
      </c>
      <c r="KF10" s="165">
        <f t="shared" ref="KF10:KJ10" si="93">KF9-100</f>
        <v>1330</v>
      </c>
      <c r="KG10" s="165">
        <f t="shared" si="93"/>
        <v>1330</v>
      </c>
      <c r="KH10" s="165">
        <f t="shared" si="93"/>
        <v>-100</v>
      </c>
      <c r="KI10" s="165">
        <f t="shared" si="93"/>
        <v>-100</v>
      </c>
      <c r="KJ10" s="165">
        <f t="shared" si="93"/>
        <v>-100</v>
      </c>
    </row>
    <row r="11" spans="1:296" s="37" customFormat="1" ht="14" hidden="1">
      <c r="D11" s="38" t="s">
        <v>30</v>
      </c>
      <c r="F11" s="37" t="s">
        <v>49</v>
      </c>
      <c r="G11" s="39" t="s">
        <v>23</v>
      </c>
      <c r="H11" s="37" t="s">
        <v>49</v>
      </c>
      <c r="W11" s="40">
        <f>W9*23100/1000</f>
        <v>36036</v>
      </c>
      <c r="X11" s="40">
        <f>X9*23108/1000</f>
        <v>37203.879999999997</v>
      </c>
      <c r="Y11" s="40">
        <f>Y9*23108/1000</f>
        <v>37203.879999999997</v>
      </c>
      <c r="Z11" s="40">
        <f>Z9*Z4/1000</f>
        <v>37271.5</v>
      </c>
      <c r="AA11" s="40">
        <f>AA9*AA4/1000</f>
        <v>37271.5</v>
      </c>
      <c r="AB11" s="40">
        <v>37826</v>
      </c>
      <c r="AC11" s="40">
        <v>37826</v>
      </c>
      <c r="AD11" s="40">
        <v>35948.725752789389</v>
      </c>
      <c r="AE11" s="40">
        <v>35948.725752789389</v>
      </c>
      <c r="AF11" s="40">
        <v>35948.725752789389</v>
      </c>
      <c r="AG11" s="40">
        <v>35948.725752789389</v>
      </c>
      <c r="AH11" s="40">
        <v>35948.725752789389</v>
      </c>
      <c r="AI11" s="40">
        <v>35948.725752789389</v>
      </c>
      <c r="AJ11" s="40">
        <v>37626.350439123809</v>
      </c>
      <c r="AK11" s="40">
        <v>37626.350439123809</v>
      </c>
      <c r="AL11" s="40">
        <v>37626</v>
      </c>
      <c r="AM11" s="40">
        <v>37626</v>
      </c>
      <c r="AN11" s="40">
        <v>37626</v>
      </c>
      <c r="AO11" s="40">
        <v>37626</v>
      </c>
      <c r="AP11" s="40">
        <v>37626</v>
      </c>
      <c r="AQ11" s="40">
        <v>37626</v>
      </c>
      <c r="AR11" s="40">
        <v>37626</v>
      </c>
      <c r="AS11" s="40">
        <v>37626</v>
      </c>
      <c r="AT11" s="40">
        <v>37626</v>
      </c>
      <c r="AU11" s="40">
        <v>37626</v>
      </c>
      <c r="AV11" s="40">
        <v>37626</v>
      </c>
      <c r="AW11" s="40">
        <v>37626</v>
      </c>
      <c r="AX11" s="40">
        <v>37626</v>
      </c>
      <c r="AY11" s="40">
        <v>37626</v>
      </c>
      <c r="AZ11" s="40">
        <v>37626</v>
      </c>
      <c r="BA11" s="40">
        <v>37626</v>
      </c>
      <c r="BB11" s="40">
        <v>37626</v>
      </c>
      <c r="BC11" s="40">
        <v>37626</v>
      </c>
      <c r="BD11" s="40">
        <v>37626</v>
      </c>
      <c r="BE11" s="40">
        <v>37626</v>
      </c>
      <c r="BF11" s="40">
        <v>37626</v>
      </c>
      <c r="BG11" s="40">
        <v>37626</v>
      </c>
      <c r="BH11" s="40">
        <v>37626</v>
      </c>
      <c r="BI11" s="40">
        <v>37626</v>
      </c>
      <c r="BJ11" s="40">
        <v>37626</v>
      </c>
      <c r="BK11" s="40">
        <v>37626</v>
      </c>
      <c r="BL11" s="40">
        <v>37626</v>
      </c>
      <c r="BM11" s="40">
        <v>37626</v>
      </c>
      <c r="BN11" s="40">
        <v>37626</v>
      </c>
      <c r="BO11" s="40">
        <v>37626</v>
      </c>
      <c r="BP11" s="40">
        <v>37626</v>
      </c>
      <c r="BQ11" s="40">
        <v>37626</v>
      </c>
      <c r="BR11" s="40">
        <v>37626</v>
      </c>
      <c r="BS11" s="40">
        <v>37626</v>
      </c>
      <c r="BT11" s="40">
        <v>37626</v>
      </c>
      <c r="BU11" s="40">
        <v>37626</v>
      </c>
      <c r="BV11" s="40">
        <v>37626</v>
      </c>
      <c r="BW11" s="40">
        <v>37626</v>
      </c>
      <c r="BX11" s="40">
        <v>37626</v>
      </c>
      <c r="BY11" s="40">
        <v>37626</v>
      </c>
      <c r="BZ11" s="40">
        <v>37626</v>
      </c>
      <c r="CA11" s="40">
        <v>37626</v>
      </c>
      <c r="CB11" s="40">
        <v>37626</v>
      </c>
      <c r="CC11" s="151"/>
      <c r="CD11" s="38" t="s">
        <v>30</v>
      </c>
      <c r="CF11" s="37" t="s">
        <v>49</v>
      </c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>
        <v>35948.725752789389</v>
      </c>
      <c r="CX11" s="40">
        <v>35948.725752789389</v>
      </c>
      <c r="CY11" s="40">
        <v>35948.725752789389</v>
      </c>
      <c r="CZ11" s="40">
        <v>35948.725752789389</v>
      </c>
      <c r="DA11" s="40">
        <v>37626</v>
      </c>
      <c r="DB11" s="40">
        <v>37626</v>
      </c>
      <c r="DC11" s="40">
        <v>37626</v>
      </c>
      <c r="DD11" s="40">
        <v>37626</v>
      </c>
      <c r="DE11" s="40">
        <v>37626</v>
      </c>
      <c r="DF11" s="40">
        <v>37626</v>
      </c>
      <c r="DG11" s="40">
        <v>37626</v>
      </c>
      <c r="DH11" s="40">
        <v>37626</v>
      </c>
      <c r="DI11" s="40">
        <v>37626</v>
      </c>
      <c r="DJ11" s="40">
        <v>37626</v>
      </c>
      <c r="DK11" s="40">
        <v>37626</v>
      </c>
      <c r="DL11" s="40">
        <v>37626</v>
      </c>
      <c r="DM11" s="40">
        <v>37626</v>
      </c>
      <c r="DN11" s="40">
        <v>37626</v>
      </c>
      <c r="DO11" s="40">
        <v>37626</v>
      </c>
      <c r="DP11" s="40">
        <v>37626</v>
      </c>
      <c r="DQ11" s="40">
        <v>37626</v>
      </c>
      <c r="DR11" s="40">
        <v>37626</v>
      </c>
      <c r="DS11" s="40">
        <v>37626</v>
      </c>
      <c r="DT11" s="40">
        <v>37626</v>
      </c>
      <c r="DU11" s="40">
        <v>37626</v>
      </c>
      <c r="DV11" s="40">
        <f t="shared" ref="DV11:EA11" si="94">DV9*DV4/1000</f>
        <v>36720</v>
      </c>
      <c r="DW11" s="40">
        <f t="shared" si="94"/>
        <v>36720</v>
      </c>
      <c r="DX11" s="40">
        <f t="shared" si="94"/>
        <v>36720</v>
      </c>
      <c r="DY11" s="40">
        <f t="shared" si="94"/>
        <v>36720</v>
      </c>
      <c r="DZ11" s="40">
        <f t="shared" si="94"/>
        <v>36720</v>
      </c>
      <c r="EA11" s="40">
        <f t="shared" si="94"/>
        <v>36720</v>
      </c>
      <c r="EB11" s="40">
        <f t="shared" ref="EB11:EH11" si="95">EB9*EB4/1000</f>
        <v>36720</v>
      </c>
      <c r="EC11" s="40">
        <f t="shared" si="95"/>
        <v>36720</v>
      </c>
      <c r="ED11" s="40">
        <f t="shared" si="95"/>
        <v>36720</v>
      </c>
      <c r="EE11" s="40">
        <f t="shared" si="95"/>
        <v>36720</v>
      </c>
      <c r="EF11" s="40">
        <f t="shared" si="95"/>
        <v>34800</v>
      </c>
      <c r="EG11" s="40">
        <f t="shared" si="95"/>
        <v>34800</v>
      </c>
      <c r="EH11" s="40">
        <f t="shared" si="95"/>
        <v>34800</v>
      </c>
      <c r="EI11" s="40">
        <f t="shared" ref="EI11:EN11" si="96">EI9*EI4/1000</f>
        <v>34800</v>
      </c>
      <c r="EJ11" s="40">
        <f t="shared" si="96"/>
        <v>34800</v>
      </c>
      <c r="EK11" s="40">
        <f t="shared" si="96"/>
        <v>33600</v>
      </c>
      <c r="EL11" s="40">
        <f t="shared" si="96"/>
        <v>33600</v>
      </c>
      <c r="EM11" s="40">
        <f t="shared" si="96"/>
        <v>33600</v>
      </c>
      <c r="EN11" s="40">
        <f t="shared" si="96"/>
        <v>33600</v>
      </c>
      <c r="EO11" s="40">
        <f>EO9*EO4/1000</f>
        <v>33600</v>
      </c>
      <c r="EP11" s="40">
        <f t="shared" ref="EP11:EU11" si="97">EP9*EP4/1000</f>
        <v>33600</v>
      </c>
      <c r="EQ11" s="40">
        <f t="shared" si="97"/>
        <v>33600</v>
      </c>
      <c r="ER11" s="40">
        <f t="shared" si="97"/>
        <v>33600</v>
      </c>
      <c r="ES11" s="40">
        <f t="shared" si="97"/>
        <v>33600</v>
      </c>
      <c r="ET11" s="40">
        <f t="shared" si="97"/>
        <v>33600</v>
      </c>
      <c r="EU11" s="40">
        <f t="shared" si="97"/>
        <v>33600</v>
      </c>
      <c r="EV11" s="40">
        <f t="shared" ref="EV11:FB11" si="98">EV9*EV4/1000</f>
        <v>33600</v>
      </c>
      <c r="EW11" s="40">
        <f t="shared" si="98"/>
        <v>33600</v>
      </c>
      <c r="EX11" s="40">
        <f t="shared" si="98"/>
        <v>33600</v>
      </c>
      <c r="EY11" s="40">
        <f t="shared" si="98"/>
        <v>33600</v>
      </c>
      <c r="EZ11" s="40">
        <f t="shared" si="98"/>
        <v>33600</v>
      </c>
      <c r="FA11" s="40">
        <f t="shared" si="98"/>
        <v>33600</v>
      </c>
      <c r="FB11" s="40">
        <f t="shared" si="98"/>
        <v>33600</v>
      </c>
      <c r="FC11" s="40">
        <f t="shared" ref="FC11:FD11" si="99">FC9*FC4/1000</f>
        <v>33600</v>
      </c>
      <c r="FD11" s="40">
        <f t="shared" si="99"/>
        <v>33600</v>
      </c>
      <c r="FE11" s="40">
        <f t="shared" ref="FE11:FF11" si="100">FE9*FE4/1000</f>
        <v>33600</v>
      </c>
      <c r="FF11" s="40">
        <f t="shared" si="100"/>
        <v>33600</v>
      </c>
      <c r="FG11" s="40">
        <f t="shared" ref="FG11:FH11" si="101">FG9*FG4/1000</f>
        <v>33600</v>
      </c>
      <c r="FH11" s="40">
        <f t="shared" si="101"/>
        <v>33600</v>
      </c>
      <c r="FI11" s="40">
        <f t="shared" ref="FI11:FJ11" si="102">FI9*FI4/1000</f>
        <v>33600</v>
      </c>
      <c r="FJ11" s="40">
        <f t="shared" si="102"/>
        <v>33600</v>
      </c>
      <c r="FK11" s="40">
        <f t="shared" ref="FK11:FL11" si="103">FK9*FK4/1000</f>
        <v>0</v>
      </c>
      <c r="FL11" s="40">
        <f t="shared" si="103"/>
        <v>0</v>
      </c>
      <c r="FM11" s="40">
        <f t="shared" ref="FM11:FN11" si="104">FM9*FM4/1000</f>
        <v>0</v>
      </c>
      <c r="FN11" s="40">
        <f t="shared" si="104"/>
        <v>0</v>
      </c>
      <c r="FO11" s="40">
        <f t="shared" ref="FO11:FP11" si="105">FO9*FO4/1000</f>
        <v>0</v>
      </c>
      <c r="FP11" s="40">
        <f t="shared" si="105"/>
        <v>0</v>
      </c>
      <c r="FQ11" s="40">
        <f t="shared" ref="FQ11:FR11" si="106">FQ9*FQ4/1000</f>
        <v>0</v>
      </c>
      <c r="FR11" s="40">
        <f t="shared" si="106"/>
        <v>0</v>
      </c>
      <c r="FS11" s="40">
        <f t="shared" ref="FS11:FT11" si="107">FS9*FS4/1000</f>
        <v>0</v>
      </c>
      <c r="FT11" s="40">
        <f t="shared" si="107"/>
        <v>0</v>
      </c>
      <c r="FU11" s="40">
        <f t="shared" ref="FU11:FW11" si="108">FU9*FU4/1000</f>
        <v>0</v>
      </c>
      <c r="FV11" s="40">
        <f t="shared" si="108"/>
        <v>0</v>
      </c>
      <c r="FW11" s="40">
        <f t="shared" si="108"/>
        <v>0</v>
      </c>
      <c r="FX11" s="40">
        <f t="shared" ref="FX11:FY11" si="109">FX9*FX4/1000</f>
        <v>0</v>
      </c>
      <c r="FY11" s="40">
        <f t="shared" si="109"/>
        <v>0</v>
      </c>
      <c r="FZ11" s="40">
        <f t="shared" ref="FZ11:GA11" si="110">FZ9*FZ4/1000</f>
        <v>0</v>
      </c>
      <c r="GA11" s="40">
        <f t="shared" si="110"/>
        <v>0</v>
      </c>
      <c r="GB11" s="40">
        <f t="shared" ref="GB11:GC11" si="111">GB9*GB4/1000</f>
        <v>0</v>
      </c>
      <c r="GC11" s="40">
        <f t="shared" si="111"/>
        <v>0</v>
      </c>
      <c r="GD11" s="40">
        <f t="shared" ref="GD11:GE11" si="112">GD9*GD4/1000</f>
        <v>0</v>
      </c>
      <c r="GE11" s="40">
        <f t="shared" si="112"/>
        <v>0</v>
      </c>
      <c r="GF11" s="40">
        <f t="shared" ref="GF11:GG11" si="113">GF9*GF4/1000</f>
        <v>0</v>
      </c>
      <c r="GG11" s="40">
        <f t="shared" si="113"/>
        <v>0</v>
      </c>
      <c r="GH11" s="40">
        <f t="shared" ref="GH11:GI11" si="114">GH9*GH4/1000</f>
        <v>0</v>
      </c>
      <c r="GI11" s="40">
        <f t="shared" si="114"/>
        <v>0</v>
      </c>
      <c r="GJ11" s="40">
        <f t="shared" ref="GJ11:GK11" si="115">GJ9*GJ4/1000</f>
        <v>0</v>
      </c>
      <c r="GK11" s="40">
        <f t="shared" si="115"/>
        <v>0</v>
      </c>
      <c r="GL11" s="40">
        <f t="shared" ref="GL11:GM11" si="116">GL9*GL4/1000</f>
        <v>0</v>
      </c>
      <c r="GM11" s="40">
        <f t="shared" si="116"/>
        <v>0</v>
      </c>
      <c r="GN11" s="40">
        <f t="shared" ref="GN11:GO11" si="117">GN9*GN4/1000</f>
        <v>0</v>
      </c>
      <c r="GO11" s="40">
        <f t="shared" si="117"/>
        <v>0</v>
      </c>
      <c r="GP11" s="40">
        <f t="shared" ref="GP11:GQ11" si="118">GP9*GP4/1000</f>
        <v>0</v>
      </c>
      <c r="GQ11" s="40">
        <f t="shared" si="118"/>
        <v>0</v>
      </c>
      <c r="GR11" s="40">
        <f t="shared" ref="GR11:GS11" si="119">GR9*GR4/1000</f>
        <v>0</v>
      </c>
      <c r="GS11" s="40">
        <f t="shared" si="119"/>
        <v>0</v>
      </c>
      <c r="GT11" s="40">
        <f t="shared" ref="GT11:GU11" si="120">GT9*GT4/1000</f>
        <v>0</v>
      </c>
      <c r="GU11" s="40">
        <f t="shared" si="120"/>
        <v>0</v>
      </c>
      <c r="GV11" s="40">
        <f t="shared" ref="GV11:GW11" si="121">GV9*GV4/1000</f>
        <v>0</v>
      </c>
      <c r="GW11" s="40">
        <f t="shared" si="121"/>
        <v>0</v>
      </c>
      <c r="GX11" s="40">
        <f t="shared" ref="GX11:HB11" si="122">GX9*GX4/1000</f>
        <v>0</v>
      </c>
      <c r="GY11" s="40">
        <f t="shared" si="122"/>
        <v>0</v>
      </c>
      <c r="GZ11" s="40">
        <f t="shared" si="122"/>
        <v>0</v>
      </c>
      <c r="HA11" s="40">
        <f t="shared" si="122"/>
        <v>0</v>
      </c>
      <c r="HB11" s="40">
        <f t="shared" si="122"/>
        <v>0</v>
      </c>
      <c r="HC11" s="40">
        <f t="shared" ref="HC11:HF11" si="123">HC9*HC4/1000</f>
        <v>0</v>
      </c>
      <c r="HD11" s="40">
        <f t="shared" si="123"/>
        <v>0</v>
      </c>
      <c r="HE11" s="40">
        <f t="shared" si="123"/>
        <v>0</v>
      </c>
      <c r="HF11" s="40">
        <f t="shared" si="123"/>
        <v>0</v>
      </c>
      <c r="HG11" s="40">
        <f t="shared" ref="HG11:HH11" si="124">HG9*HG4/1000</f>
        <v>2835</v>
      </c>
      <c r="HH11" s="40">
        <f t="shared" si="124"/>
        <v>0</v>
      </c>
      <c r="HI11" s="40">
        <f t="shared" ref="HI11:HJ11" si="125">HI9*HI4/1000</f>
        <v>0</v>
      </c>
      <c r="HJ11" s="40">
        <f t="shared" si="125"/>
        <v>0</v>
      </c>
      <c r="HK11" s="40">
        <f t="shared" ref="HK11:HL11" si="126">HK9*HK4/1000</f>
        <v>0</v>
      </c>
      <c r="HL11" s="40">
        <f t="shared" si="126"/>
        <v>0</v>
      </c>
      <c r="HM11" s="40">
        <f t="shared" ref="HM11:HN11" si="127">HM9*HM4/1000</f>
        <v>0</v>
      </c>
      <c r="HN11" s="40">
        <f t="shared" si="127"/>
        <v>0</v>
      </c>
      <c r="HO11" s="40">
        <f t="shared" ref="HO11:HR11" si="128">HO9*HO4/1000</f>
        <v>0</v>
      </c>
      <c r="HP11" s="40">
        <f t="shared" si="128"/>
        <v>0</v>
      </c>
      <c r="HQ11" s="40">
        <f t="shared" si="128"/>
        <v>0</v>
      </c>
      <c r="HR11" s="40">
        <f t="shared" si="128"/>
        <v>0</v>
      </c>
      <c r="HS11" s="40">
        <f t="shared" ref="HS11:HV11" si="129">HS9*HS4/1000</f>
        <v>0</v>
      </c>
      <c r="HT11" s="40">
        <f t="shared" si="129"/>
        <v>0</v>
      </c>
      <c r="HU11" s="40">
        <f t="shared" si="129"/>
        <v>0</v>
      </c>
      <c r="HV11" s="40">
        <f t="shared" si="129"/>
        <v>0</v>
      </c>
      <c r="HW11" s="40">
        <f t="shared" ref="HW11:IA11" si="130">HW9*HW4/1000</f>
        <v>0</v>
      </c>
      <c r="HX11" s="40">
        <f t="shared" si="130"/>
        <v>0</v>
      </c>
      <c r="HY11" s="40">
        <f t="shared" si="130"/>
        <v>0</v>
      </c>
      <c r="HZ11" s="40">
        <f t="shared" si="130"/>
        <v>0</v>
      </c>
      <c r="IA11" s="40">
        <f t="shared" si="130"/>
        <v>0</v>
      </c>
      <c r="IB11" s="40">
        <f t="shared" ref="IB11:IE11" si="131">IB9*IB4/1000</f>
        <v>0</v>
      </c>
      <c r="IC11" s="40">
        <f t="shared" si="131"/>
        <v>0</v>
      </c>
      <c r="ID11" s="40">
        <f t="shared" si="131"/>
        <v>0</v>
      </c>
      <c r="IE11" s="40">
        <f t="shared" si="131"/>
        <v>0</v>
      </c>
      <c r="IF11" s="40">
        <f t="shared" ref="IF11:IJ11" si="132">IF9*IF4/1000</f>
        <v>0</v>
      </c>
      <c r="IG11" s="40">
        <f t="shared" si="132"/>
        <v>0</v>
      </c>
      <c r="IH11" s="40">
        <f t="shared" si="132"/>
        <v>0</v>
      </c>
      <c r="II11" s="40">
        <f t="shared" si="132"/>
        <v>0</v>
      </c>
      <c r="IJ11" s="40">
        <f t="shared" si="132"/>
        <v>0</v>
      </c>
      <c r="IK11" s="40">
        <f t="shared" ref="IK11:IN11" si="133">IK9*IK4/1000</f>
        <v>0</v>
      </c>
      <c r="IL11" s="40">
        <f t="shared" si="133"/>
        <v>0</v>
      </c>
      <c r="IM11" s="40">
        <f t="shared" si="133"/>
        <v>0</v>
      </c>
      <c r="IN11" s="40">
        <f t="shared" si="133"/>
        <v>0</v>
      </c>
      <c r="IO11" s="40">
        <f t="shared" ref="IO11:IR11" si="134">IO9*IO4/1000</f>
        <v>0</v>
      </c>
      <c r="IP11" s="40">
        <f t="shared" si="134"/>
        <v>0</v>
      </c>
      <c r="IQ11" s="40">
        <f t="shared" si="134"/>
        <v>0</v>
      </c>
      <c r="IR11" s="40">
        <f t="shared" si="134"/>
        <v>0</v>
      </c>
      <c r="IS11" s="40">
        <f t="shared" ref="IS11:IW11" si="135">IS9*IS4/1000</f>
        <v>0</v>
      </c>
      <c r="IT11" s="40">
        <f t="shared" si="135"/>
        <v>0</v>
      </c>
      <c r="IU11" s="40">
        <f t="shared" si="135"/>
        <v>0</v>
      </c>
      <c r="IV11" s="40">
        <f t="shared" si="135"/>
        <v>0</v>
      </c>
      <c r="IW11" s="40">
        <f t="shared" si="135"/>
        <v>0</v>
      </c>
      <c r="IX11" s="40">
        <f t="shared" ref="IX11:JA11" si="136">IX9*IX4/1000</f>
        <v>0</v>
      </c>
      <c r="IY11" s="40">
        <f t="shared" si="136"/>
        <v>0</v>
      </c>
      <c r="IZ11" s="40">
        <f t="shared" si="136"/>
        <v>0</v>
      </c>
      <c r="JA11" s="40">
        <f t="shared" si="136"/>
        <v>0</v>
      </c>
      <c r="JB11" s="40">
        <f t="shared" ref="JB11:JE11" si="137">JB9*JB4/1000</f>
        <v>0</v>
      </c>
      <c r="JC11" s="40">
        <f t="shared" si="137"/>
        <v>0</v>
      </c>
      <c r="JD11" s="40">
        <f t="shared" si="137"/>
        <v>0</v>
      </c>
      <c r="JE11" s="40">
        <f t="shared" si="137"/>
        <v>0</v>
      </c>
      <c r="JF11" s="40">
        <f t="shared" ref="JF11:JJ11" si="138">JF9*JF4/1000</f>
        <v>2633.8</v>
      </c>
      <c r="JG11" s="40">
        <f t="shared" si="138"/>
        <v>0</v>
      </c>
      <c r="JH11" s="40">
        <f t="shared" si="138"/>
        <v>0</v>
      </c>
      <c r="JI11" s="40">
        <f t="shared" si="138"/>
        <v>0</v>
      </c>
      <c r="JJ11" s="40">
        <f t="shared" si="138"/>
        <v>0</v>
      </c>
      <c r="JK11" s="40">
        <f t="shared" ref="JK11:JN11" si="139">JK9*JK4/1000</f>
        <v>0</v>
      </c>
      <c r="JL11" s="40">
        <f t="shared" si="139"/>
        <v>0</v>
      </c>
      <c r="JM11" s="40">
        <f t="shared" si="139"/>
        <v>0</v>
      </c>
      <c r="JN11" s="40">
        <f t="shared" si="139"/>
        <v>0</v>
      </c>
      <c r="JO11" s="40">
        <f t="shared" ref="JO11:JR11" si="140">JO9*JO4/1000</f>
        <v>0</v>
      </c>
      <c r="JP11" s="40">
        <f t="shared" si="140"/>
        <v>0</v>
      </c>
      <c r="JQ11" s="40">
        <f t="shared" si="140"/>
        <v>0</v>
      </c>
      <c r="JR11" s="40">
        <f t="shared" si="140"/>
        <v>0</v>
      </c>
      <c r="JS11" s="40">
        <f t="shared" ref="JS11:JV11" si="141">JS9*JS4/1000</f>
        <v>0</v>
      </c>
      <c r="JT11" s="40">
        <f t="shared" si="141"/>
        <v>0</v>
      </c>
      <c r="JU11" s="40">
        <f t="shared" si="141"/>
        <v>0</v>
      </c>
      <c r="JV11" s="40">
        <f t="shared" si="141"/>
        <v>0</v>
      </c>
      <c r="JW11" s="40">
        <f t="shared" ref="JW11:KA11" si="142">JW9*JW4/1000</f>
        <v>0</v>
      </c>
      <c r="JX11" s="40">
        <f t="shared" si="142"/>
        <v>0</v>
      </c>
      <c r="JY11" s="40">
        <f t="shared" si="142"/>
        <v>0</v>
      </c>
      <c r="JZ11" s="40">
        <f t="shared" si="142"/>
        <v>0</v>
      </c>
      <c r="KA11" s="40">
        <f t="shared" si="142"/>
        <v>0</v>
      </c>
      <c r="KB11" s="40">
        <f t="shared" ref="KB11:KE11" si="143">KB9*KB4/1000</f>
        <v>0</v>
      </c>
      <c r="KC11" s="40">
        <f t="shared" si="143"/>
        <v>0</v>
      </c>
      <c r="KD11" s="40">
        <f t="shared" si="143"/>
        <v>0</v>
      </c>
      <c r="KE11" s="40">
        <f t="shared" si="143"/>
        <v>0</v>
      </c>
      <c r="KF11" s="40">
        <f t="shared" ref="KF11:KJ11" si="144">KF9*KF4/1000</f>
        <v>0</v>
      </c>
      <c r="KG11" s="40">
        <f t="shared" si="144"/>
        <v>0</v>
      </c>
      <c r="KH11" s="40">
        <f t="shared" si="144"/>
        <v>0</v>
      </c>
      <c r="KI11" s="40">
        <f t="shared" si="144"/>
        <v>0</v>
      </c>
      <c r="KJ11" s="40">
        <f t="shared" si="144"/>
        <v>0</v>
      </c>
    </row>
    <row r="12" spans="1:296" ht="14" hidden="1">
      <c r="A12" s="9"/>
      <c r="B12" s="11"/>
      <c r="C12" s="11"/>
      <c r="D12" s="17"/>
      <c r="E12" s="18"/>
      <c r="F12" s="18" t="s">
        <v>31</v>
      </c>
      <c r="G12" s="17"/>
      <c r="H12" s="18" t="s">
        <v>31</v>
      </c>
      <c r="I12" s="19">
        <f t="shared" ref="I12:Z12" si="145">1-I7/I9</f>
        <v>0.38066858186096098</v>
      </c>
      <c r="J12" s="19">
        <f t="shared" si="145"/>
        <v>0.38034733798727749</v>
      </c>
      <c r="K12" s="19">
        <f t="shared" si="145"/>
        <v>0.35031695467267154</v>
      </c>
      <c r="L12" s="19">
        <f t="shared" si="145"/>
        <v>0.35177351750603458</v>
      </c>
      <c r="M12" s="19">
        <f t="shared" si="145"/>
        <v>0.32191580183305746</v>
      </c>
      <c r="N12" s="19">
        <f t="shared" si="145"/>
        <v>0.32062755896952788</v>
      </c>
      <c r="O12" s="19">
        <f t="shared" si="145"/>
        <v>0.32006975782093539</v>
      </c>
      <c r="P12" s="19">
        <f t="shared" si="145"/>
        <v>0.32065689157351873</v>
      </c>
      <c r="Q12" s="19">
        <f t="shared" si="145"/>
        <v>0.32065689157351873</v>
      </c>
      <c r="R12" s="19">
        <f t="shared" si="145"/>
        <v>0.36401494819265767</v>
      </c>
      <c r="S12" s="19">
        <f t="shared" si="145"/>
        <v>0.36492130104762588</v>
      </c>
      <c r="T12" s="19">
        <f t="shared" si="145"/>
        <v>0.36409745079386069</v>
      </c>
      <c r="U12" s="19">
        <f t="shared" si="145"/>
        <v>0.36557884586103639</v>
      </c>
      <c r="V12" s="19">
        <f t="shared" si="145"/>
        <v>0.36360211385921859</v>
      </c>
      <c r="W12" s="19">
        <f t="shared" si="145"/>
        <v>0.37584053474654133</v>
      </c>
      <c r="X12" s="19">
        <f t="shared" si="145"/>
        <v>0.39522436907118286</v>
      </c>
      <c r="Y12" s="19">
        <f t="shared" si="145"/>
        <v>0.39522436907118286</v>
      </c>
      <c r="Z12" s="19">
        <f t="shared" si="145"/>
        <v>0.39632158619856994</v>
      </c>
      <c r="AA12" s="19">
        <f t="shared" ref="AA12:AF12" si="146">1-AA7/AA9</f>
        <v>0.39632158619856994</v>
      </c>
      <c r="AB12" s="19">
        <f t="shared" si="146"/>
        <v>0.39632158619856994</v>
      </c>
      <c r="AC12" s="19">
        <f t="shared" si="146"/>
        <v>0.39632158619856994</v>
      </c>
      <c r="AD12" s="19">
        <f t="shared" si="146"/>
        <v>0.37421777221526908</v>
      </c>
      <c r="AE12" s="19">
        <f t="shared" si="146"/>
        <v>0.37421777221526908</v>
      </c>
      <c r="AF12" s="19">
        <f t="shared" si="146"/>
        <v>0.37421777221526908</v>
      </c>
      <c r="AG12" s="19">
        <f>1-AG7/AG9</f>
        <v>0.37421777221526908</v>
      </c>
      <c r="AH12" s="19">
        <f>1-AH7/AH9</f>
        <v>0.37421777221526908</v>
      </c>
      <c r="AI12" s="19">
        <f>1-AI7/AI9</f>
        <v>0.37421777221526908</v>
      </c>
      <c r="AJ12" s="19">
        <f>1-AJ7/AJ9</f>
        <v>0.40219990435198472</v>
      </c>
      <c r="AK12" s="19">
        <f>1-AK7/AK9</f>
        <v>0.38891545778202885</v>
      </c>
      <c r="AL12" s="19">
        <f t="shared" ref="AL12:AQ12" si="147">1-AL7/AL9</f>
        <v>0.25595238095238093</v>
      </c>
      <c r="AM12" s="19">
        <f t="shared" si="147"/>
        <v>0.25595238095238093</v>
      </c>
      <c r="AN12" s="19">
        <f t="shared" si="147"/>
        <v>0.25595238095238093</v>
      </c>
      <c r="AO12" s="19">
        <f t="shared" si="147"/>
        <v>0.31917211328976025</v>
      </c>
      <c r="AP12" s="19">
        <f t="shared" si="147"/>
        <v>0.31917211328976025</v>
      </c>
      <c r="AQ12" s="19">
        <f t="shared" si="147"/>
        <v>0.31917211328976025</v>
      </c>
      <c r="AR12" s="19">
        <f t="shared" ref="AR12:AW12" si="148">1-AR7/AR9</f>
        <v>0.33908045977011492</v>
      </c>
      <c r="AS12" s="19">
        <f t="shared" si="148"/>
        <v>0.3303571428571429</v>
      </c>
      <c r="AT12" s="19">
        <f t="shared" si="148"/>
        <v>0.3303571428571429</v>
      </c>
      <c r="AU12" s="19">
        <f t="shared" si="148"/>
        <v>0.3303571428571429</v>
      </c>
      <c r="AV12" s="77">
        <f t="shared" si="148"/>
        <v>0.3303571428571429</v>
      </c>
      <c r="AW12" s="77">
        <f t="shared" si="148"/>
        <v>0.3303571428571429</v>
      </c>
      <c r="AX12" s="77" t="e">
        <f t="shared" ref="AX12:AY12" si="149">1-AX7/AX9</f>
        <v>#DIV/0!</v>
      </c>
      <c r="AY12" s="77" t="e">
        <f t="shared" si="149"/>
        <v>#DIV/0!</v>
      </c>
      <c r="AZ12" s="77" t="e">
        <f t="shared" ref="AZ12:BA12" si="150">1-AZ7/AZ9</f>
        <v>#DIV/0!</v>
      </c>
      <c r="BA12" s="77" t="e">
        <f t="shared" si="150"/>
        <v>#DIV/0!</v>
      </c>
      <c r="BB12" s="77" t="e">
        <f t="shared" ref="BB12:BC12" si="151">1-BB7/BB9</f>
        <v>#DIV/0!</v>
      </c>
      <c r="BC12" s="77" t="e">
        <f t="shared" si="151"/>
        <v>#DIV/0!</v>
      </c>
      <c r="BD12" s="77" t="e">
        <f t="shared" ref="BD12:BE12" si="152">1-BD7/BD9</f>
        <v>#DIV/0!</v>
      </c>
      <c r="BE12" s="77" t="e">
        <f t="shared" si="152"/>
        <v>#DIV/0!</v>
      </c>
      <c r="BF12" s="77" t="e">
        <f t="shared" ref="BF12:BG12" si="153">1-BF7/BF9</f>
        <v>#DIV/0!</v>
      </c>
      <c r="BG12" s="77" t="e">
        <f t="shared" si="153"/>
        <v>#DIV/0!</v>
      </c>
      <c r="BH12" s="77" t="e">
        <f t="shared" ref="BH12:BI12" si="154">1-BH7/BH9</f>
        <v>#DIV/0!</v>
      </c>
      <c r="BI12" s="77" t="e">
        <f t="shared" si="154"/>
        <v>#DIV/0!</v>
      </c>
      <c r="BJ12" s="77" t="e">
        <f t="shared" ref="BJ12:BK12" si="155">1-BJ7/BJ9</f>
        <v>#DIV/0!</v>
      </c>
      <c r="BK12" s="77" t="e">
        <f t="shared" si="155"/>
        <v>#DIV/0!</v>
      </c>
      <c r="BL12" s="77" t="e">
        <f t="shared" ref="BL12:BM12" si="156">1-BL7/BL9</f>
        <v>#DIV/0!</v>
      </c>
      <c r="BM12" s="77" t="e">
        <f t="shared" si="156"/>
        <v>#DIV/0!</v>
      </c>
      <c r="BN12" s="77" t="e">
        <f t="shared" ref="BN12:BO12" si="157">1-BN7/BN9</f>
        <v>#DIV/0!</v>
      </c>
      <c r="BO12" s="77" t="e">
        <f t="shared" si="157"/>
        <v>#DIV/0!</v>
      </c>
      <c r="BP12" s="77" t="e">
        <f t="shared" ref="BP12:BQ12" si="158">1-BP7/BP9</f>
        <v>#DIV/0!</v>
      </c>
      <c r="BQ12" s="77" t="e">
        <f t="shared" si="158"/>
        <v>#DIV/0!</v>
      </c>
      <c r="BR12" s="77" t="e">
        <f t="shared" ref="BR12:BS12" si="159">1-BR7/BR9</f>
        <v>#DIV/0!</v>
      </c>
      <c r="BS12" s="77" t="e">
        <f t="shared" si="159"/>
        <v>#DIV/0!</v>
      </c>
      <c r="BT12" s="77" t="e">
        <f t="shared" ref="BT12:BU12" si="160">1-BT7/BT9</f>
        <v>#DIV/0!</v>
      </c>
      <c r="BU12" s="77" t="e">
        <f t="shared" si="160"/>
        <v>#DIV/0!</v>
      </c>
      <c r="BV12" s="77" t="e">
        <f t="shared" ref="BV12:BW12" si="161">1-BV7/BV9</f>
        <v>#DIV/0!</v>
      </c>
      <c r="BW12" s="77" t="e">
        <f t="shared" si="161"/>
        <v>#DIV/0!</v>
      </c>
      <c r="BX12" s="77" t="e">
        <f t="shared" ref="BX12:BY12" si="162">1-BX7/BX9</f>
        <v>#DIV/0!</v>
      </c>
      <c r="BY12" s="77" t="e">
        <f t="shared" si="162"/>
        <v>#DIV/0!</v>
      </c>
      <c r="BZ12" s="77" t="e">
        <f t="shared" ref="BZ12:CA12" si="163">1-BZ7/BZ9</f>
        <v>#DIV/0!</v>
      </c>
      <c r="CA12" s="77" t="e">
        <f t="shared" si="163"/>
        <v>#DIV/0!</v>
      </c>
      <c r="CB12" s="77" t="e">
        <f t="shared" ref="CB12" si="164">1-CB7/CB9</f>
        <v>#DIV/0!</v>
      </c>
      <c r="CD12" s="17"/>
      <c r="CE12" s="18"/>
      <c r="CF12" s="18" t="s">
        <v>31</v>
      </c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>
        <f t="shared" ref="CW12:DH12" si="165">1-CW7/CW9</f>
        <v>0.37421777221526908</v>
      </c>
      <c r="CX12" s="19">
        <f t="shared" si="165"/>
        <v>0.37421777221526908</v>
      </c>
      <c r="CY12" s="19">
        <f t="shared" si="165"/>
        <v>0.37421777221526908</v>
      </c>
      <c r="CZ12" s="19">
        <f t="shared" si="165"/>
        <v>0.37421777221526908</v>
      </c>
      <c r="DA12" s="19">
        <f t="shared" si="165"/>
        <v>0.40219990435198472</v>
      </c>
      <c r="DB12" s="19">
        <f t="shared" si="165"/>
        <v>0.40219990435198472</v>
      </c>
      <c r="DC12" s="19">
        <f t="shared" si="165"/>
        <v>0.40219990435198472</v>
      </c>
      <c r="DD12" s="19">
        <f t="shared" si="165"/>
        <v>0.40219990435198472</v>
      </c>
      <c r="DE12" s="19">
        <f t="shared" si="165"/>
        <v>0.40219990435198472</v>
      </c>
      <c r="DF12" s="19">
        <f t="shared" si="165"/>
        <v>0.38725490196078427</v>
      </c>
      <c r="DG12" s="19">
        <f t="shared" si="165"/>
        <v>0.38725490196078427</v>
      </c>
      <c r="DH12" s="19">
        <f t="shared" si="165"/>
        <v>0.3303571428571429</v>
      </c>
      <c r="DI12" s="19">
        <f t="shared" ref="DI12:DR12" si="166">1-DI7/DI9</f>
        <v>0.3303571428571429</v>
      </c>
      <c r="DJ12" s="19">
        <f t="shared" si="166"/>
        <v>0.3303571428571429</v>
      </c>
      <c r="DK12" s="19">
        <f t="shared" si="166"/>
        <v>0.3303571428571429</v>
      </c>
      <c r="DL12" s="19">
        <f t="shared" si="166"/>
        <v>0.3303571428571429</v>
      </c>
      <c r="DM12" s="19">
        <f t="shared" si="166"/>
        <v>0.3303571428571429</v>
      </c>
      <c r="DN12" s="19">
        <f t="shared" si="166"/>
        <v>0.3303571428571429</v>
      </c>
      <c r="DO12" s="19">
        <f t="shared" si="166"/>
        <v>0.3303571428571429</v>
      </c>
      <c r="DP12" s="19">
        <f t="shared" si="166"/>
        <v>0.3303571428571429</v>
      </c>
      <c r="DQ12" s="19">
        <f t="shared" si="166"/>
        <v>0.3303571428571429</v>
      </c>
      <c r="DR12" s="19">
        <f t="shared" si="166"/>
        <v>0.3303571428571429</v>
      </c>
      <c r="DS12" s="19">
        <f t="shared" ref="DS12:EA12" si="167">1-DS7/DS9</f>
        <v>0.3303571428571429</v>
      </c>
      <c r="DT12" s="19">
        <f t="shared" si="167"/>
        <v>0.3303571428571429</v>
      </c>
      <c r="DU12" s="19">
        <f t="shared" si="167"/>
        <v>0.3303571428571429</v>
      </c>
      <c r="DV12" s="19">
        <f t="shared" si="167"/>
        <v>0.38725490196078427</v>
      </c>
      <c r="DW12" s="19">
        <f t="shared" si="167"/>
        <v>0.38725490196078427</v>
      </c>
      <c r="DX12" s="19">
        <f t="shared" si="167"/>
        <v>0.38725490196078427</v>
      </c>
      <c r="DY12" s="19">
        <f t="shared" si="167"/>
        <v>0.38725490196078427</v>
      </c>
      <c r="DZ12" s="19">
        <f t="shared" si="167"/>
        <v>0.38725490196078427</v>
      </c>
      <c r="EA12" s="19">
        <f t="shared" si="167"/>
        <v>0.38725490196078427</v>
      </c>
      <c r="EB12" s="19">
        <f t="shared" ref="EB12:EH12" si="168">1-EB7/EB9</f>
        <v>0.38725490196078427</v>
      </c>
      <c r="EC12" s="19">
        <f t="shared" si="168"/>
        <v>0.38725490196078427</v>
      </c>
      <c r="ED12" s="19">
        <f t="shared" si="168"/>
        <v>0.38725490196078427</v>
      </c>
      <c r="EE12" s="19">
        <f t="shared" si="168"/>
        <v>0.38725490196078427</v>
      </c>
      <c r="EF12" s="19">
        <f t="shared" si="168"/>
        <v>0.35344827586206895</v>
      </c>
      <c r="EG12" s="19">
        <f t="shared" si="168"/>
        <v>0.33908045977011492</v>
      </c>
      <c r="EH12" s="19">
        <f t="shared" si="168"/>
        <v>0.33908045977011492</v>
      </c>
      <c r="EI12" s="19">
        <f t="shared" ref="EI12:EN12" si="169">1-EI7/EI9</f>
        <v>0.33908045977011492</v>
      </c>
      <c r="EJ12" s="19">
        <f t="shared" si="169"/>
        <v>0.33908045977011492</v>
      </c>
      <c r="EK12" s="19">
        <f t="shared" si="169"/>
        <v>0.31547619047619047</v>
      </c>
      <c r="EL12" s="19">
        <f t="shared" si="169"/>
        <v>0.31547619047619047</v>
      </c>
      <c r="EM12" s="19">
        <f t="shared" si="169"/>
        <v>0.3303571428571429</v>
      </c>
      <c r="EN12" s="19">
        <f t="shared" si="169"/>
        <v>0.3303571428571429</v>
      </c>
      <c r="EO12" s="19">
        <f>1-EO7/EO9</f>
        <v>0.3303571428571429</v>
      </c>
      <c r="EP12" s="77">
        <f t="shared" ref="EP12:EU12" si="170">1-EP7/EP9</f>
        <v>0.3303571428571429</v>
      </c>
      <c r="EQ12" s="77">
        <f t="shared" si="170"/>
        <v>0.3303571428571429</v>
      </c>
      <c r="ER12" s="77">
        <f t="shared" si="170"/>
        <v>0.3303571428571429</v>
      </c>
      <c r="ES12" s="77">
        <f t="shared" si="170"/>
        <v>0.3303571428571429</v>
      </c>
      <c r="ET12" s="77">
        <f t="shared" si="170"/>
        <v>0.3303571428571429</v>
      </c>
      <c r="EU12" s="77">
        <f t="shared" si="170"/>
        <v>0.3303571428571429</v>
      </c>
      <c r="EV12" s="77">
        <f t="shared" ref="EV12:FA12" si="171">1-EV7/EV9</f>
        <v>0.3303571428571429</v>
      </c>
      <c r="EW12" s="77">
        <f t="shared" si="171"/>
        <v>0.3303571428571429</v>
      </c>
      <c r="EX12" s="77">
        <f t="shared" si="171"/>
        <v>0.3303571428571429</v>
      </c>
      <c r="EY12" s="77">
        <f t="shared" si="171"/>
        <v>0.3303571428571429</v>
      </c>
      <c r="EZ12" s="77">
        <f t="shared" si="171"/>
        <v>0.3303571428571429</v>
      </c>
      <c r="FA12" s="77">
        <f t="shared" si="171"/>
        <v>0.3303571428571429</v>
      </c>
      <c r="FB12" s="77">
        <f t="shared" ref="FB12:FC12" si="172">1-FB7/FB9</f>
        <v>0.3303571428571429</v>
      </c>
      <c r="FC12" s="77">
        <f t="shared" si="172"/>
        <v>0.3303571428571429</v>
      </c>
      <c r="FD12" s="77">
        <f t="shared" ref="FD12:FE12" si="173">1-FD7/FD9</f>
        <v>0.3303571428571429</v>
      </c>
      <c r="FE12" s="77">
        <f t="shared" si="173"/>
        <v>0.3303571428571429</v>
      </c>
      <c r="FF12" s="77">
        <f t="shared" ref="FF12:FG12" si="174">1-FF7/FF9</f>
        <v>0.3303571428571429</v>
      </c>
      <c r="FG12" s="77">
        <f t="shared" si="174"/>
        <v>0.3303571428571429</v>
      </c>
      <c r="FH12" s="77">
        <f t="shared" ref="FH12:FI12" si="175">1-FH7/FH9</f>
        <v>0.3303571428571429</v>
      </c>
      <c r="FI12" s="77">
        <f t="shared" si="175"/>
        <v>0.3303571428571429</v>
      </c>
      <c r="FJ12" s="77">
        <f t="shared" ref="FJ12:FK12" si="176">1-FJ7/FJ9</f>
        <v>0.3303571428571429</v>
      </c>
      <c r="FK12" s="77" t="e">
        <f t="shared" si="176"/>
        <v>#DIV/0!</v>
      </c>
      <c r="FL12" s="77" t="e">
        <f t="shared" ref="FL12:FM12" si="177">1-FL7/FL9</f>
        <v>#DIV/0!</v>
      </c>
      <c r="FM12" s="77" t="e">
        <f t="shared" si="177"/>
        <v>#DIV/0!</v>
      </c>
      <c r="FN12" s="77" t="e">
        <f t="shared" ref="FN12:FP12" si="178">1-FN7/FN9</f>
        <v>#DIV/0!</v>
      </c>
      <c r="FO12" s="77" t="e">
        <f t="shared" si="178"/>
        <v>#DIV/0!</v>
      </c>
      <c r="FP12" s="77" t="e">
        <f t="shared" si="178"/>
        <v>#DIV/0!</v>
      </c>
      <c r="FQ12" s="77" t="e">
        <f t="shared" ref="FQ12:FR12" si="179">1-FQ7/FQ9</f>
        <v>#DIV/0!</v>
      </c>
      <c r="FR12" s="77" t="e">
        <f t="shared" si="179"/>
        <v>#DIV/0!</v>
      </c>
      <c r="FS12" s="77" t="e">
        <f t="shared" ref="FS12:FT12" si="180">1-FS7/FS9</f>
        <v>#DIV/0!</v>
      </c>
      <c r="FT12" s="77" t="e">
        <f t="shared" si="180"/>
        <v>#DIV/0!</v>
      </c>
      <c r="FU12" s="77" t="e">
        <f t="shared" ref="FU12:FW12" si="181">1-FU7/FU9</f>
        <v>#DIV/0!</v>
      </c>
      <c r="FV12" s="77" t="e">
        <f t="shared" si="181"/>
        <v>#DIV/0!</v>
      </c>
      <c r="FW12" s="77" t="e">
        <f t="shared" si="181"/>
        <v>#DIV/0!</v>
      </c>
      <c r="FX12" s="77">
        <f t="shared" ref="FX12:FY12" si="182">1-FX7/FX9</f>
        <v>1</v>
      </c>
      <c r="FY12" s="77">
        <f t="shared" si="182"/>
        <v>1</v>
      </c>
      <c r="FZ12" s="77">
        <f t="shared" ref="FZ12:GA12" si="183">1-FZ7/FZ9</f>
        <v>1</v>
      </c>
      <c r="GA12" s="77">
        <f t="shared" si="183"/>
        <v>1</v>
      </c>
      <c r="GB12" s="77">
        <f t="shared" ref="GB12:GC12" si="184">1-GB7/GB9</f>
        <v>1</v>
      </c>
      <c r="GC12" s="77">
        <f t="shared" si="184"/>
        <v>1</v>
      </c>
      <c r="GD12" s="77">
        <f t="shared" ref="GD12:GE12" si="185">1-GD7/GD9</f>
        <v>1</v>
      </c>
      <c r="GE12" s="77">
        <f t="shared" si="185"/>
        <v>1</v>
      </c>
      <c r="GF12" s="77">
        <f t="shared" ref="GF12:GG12" si="186">1-GF7/GF9</f>
        <v>1</v>
      </c>
      <c r="GG12" s="77">
        <f t="shared" si="186"/>
        <v>1</v>
      </c>
      <c r="GH12" s="77">
        <f t="shared" ref="GH12:GI12" si="187">1-GH7/GH9</f>
        <v>1</v>
      </c>
      <c r="GI12" s="77">
        <f t="shared" si="187"/>
        <v>1</v>
      </c>
      <c r="GJ12" s="77">
        <f t="shared" ref="GJ12:GK12" si="188">1-GJ7/GJ9</f>
        <v>1</v>
      </c>
      <c r="GK12" s="77">
        <f t="shared" si="188"/>
        <v>1</v>
      </c>
      <c r="GL12" s="77">
        <f t="shared" ref="GL12:GM12" si="189">1-GL7/GL9</f>
        <v>1</v>
      </c>
      <c r="GM12" s="77">
        <f t="shared" si="189"/>
        <v>1</v>
      </c>
      <c r="GN12" s="77">
        <f t="shared" ref="GN12:GO12" si="190">1-GN7/GN9</f>
        <v>1</v>
      </c>
      <c r="GO12" s="77">
        <f t="shared" si="190"/>
        <v>1</v>
      </c>
      <c r="GP12" s="77">
        <f t="shared" ref="GP12:GQ12" si="191">1-GP7/GP9</f>
        <v>1</v>
      </c>
      <c r="GQ12" s="77">
        <f t="shared" si="191"/>
        <v>1</v>
      </c>
      <c r="GR12" s="77">
        <f t="shared" ref="GR12:GS12" si="192">1-GR7/GR9</f>
        <v>1</v>
      </c>
      <c r="GS12" s="77">
        <f t="shared" si="192"/>
        <v>1</v>
      </c>
      <c r="GT12" s="77">
        <f t="shared" ref="GT12:GU12" si="193">1-GT7/GT9</f>
        <v>1</v>
      </c>
      <c r="GU12" s="77">
        <f t="shared" si="193"/>
        <v>1</v>
      </c>
      <c r="GV12" s="77">
        <f t="shared" ref="GV12:GW12" si="194">1-GV7/GV9</f>
        <v>1</v>
      </c>
      <c r="GW12" s="77">
        <f t="shared" si="194"/>
        <v>1</v>
      </c>
      <c r="GX12" s="77">
        <f t="shared" ref="GX12:HB12" si="195">1-GX7/GX9</f>
        <v>1</v>
      </c>
      <c r="GY12" s="77">
        <f t="shared" si="195"/>
        <v>1</v>
      </c>
      <c r="GZ12" s="77">
        <f t="shared" si="195"/>
        <v>1</v>
      </c>
      <c r="HA12" s="77">
        <f t="shared" si="195"/>
        <v>1</v>
      </c>
      <c r="HB12" s="77">
        <f t="shared" si="195"/>
        <v>1</v>
      </c>
      <c r="HC12" s="77">
        <f t="shared" ref="HC12:HF12" si="196">1-HC7/HC9</f>
        <v>1</v>
      </c>
      <c r="HD12" s="77">
        <f t="shared" si="196"/>
        <v>1</v>
      </c>
      <c r="HE12" s="77">
        <f t="shared" si="196"/>
        <v>1</v>
      </c>
      <c r="HF12" s="77">
        <f t="shared" si="196"/>
        <v>1</v>
      </c>
      <c r="HG12" s="77">
        <f t="shared" ref="HG12:HH12" si="197">1-HG7/HG9</f>
        <v>1</v>
      </c>
      <c r="HH12" s="77">
        <f t="shared" si="197"/>
        <v>1</v>
      </c>
      <c r="HI12" s="77">
        <f t="shared" ref="HI12:HJ12" si="198">1-HI7/HI9</f>
        <v>1</v>
      </c>
      <c r="HJ12" s="77">
        <f t="shared" si="198"/>
        <v>1</v>
      </c>
      <c r="HK12" s="77">
        <f t="shared" ref="HK12:HL12" si="199">1-HK7/HK9</f>
        <v>1</v>
      </c>
      <c r="HL12" s="77">
        <f t="shared" si="199"/>
        <v>1</v>
      </c>
      <c r="HM12" s="77">
        <f t="shared" ref="HM12:HN12" si="200">1-HM7/HM9</f>
        <v>1</v>
      </c>
      <c r="HN12" s="77">
        <f t="shared" si="200"/>
        <v>1</v>
      </c>
      <c r="HO12" s="77">
        <f t="shared" ref="HO12:HR12" si="201">1-HO7/HO9</f>
        <v>1</v>
      </c>
      <c r="HP12" s="77">
        <f t="shared" si="201"/>
        <v>1</v>
      </c>
      <c r="HQ12" s="77">
        <f t="shared" si="201"/>
        <v>1</v>
      </c>
      <c r="HR12" s="77">
        <f t="shared" si="201"/>
        <v>1</v>
      </c>
      <c r="HS12" s="77">
        <f t="shared" ref="HS12:HV12" si="202">1-HS7/HS9</f>
        <v>1</v>
      </c>
      <c r="HT12" s="77">
        <f t="shared" si="202"/>
        <v>1</v>
      </c>
      <c r="HU12" s="77">
        <f t="shared" si="202"/>
        <v>1</v>
      </c>
      <c r="HV12" s="77">
        <f t="shared" si="202"/>
        <v>1</v>
      </c>
      <c r="HW12" s="77">
        <f t="shared" ref="HW12:IA12" si="203">1-HW7/HW9</f>
        <v>1</v>
      </c>
      <c r="HX12" s="77">
        <f t="shared" si="203"/>
        <v>1</v>
      </c>
      <c r="HY12" s="77">
        <f t="shared" si="203"/>
        <v>1</v>
      </c>
      <c r="HZ12" s="77">
        <f t="shared" si="203"/>
        <v>1</v>
      </c>
      <c r="IA12" s="77">
        <f t="shared" si="203"/>
        <v>1</v>
      </c>
      <c r="IB12" s="77">
        <f t="shared" ref="IB12:IE12" si="204">1-IB7/IB9</f>
        <v>1</v>
      </c>
      <c r="IC12" s="77">
        <f t="shared" si="204"/>
        <v>1</v>
      </c>
      <c r="ID12" s="77">
        <f t="shared" si="204"/>
        <v>1</v>
      </c>
      <c r="IE12" s="77">
        <f t="shared" si="204"/>
        <v>1</v>
      </c>
      <c r="IF12" s="77">
        <f t="shared" ref="IF12:IJ12" si="205">1-IF7/IF9</f>
        <v>1</v>
      </c>
      <c r="IG12" s="77">
        <f t="shared" si="205"/>
        <v>1</v>
      </c>
      <c r="IH12" s="77">
        <f t="shared" si="205"/>
        <v>1</v>
      </c>
      <c r="II12" s="77">
        <f t="shared" si="205"/>
        <v>1</v>
      </c>
      <c r="IJ12" s="77">
        <f t="shared" si="205"/>
        <v>1</v>
      </c>
      <c r="IK12" s="77">
        <f t="shared" ref="IK12:IN12" si="206">1-IK7/IK9</f>
        <v>1</v>
      </c>
      <c r="IL12" s="77">
        <f t="shared" si="206"/>
        <v>1</v>
      </c>
      <c r="IM12" s="77">
        <f t="shared" si="206"/>
        <v>1</v>
      </c>
      <c r="IN12" s="77">
        <f t="shared" si="206"/>
        <v>1</v>
      </c>
      <c r="IO12" s="77">
        <f t="shared" ref="IO12:IR12" si="207">1-IO7/IO9</f>
        <v>1</v>
      </c>
      <c r="IP12" s="77">
        <f t="shared" si="207"/>
        <v>1</v>
      </c>
      <c r="IQ12" s="77">
        <f t="shared" si="207"/>
        <v>1</v>
      </c>
      <c r="IR12" s="77">
        <f t="shared" si="207"/>
        <v>1</v>
      </c>
      <c r="IS12" s="77">
        <f t="shared" ref="IS12:IW12" si="208">1-IS7/IS9</f>
        <v>1</v>
      </c>
      <c r="IT12" s="77">
        <f t="shared" si="208"/>
        <v>1</v>
      </c>
      <c r="IU12" s="77">
        <f t="shared" si="208"/>
        <v>1</v>
      </c>
      <c r="IV12" s="77">
        <f t="shared" si="208"/>
        <v>1</v>
      </c>
      <c r="IW12" s="77">
        <f t="shared" si="208"/>
        <v>1</v>
      </c>
      <c r="IX12" s="77">
        <f t="shared" ref="IX12:JA12" si="209">1-IX7/IX9</f>
        <v>1</v>
      </c>
      <c r="IY12" s="77">
        <f t="shared" si="209"/>
        <v>1</v>
      </c>
      <c r="IZ12" s="77">
        <f t="shared" si="209"/>
        <v>1</v>
      </c>
      <c r="JA12" s="77">
        <f t="shared" si="209"/>
        <v>1</v>
      </c>
      <c r="JB12" s="77">
        <f t="shared" ref="JB12:JE12" si="210">1-JB7/JB9</f>
        <v>1</v>
      </c>
      <c r="JC12" s="77">
        <f t="shared" si="210"/>
        <v>1</v>
      </c>
      <c r="JD12" s="77">
        <f t="shared" si="210"/>
        <v>1</v>
      </c>
      <c r="JE12" s="77">
        <f t="shared" si="210"/>
        <v>1</v>
      </c>
      <c r="JF12" s="77">
        <f t="shared" ref="JF12:JJ12" si="211">1-JF7/JF9</f>
        <v>1</v>
      </c>
      <c r="JG12" s="77">
        <f t="shared" si="211"/>
        <v>1</v>
      </c>
      <c r="JH12" s="77">
        <f t="shared" si="211"/>
        <v>1</v>
      </c>
      <c r="JI12" s="77">
        <f t="shared" si="211"/>
        <v>1</v>
      </c>
      <c r="JJ12" s="77">
        <f t="shared" si="211"/>
        <v>1</v>
      </c>
      <c r="JK12" s="77">
        <f t="shared" ref="JK12:JN12" si="212">1-JK7/JK9</f>
        <v>1</v>
      </c>
      <c r="JL12" s="77">
        <f t="shared" si="212"/>
        <v>1</v>
      </c>
      <c r="JM12" s="77">
        <f t="shared" si="212"/>
        <v>1</v>
      </c>
      <c r="JN12" s="77">
        <f t="shared" si="212"/>
        <v>1</v>
      </c>
      <c r="JO12" s="77">
        <f t="shared" ref="JO12:JR12" si="213">1-JO7/JO9</f>
        <v>1</v>
      </c>
      <c r="JP12" s="77">
        <f t="shared" si="213"/>
        <v>1</v>
      </c>
      <c r="JQ12" s="77">
        <f t="shared" si="213"/>
        <v>1</v>
      </c>
      <c r="JR12" s="77">
        <f t="shared" si="213"/>
        <v>1</v>
      </c>
      <c r="JS12" s="77">
        <f t="shared" ref="JS12:JV12" si="214">1-JS7/JS9</f>
        <v>1</v>
      </c>
      <c r="JT12" s="77">
        <f t="shared" si="214"/>
        <v>1</v>
      </c>
      <c r="JU12" s="77">
        <f t="shared" si="214"/>
        <v>1</v>
      </c>
      <c r="JV12" s="77">
        <f t="shared" si="214"/>
        <v>1</v>
      </c>
      <c r="JW12" s="77">
        <f t="shared" ref="JW12:KA12" si="215">1-JW7/JW9</f>
        <v>1</v>
      </c>
      <c r="JX12" s="77">
        <f t="shared" si="215"/>
        <v>1</v>
      </c>
      <c r="JY12" s="77">
        <f t="shared" si="215"/>
        <v>1</v>
      </c>
      <c r="JZ12" s="77">
        <f t="shared" si="215"/>
        <v>1</v>
      </c>
      <c r="KA12" s="77">
        <f t="shared" si="215"/>
        <v>1</v>
      </c>
      <c r="KB12" s="77">
        <f t="shared" ref="KB12:KE12" si="216">1-KB7/KB9</f>
        <v>1</v>
      </c>
      <c r="KC12" s="77">
        <f t="shared" si="216"/>
        <v>1</v>
      </c>
      <c r="KD12" s="77">
        <f t="shared" si="216"/>
        <v>1</v>
      </c>
      <c r="KE12" s="77">
        <f t="shared" si="216"/>
        <v>1</v>
      </c>
      <c r="KF12" s="77">
        <f t="shared" ref="KF12:KJ12" si="217">1-KF7/KF9</f>
        <v>1</v>
      </c>
      <c r="KG12" s="77">
        <f t="shared" si="217"/>
        <v>1</v>
      </c>
      <c r="KH12" s="77" t="e">
        <f t="shared" si="217"/>
        <v>#DIV/0!</v>
      </c>
      <c r="KI12" s="77" t="e">
        <f t="shared" si="217"/>
        <v>#DIV/0!</v>
      </c>
      <c r="KJ12" s="77" t="e">
        <f t="shared" si="217"/>
        <v>#DIV/0!</v>
      </c>
    </row>
    <row r="13" spans="1:296" ht="14" hidden="1">
      <c r="A13" s="26"/>
      <c r="B13" s="27" t="s">
        <v>46</v>
      </c>
      <c r="C13" s="27" t="s">
        <v>47</v>
      </c>
      <c r="D13" s="26" t="s">
        <v>48</v>
      </c>
      <c r="E13" s="27" t="s">
        <v>50</v>
      </c>
      <c r="F13" s="27" t="s">
        <v>51</v>
      </c>
      <c r="G13" s="28" t="s">
        <v>24</v>
      </c>
      <c r="H13" s="27" t="s">
        <v>73</v>
      </c>
      <c r="I13" s="28">
        <f t="shared" ref="I13:Z13" si="218">I9+20</f>
        <v>1450</v>
      </c>
      <c r="J13" s="28">
        <f t="shared" si="218"/>
        <v>1450</v>
      </c>
      <c r="K13" s="28">
        <f t="shared" si="218"/>
        <v>1450</v>
      </c>
      <c r="L13" s="28">
        <f t="shared" si="218"/>
        <v>1450</v>
      </c>
      <c r="M13" s="28">
        <f t="shared" si="218"/>
        <v>1450</v>
      </c>
      <c r="N13" s="28">
        <f t="shared" si="218"/>
        <v>1450</v>
      </c>
      <c r="O13" s="28">
        <f t="shared" si="218"/>
        <v>1450</v>
      </c>
      <c r="P13" s="28">
        <f t="shared" si="218"/>
        <v>1450</v>
      </c>
      <c r="Q13" s="28">
        <f t="shared" si="218"/>
        <v>1450</v>
      </c>
      <c r="R13" s="28">
        <f t="shared" si="218"/>
        <v>1550</v>
      </c>
      <c r="S13" s="28">
        <f t="shared" si="218"/>
        <v>1550</v>
      </c>
      <c r="T13" s="28">
        <f t="shared" si="218"/>
        <v>1550</v>
      </c>
      <c r="U13" s="28">
        <f t="shared" si="218"/>
        <v>1550</v>
      </c>
      <c r="V13" s="28">
        <f t="shared" si="218"/>
        <v>1550</v>
      </c>
      <c r="W13" s="28">
        <f t="shared" si="218"/>
        <v>1580</v>
      </c>
      <c r="X13" s="28">
        <f t="shared" si="218"/>
        <v>1630</v>
      </c>
      <c r="Y13" s="28">
        <f t="shared" si="218"/>
        <v>1630</v>
      </c>
      <c r="Z13" s="28">
        <f t="shared" si="218"/>
        <v>1630</v>
      </c>
      <c r="AA13" s="28">
        <f>AA9+20</f>
        <v>1630</v>
      </c>
      <c r="AB13" s="28">
        <f>AB9+20</f>
        <v>1630</v>
      </c>
      <c r="AC13" s="28">
        <f>AC9+20</f>
        <v>1630</v>
      </c>
      <c r="AD13" s="28">
        <f t="shared" ref="AD13:AK13" si="219">AD9+40</f>
        <v>1570</v>
      </c>
      <c r="AE13" s="28">
        <f t="shared" si="219"/>
        <v>1570</v>
      </c>
      <c r="AF13" s="28">
        <f t="shared" si="219"/>
        <v>1570</v>
      </c>
      <c r="AG13" s="28">
        <f t="shared" si="219"/>
        <v>1570</v>
      </c>
      <c r="AH13" s="28">
        <f t="shared" si="219"/>
        <v>1570</v>
      </c>
      <c r="AI13" s="28">
        <f t="shared" si="219"/>
        <v>1570</v>
      </c>
      <c r="AJ13" s="28">
        <f t="shared" si="219"/>
        <v>1570</v>
      </c>
      <c r="AK13" s="28">
        <f t="shared" si="219"/>
        <v>1570</v>
      </c>
      <c r="AL13" s="28">
        <f t="shared" ref="AL13:AR13" si="220">AL9+40</f>
        <v>1440</v>
      </c>
      <c r="AM13" s="28">
        <f t="shared" si="220"/>
        <v>1440</v>
      </c>
      <c r="AN13" s="28">
        <f t="shared" si="220"/>
        <v>1440</v>
      </c>
      <c r="AO13" s="28">
        <f t="shared" si="220"/>
        <v>1570</v>
      </c>
      <c r="AP13" s="28">
        <f t="shared" si="220"/>
        <v>1570</v>
      </c>
      <c r="AQ13" s="28">
        <f t="shared" si="220"/>
        <v>1570</v>
      </c>
      <c r="AR13" s="28">
        <f t="shared" si="220"/>
        <v>1490</v>
      </c>
      <c r="AS13" s="28">
        <f t="shared" ref="AS13:AX13" si="221">AS9+40</f>
        <v>1440</v>
      </c>
      <c r="AT13" s="28">
        <f t="shared" si="221"/>
        <v>1440</v>
      </c>
      <c r="AU13" s="28">
        <f t="shared" si="221"/>
        <v>1440</v>
      </c>
      <c r="AV13" s="28">
        <f t="shared" si="221"/>
        <v>1440</v>
      </c>
      <c r="AW13" s="28">
        <f t="shared" si="221"/>
        <v>1440</v>
      </c>
      <c r="AX13" s="28">
        <f t="shared" si="221"/>
        <v>1440</v>
      </c>
      <c r="AY13" s="28">
        <f t="shared" ref="AY13:AZ13" si="222">AY9+40</f>
        <v>1440</v>
      </c>
      <c r="AZ13" s="28">
        <f t="shared" si="222"/>
        <v>1440</v>
      </c>
      <c r="BA13" s="28">
        <f t="shared" ref="BA13:BB13" si="223">BA9+40</f>
        <v>1440</v>
      </c>
      <c r="BB13" s="28">
        <f t="shared" si="223"/>
        <v>1440</v>
      </c>
      <c r="BC13" s="28">
        <f t="shared" ref="BC13:BD13" si="224">BC9+40</f>
        <v>1440</v>
      </c>
      <c r="BD13" s="28">
        <f t="shared" si="224"/>
        <v>1440</v>
      </c>
      <c r="BE13" s="28">
        <f t="shared" ref="BE13:BF13" si="225">BE9+40</f>
        <v>1440</v>
      </c>
      <c r="BF13" s="28">
        <f t="shared" si="225"/>
        <v>1440</v>
      </c>
      <c r="BG13" s="28">
        <f t="shared" ref="BG13:BL13" si="226">BG9+40</f>
        <v>1440</v>
      </c>
      <c r="BH13" s="28">
        <f t="shared" si="226"/>
        <v>1440</v>
      </c>
      <c r="BI13" s="28">
        <f t="shared" si="226"/>
        <v>1440</v>
      </c>
      <c r="BJ13" s="28">
        <f t="shared" si="226"/>
        <v>1440</v>
      </c>
      <c r="BK13" s="28">
        <f t="shared" si="226"/>
        <v>1440</v>
      </c>
      <c r="BL13" s="28">
        <f t="shared" si="226"/>
        <v>1390</v>
      </c>
      <c r="BM13" s="28">
        <f t="shared" ref="BM13:BN13" si="227">BM9+40</f>
        <v>1390</v>
      </c>
      <c r="BN13" s="28">
        <f t="shared" si="227"/>
        <v>1390</v>
      </c>
      <c r="BO13" s="28">
        <f t="shared" ref="BO13:BP13" si="228">BO9+40</f>
        <v>1390</v>
      </c>
      <c r="BP13" s="28">
        <f t="shared" si="228"/>
        <v>1390</v>
      </c>
      <c r="BQ13" s="28">
        <f t="shared" ref="BQ13:BR13" si="229">BQ9+40</f>
        <v>1370</v>
      </c>
      <c r="BR13" s="28">
        <f t="shared" si="229"/>
        <v>1350</v>
      </c>
      <c r="BS13" s="28">
        <f t="shared" ref="BS13:BT13" si="230">BS9+40</f>
        <v>1350</v>
      </c>
      <c r="BT13" s="28">
        <f t="shared" si="230"/>
        <v>1340</v>
      </c>
      <c r="BU13" s="28">
        <f t="shared" ref="BU13:BV13" si="231">BU9+40</f>
        <v>1340</v>
      </c>
      <c r="BV13" s="28">
        <f t="shared" si="231"/>
        <v>1340</v>
      </c>
      <c r="BW13" s="28">
        <f t="shared" ref="BW13:BX13" si="232">BW9+40</f>
        <v>1340</v>
      </c>
      <c r="BX13" s="28">
        <f t="shared" si="232"/>
        <v>1340</v>
      </c>
      <c r="BY13" s="28">
        <f t="shared" ref="BY13:BZ13" si="233">BY9+40</f>
        <v>1440</v>
      </c>
      <c r="BZ13" s="28">
        <f t="shared" si="233"/>
        <v>1510</v>
      </c>
      <c r="CA13" s="28">
        <f t="shared" ref="CA13:CB13" si="234">CA9+40</f>
        <v>1490</v>
      </c>
      <c r="CB13" s="28">
        <f t="shared" si="234"/>
        <v>1470</v>
      </c>
      <c r="CC13" s="152"/>
      <c r="CD13" s="26" t="s">
        <v>48</v>
      </c>
      <c r="CE13" s="27" t="s">
        <v>50</v>
      </c>
      <c r="CF13" s="27" t="s">
        <v>73</v>
      </c>
      <c r="CG13" s="28">
        <v>1630</v>
      </c>
      <c r="CH13" s="28">
        <v>1630</v>
      </c>
      <c r="CI13" s="28">
        <v>1630</v>
      </c>
      <c r="CJ13" s="28">
        <v>1630</v>
      </c>
      <c r="CK13" s="28">
        <v>1630</v>
      </c>
      <c r="CL13" s="28">
        <v>1630</v>
      </c>
      <c r="CM13" s="28">
        <v>1630</v>
      </c>
      <c r="CN13" s="28">
        <v>1630</v>
      </c>
      <c r="CO13" s="28">
        <v>1630</v>
      </c>
      <c r="CP13" s="28">
        <v>1630</v>
      </c>
      <c r="CQ13" s="28">
        <v>1630</v>
      </c>
      <c r="CR13" s="28">
        <v>1630</v>
      </c>
      <c r="CS13" s="28">
        <v>1570</v>
      </c>
      <c r="CT13" s="28">
        <v>1570</v>
      </c>
      <c r="CU13" s="28">
        <v>1570</v>
      </c>
      <c r="CV13" s="28">
        <v>1570</v>
      </c>
      <c r="CW13" s="28">
        <f t="shared" ref="CW13:DH13" si="235">CW9+40</f>
        <v>1570</v>
      </c>
      <c r="CX13" s="28">
        <f t="shared" si="235"/>
        <v>1570</v>
      </c>
      <c r="CY13" s="28">
        <f t="shared" si="235"/>
        <v>1570</v>
      </c>
      <c r="CZ13" s="28">
        <f t="shared" si="235"/>
        <v>1570</v>
      </c>
      <c r="DA13" s="28">
        <f t="shared" si="235"/>
        <v>1570</v>
      </c>
      <c r="DB13" s="28">
        <f t="shared" si="235"/>
        <v>1570</v>
      </c>
      <c r="DC13" s="28">
        <f t="shared" si="235"/>
        <v>1570</v>
      </c>
      <c r="DD13" s="28">
        <f t="shared" si="235"/>
        <v>1570</v>
      </c>
      <c r="DE13" s="28">
        <f t="shared" si="235"/>
        <v>1570</v>
      </c>
      <c r="DF13" s="28">
        <f t="shared" si="235"/>
        <v>1570</v>
      </c>
      <c r="DG13" s="28">
        <f t="shared" si="235"/>
        <v>1570</v>
      </c>
      <c r="DH13" s="28">
        <f t="shared" si="235"/>
        <v>1440</v>
      </c>
      <c r="DI13" s="28">
        <f>DI9+40</f>
        <v>1440</v>
      </c>
      <c r="DJ13" s="28">
        <f>DJ9+25</f>
        <v>1425</v>
      </c>
      <c r="DK13" s="28">
        <f t="shared" ref="DK13:EK13" si="236">DK9+25</f>
        <v>1425</v>
      </c>
      <c r="DL13" s="28">
        <f t="shared" si="236"/>
        <v>1425</v>
      </c>
      <c r="DM13" s="28">
        <f t="shared" si="236"/>
        <v>1425</v>
      </c>
      <c r="DN13" s="28">
        <f t="shared" si="236"/>
        <v>1425</v>
      </c>
      <c r="DO13" s="28">
        <f t="shared" si="236"/>
        <v>1425</v>
      </c>
      <c r="DP13" s="28">
        <f t="shared" si="236"/>
        <v>1425</v>
      </c>
      <c r="DQ13" s="28">
        <f t="shared" si="236"/>
        <v>1425</v>
      </c>
      <c r="DR13" s="28">
        <f t="shared" si="236"/>
        <v>1425</v>
      </c>
      <c r="DS13" s="28">
        <f t="shared" si="236"/>
        <v>1425</v>
      </c>
      <c r="DT13" s="28">
        <f t="shared" si="236"/>
        <v>1425</v>
      </c>
      <c r="DU13" s="28">
        <f t="shared" si="236"/>
        <v>1425</v>
      </c>
      <c r="DV13" s="28">
        <f t="shared" si="236"/>
        <v>1555</v>
      </c>
      <c r="DW13" s="28">
        <f t="shared" si="236"/>
        <v>1555</v>
      </c>
      <c r="DX13" s="28">
        <f t="shared" si="236"/>
        <v>1555</v>
      </c>
      <c r="DY13" s="28">
        <f t="shared" si="236"/>
        <v>1555</v>
      </c>
      <c r="DZ13" s="28">
        <f t="shared" si="236"/>
        <v>1555</v>
      </c>
      <c r="EA13" s="28">
        <f t="shared" si="236"/>
        <v>1555</v>
      </c>
      <c r="EB13" s="28">
        <f t="shared" si="236"/>
        <v>1555</v>
      </c>
      <c r="EC13" s="28">
        <f t="shared" si="236"/>
        <v>1555</v>
      </c>
      <c r="ED13" s="28">
        <f t="shared" si="236"/>
        <v>1555</v>
      </c>
      <c r="EE13" s="28">
        <f t="shared" si="236"/>
        <v>1555</v>
      </c>
      <c r="EF13" s="28">
        <f t="shared" si="236"/>
        <v>1475</v>
      </c>
      <c r="EG13" s="28">
        <f t="shared" si="236"/>
        <v>1475</v>
      </c>
      <c r="EH13" s="28">
        <f t="shared" si="236"/>
        <v>1475</v>
      </c>
      <c r="EI13" s="28">
        <f t="shared" si="236"/>
        <v>1475</v>
      </c>
      <c r="EJ13" s="28">
        <f t="shared" si="236"/>
        <v>1475</v>
      </c>
      <c r="EK13" s="28">
        <f t="shared" si="236"/>
        <v>1425</v>
      </c>
      <c r="EL13" s="28">
        <f>EL9+25</f>
        <v>1425</v>
      </c>
      <c r="EM13" s="28">
        <f>EM9+25</f>
        <v>1425</v>
      </c>
      <c r="EN13" s="28">
        <f>EN9+25</f>
        <v>1425</v>
      </c>
      <c r="EO13" s="28">
        <f>EO9+25</f>
        <v>1425</v>
      </c>
      <c r="EP13" s="28">
        <f t="shared" ref="EP13:EU13" si="237">EP9+25</f>
        <v>1425</v>
      </c>
      <c r="EQ13" s="28">
        <f t="shared" si="237"/>
        <v>1425</v>
      </c>
      <c r="ER13" s="28">
        <f t="shared" si="237"/>
        <v>1425</v>
      </c>
      <c r="ES13" s="28">
        <f t="shared" si="237"/>
        <v>1425</v>
      </c>
      <c r="ET13" s="28">
        <f t="shared" si="237"/>
        <v>1425</v>
      </c>
      <c r="EU13" s="28">
        <f t="shared" si="237"/>
        <v>1425</v>
      </c>
      <c r="EV13" s="28">
        <f t="shared" ref="EV13:FA13" si="238">EV9+25</f>
        <v>1425</v>
      </c>
      <c r="EW13" s="28">
        <f t="shared" si="238"/>
        <v>1425</v>
      </c>
      <c r="EX13" s="28">
        <f t="shared" si="238"/>
        <v>1425</v>
      </c>
      <c r="EY13" s="28">
        <f t="shared" si="238"/>
        <v>1425</v>
      </c>
      <c r="EZ13" s="28">
        <f t="shared" si="238"/>
        <v>1425</v>
      </c>
      <c r="FA13" s="28">
        <f t="shared" si="238"/>
        <v>1425</v>
      </c>
      <c r="FB13" s="28">
        <f t="shared" ref="FB13:FC13" si="239">FB9+25</f>
        <v>1425</v>
      </c>
      <c r="FC13" s="28">
        <f t="shared" si="239"/>
        <v>1425</v>
      </c>
      <c r="FD13" s="28">
        <f t="shared" ref="FD13:FE13" si="240">FD9+25</f>
        <v>1425</v>
      </c>
      <c r="FE13" s="28">
        <f t="shared" si="240"/>
        <v>1425</v>
      </c>
      <c r="FF13" s="28">
        <f t="shared" ref="FF13:FG13" si="241">FF9+25</f>
        <v>1425</v>
      </c>
      <c r="FG13" s="28">
        <f t="shared" si="241"/>
        <v>1425</v>
      </c>
      <c r="FH13" s="28">
        <f t="shared" ref="FH13:FI13" si="242">FH9+25</f>
        <v>1425</v>
      </c>
      <c r="FI13" s="28">
        <f t="shared" si="242"/>
        <v>1425</v>
      </c>
      <c r="FJ13" s="28">
        <f t="shared" ref="FJ13:FK13" si="243">FJ9+25</f>
        <v>1425</v>
      </c>
      <c r="FK13" s="28">
        <f t="shared" si="243"/>
        <v>1425</v>
      </c>
      <c r="FL13" s="28">
        <f t="shared" ref="FL13:FM13" si="244">FL9+25</f>
        <v>1425</v>
      </c>
      <c r="FM13" s="28">
        <f t="shared" si="244"/>
        <v>1425</v>
      </c>
      <c r="FN13" s="28">
        <f t="shared" ref="FN13:FP13" si="245">FN9+25</f>
        <v>1425</v>
      </c>
      <c r="FO13" s="28">
        <f t="shared" si="245"/>
        <v>1425</v>
      </c>
      <c r="FP13" s="28">
        <f t="shared" si="245"/>
        <v>1425</v>
      </c>
      <c r="FQ13" s="28">
        <f t="shared" ref="FQ13:FS13" si="246">FQ9+25</f>
        <v>1425</v>
      </c>
      <c r="FR13" s="28">
        <f t="shared" si="246"/>
        <v>1425</v>
      </c>
      <c r="FS13" s="28">
        <f t="shared" si="246"/>
        <v>1425</v>
      </c>
      <c r="FT13" s="28">
        <f t="shared" ref="FT13:FU13" si="247">FT9+25</f>
        <v>1425</v>
      </c>
      <c r="FU13" s="28">
        <f t="shared" si="247"/>
        <v>1425</v>
      </c>
      <c r="FV13" s="28">
        <f t="shared" ref="FV13:FW13" si="248">FV9+25</f>
        <v>1425</v>
      </c>
      <c r="FW13" s="28">
        <f t="shared" si="248"/>
        <v>1425</v>
      </c>
      <c r="FX13" s="28">
        <f t="shared" ref="FX13:FY13" si="249">FX9+25</f>
        <v>1425</v>
      </c>
      <c r="FY13" s="28">
        <f t="shared" si="249"/>
        <v>1425</v>
      </c>
      <c r="FZ13" s="28">
        <f t="shared" ref="FZ13:GA13" si="250">FZ9+25</f>
        <v>1425</v>
      </c>
      <c r="GA13" s="28">
        <f t="shared" si="250"/>
        <v>1425</v>
      </c>
      <c r="GB13" s="28">
        <f t="shared" ref="GB13:GC13" si="251">GB9+25</f>
        <v>1425</v>
      </c>
      <c r="GC13" s="28">
        <f t="shared" si="251"/>
        <v>1425</v>
      </c>
      <c r="GD13" s="28">
        <f t="shared" ref="GD13:GE13" si="252">GD9+25</f>
        <v>1425</v>
      </c>
      <c r="GE13" s="28">
        <f t="shared" si="252"/>
        <v>1425</v>
      </c>
      <c r="GF13" s="28">
        <f t="shared" ref="GF13:GG13" si="253">GF9+25</f>
        <v>1425</v>
      </c>
      <c r="GG13" s="28">
        <f t="shared" si="253"/>
        <v>1425</v>
      </c>
      <c r="GH13" s="28">
        <f t="shared" ref="GH13:GI13" si="254">GH9+25</f>
        <v>1425</v>
      </c>
      <c r="GI13" s="28">
        <f t="shared" si="254"/>
        <v>1425</v>
      </c>
      <c r="GJ13" s="28">
        <f t="shared" ref="GJ13:GK13" si="255">GJ9+25</f>
        <v>1425</v>
      </c>
      <c r="GK13" s="28">
        <f t="shared" si="255"/>
        <v>1425</v>
      </c>
      <c r="GL13" s="28">
        <f t="shared" ref="GL13:GM13" si="256">GL9+25</f>
        <v>1425</v>
      </c>
      <c r="GM13" s="28">
        <f t="shared" si="256"/>
        <v>1425</v>
      </c>
      <c r="GN13" s="28">
        <f t="shared" ref="GN13:GO13" si="257">GN9+25</f>
        <v>1425</v>
      </c>
      <c r="GO13" s="28">
        <f t="shared" si="257"/>
        <v>1425</v>
      </c>
      <c r="GP13" s="28">
        <f t="shared" ref="GP13:GQ13" si="258">GP9+25</f>
        <v>1425</v>
      </c>
      <c r="GQ13" s="28">
        <f t="shared" si="258"/>
        <v>1425</v>
      </c>
      <c r="GR13" s="28">
        <f t="shared" ref="GR13:GS13" si="259">GR9+25</f>
        <v>1425</v>
      </c>
      <c r="GS13" s="28">
        <f t="shared" si="259"/>
        <v>1425</v>
      </c>
      <c r="GT13" s="28">
        <f t="shared" ref="GT13:GU13" si="260">GT9+25</f>
        <v>1425</v>
      </c>
      <c r="GU13" s="28">
        <f t="shared" si="260"/>
        <v>1425</v>
      </c>
      <c r="GV13" s="28">
        <f t="shared" ref="GV13:GW13" si="261">GV9+25</f>
        <v>1425</v>
      </c>
      <c r="GW13" s="28">
        <f t="shared" si="261"/>
        <v>1425</v>
      </c>
      <c r="GX13" s="28">
        <f t="shared" ref="GX13:HB13" si="262">GX9+25</f>
        <v>1425</v>
      </c>
      <c r="GY13" s="28">
        <f t="shared" si="262"/>
        <v>1425</v>
      </c>
      <c r="GZ13" s="28">
        <f t="shared" si="262"/>
        <v>1425</v>
      </c>
      <c r="HA13" s="28">
        <f t="shared" si="262"/>
        <v>1425</v>
      </c>
      <c r="HB13" s="28">
        <f t="shared" si="262"/>
        <v>1425</v>
      </c>
      <c r="HC13" s="28">
        <f t="shared" ref="HC13:HF13" si="263">HC9+25</f>
        <v>1425</v>
      </c>
      <c r="HD13" s="28">
        <f t="shared" si="263"/>
        <v>1425</v>
      </c>
      <c r="HE13" s="28">
        <f t="shared" si="263"/>
        <v>1425</v>
      </c>
      <c r="HF13" s="28">
        <f t="shared" si="263"/>
        <v>1425</v>
      </c>
      <c r="HG13" s="28">
        <f t="shared" ref="HG13:HH13" si="264">HG9+25</f>
        <v>1425</v>
      </c>
      <c r="HH13" s="28">
        <f t="shared" si="264"/>
        <v>1425</v>
      </c>
      <c r="HI13" s="28">
        <f t="shared" ref="HI13:HJ13" si="265">HI9+25</f>
        <v>1425</v>
      </c>
      <c r="HJ13" s="28">
        <f t="shared" si="265"/>
        <v>1425</v>
      </c>
      <c r="HK13" s="28">
        <f t="shared" ref="HK13:HL13" si="266">HK9+25</f>
        <v>1425</v>
      </c>
      <c r="HL13" s="28">
        <f t="shared" si="266"/>
        <v>1425</v>
      </c>
      <c r="HM13" s="28">
        <f t="shared" ref="HM13:HN13" si="267">HM9+25</f>
        <v>1425</v>
      </c>
      <c r="HN13" s="28">
        <f t="shared" si="267"/>
        <v>1425</v>
      </c>
      <c r="HO13" s="28">
        <f t="shared" ref="HO13:HR13" si="268">HO9+25</f>
        <v>1375</v>
      </c>
      <c r="HP13" s="28">
        <f t="shared" si="268"/>
        <v>1375</v>
      </c>
      <c r="HQ13" s="28">
        <f t="shared" si="268"/>
        <v>1375</v>
      </c>
      <c r="HR13" s="28">
        <f t="shared" si="268"/>
        <v>1375</v>
      </c>
      <c r="HS13" s="28">
        <f t="shared" ref="HS13:HV13" si="269">HS9+25</f>
        <v>1375</v>
      </c>
      <c r="HT13" s="28">
        <f t="shared" si="269"/>
        <v>1375</v>
      </c>
      <c r="HU13" s="28">
        <f t="shared" si="269"/>
        <v>1375</v>
      </c>
      <c r="HV13" s="28">
        <f t="shared" si="269"/>
        <v>1375</v>
      </c>
      <c r="HW13" s="28">
        <f t="shared" ref="HW13:IA13" si="270">HW9+25</f>
        <v>1375</v>
      </c>
      <c r="HX13" s="28">
        <f t="shared" si="270"/>
        <v>1375</v>
      </c>
      <c r="HY13" s="28">
        <f t="shared" si="270"/>
        <v>1375</v>
      </c>
      <c r="HZ13" s="28">
        <f t="shared" si="270"/>
        <v>1375</v>
      </c>
      <c r="IA13" s="28">
        <f t="shared" si="270"/>
        <v>1375</v>
      </c>
      <c r="IB13" s="28">
        <f t="shared" ref="IB13:IE13" si="271">IB9+25</f>
        <v>1375</v>
      </c>
      <c r="IC13" s="28">
        <f t="shared" si="271"/>
        <v>1375</v>
      </c>
      <c r="ID13" s="28">
        <f t="shared" si="271"/>
        <v>1375</v>
      </c>
      <c r="IE13" s="28">
        <f t="shared" si="271"/>
        <v>1375</v>
      </c>
      <c r="IF13" s="28">
        <f t="shared" ref="IF13:IJ13" si="272">IF9+25</f>
        <v>1375</v>
      </c>
      <c r="IG13" s="28">
        <f t="shared" si="272"/>
        <v>1375</v>
      </c>
      <c r="IH13" s="28">
        <f t="shared" si="272"/>
        <v>1375</v>
      </c>
      <c r="II13" s="28">
        <f t="shared" si="272"/>
        <v>1375</v>
      </c>
      <c r="IJ13" s="28">
        <f t="shared" si="272"/>
        <v>1375</v>
      </c>
      <c r="IK13" s="28">
        <f t="shared" ref="IK13:IN13" si="273">IK9+25</f>
        <v>1355</v>
      </c>
      <c r="IL13" s="28">
        <f t="shared" si="273"/>
        <v>1355</v>
      </c>
      <c r="IM13" s="28">
        <f t="shared" si="273"/>
        <v>1355</v>
      </c>
      <c r="IN13" s="28">
        <f t="shared" si="273"/>
        <v>1355</v>
      </c>
      <c r="IO13" s="28">
        <f t="shared" ref="IO13:IR13" si="274">IO9+25</f>
        <v>1335</v>
      </c>
      <c r="IP13" s="28">
        <f t="shared" si="274"/>
        <v>1335</v>
      </c>
      <c r="IQ13" s="28">
        <f t="shared" si="274"/>
        <v>1335</v>
      </c>
      <c r="IR13" s="28">
        <f t="shared" si="274"/>
        <v>1335</v>
      </c>
      <c r="IS13" s="28">
        <f t="shared" ref="IS13:IW13" si="275">IS9+25</f>
        <v>1335</v>
      </c>
      <c r="IT13" s="28">
        <f t="shared" si="275"/>
        <v>1335</v>
      </c>
      <c r="IU13" s="28">
        <f t="shared" si="275"/>
        <v>1335</v>
      </c>
      <c r="IV13" s="28">
        <f t="shared" si="275"/>
        <v>1335</v>
      </c>
      <c r="IW13" s="28">
        <f t="shared" si="275"/>
        <v>1335</v>
      </c>
      <c r="IX13" s="28">
        <f t="shared" ref="IX13:JA13" si="276">IX9+25</f>
        <v>1325</v>
      </c>
      <c r="IY13" s="28">
        <f t="shared" si="276"/>
        <v>1325</v>
      </c>
      <c r="IZ13" s="28">
        <f t="shared" si="276"/>
        <v>1325</v>
      </c>
      <c r="JA13" s="28">
        <f t="shared" si="276"/>
        <v>1325</v>
      </c>
      <c r="JB13" s="28">
        <f t="shared" ref="JB13:JE13" si="277">JB9+25</f>
        <v>1325</v>
      </c>
      <c r="JC13" s="28">
        <f t="shared" si="277"/>
        <v>1325</v>
      </c>
      <c r="JD13" s="28">
        <f t="shared" si="277"/>
        <v>1325</v>
      </c>
      <c r="JE13" s="28">
        <f t="shared" si="277"/>
        <v>1325</v>
      </c>
      <c r="JF13" s="28">
        <f t="shared" ref="JF13:JJ13" si="278">JF9+25</f>
        <v>1325</v>
      </c>
      <c r="JG13" s="28">
        <f t="shared" si="278"/>
        <v>1325</v>
      </c>
      <c r="JH13" s="28">
        <f t="shared" si="278"/>
        <v>1325</v>
      </c>
      <c r="JI13" s="28">
        <f t="shared" si="278"/>
        <v>1325</v>
      </c>
      <c r="JJ13" s="28">
        <f t="shared" si="278"/>
        <v>1325</v>
      </c>
      <c r="JK13" s="28">
        <f t="shared" ref="JK13:JN13" si="279">JK9+25</f>
        <v>1325</v>
      </c>
      <c r="JL13" s="28">
        <f t="shared" si="279"/>
        <v>1325</v>
      </c>
      <c r="JM13" s="28">
        <f t="shared" si="279"/>
        <v>1325</v>
      </c>
      <c r="JN13" s="28">
        <f t="shared" si="279"/>
        <v>1325</v>
      </c>
      <c r="JO13" s="28">
        <f t="shared" ref="JO13:JR13" si="280">JO9+25</f>
        <v>1325</v>
      </c>
      <c r="JP13" s="28">
        <f t="shared" si="280"/>
        <v>1325</v>
      </c>
      <c r="JQ13" s="28">
        <f t="shared" si="280"/>
        <v>1375</v>
      </c>
      <c r="JR13" s="28">
        <f t="shared" si="280"/>
        <v>1375</v>
      </c>
      <c r="JS13" s="28">
        <f t="shared" ref="JS13:JV13" si="281">JS9+25</f>
        <v>1425</v>
      </c>
      <c r="JT13" s="28">
        <f t="shared" si="281"/>
        <v>1425</v>
      </c>
      <c r="JU13" s="28">
        <f t="shared" si="281"/>
        <v>1425</v>
      </c>
      <c r="JV13" s="28">
        <f t="shared" si="281"/>
        <v>1495</v>
      </c>
      <c r="JW13" s="28">
        <f t="shared" ref="JW13:KA13" si="282">JW9+25</f>
        <v>1495</v>
      </c>
      <c r="JX13" s="28">
        <f t="shared" si="282"/>
        <v>1495</v>
      </c>
      <c r="JY13" s="28">
        <f t="shared" si="282"/>
        <v>1495</v>
      </c>
      <c r="JZ13" s="28">
        <f t="shared" si="282"/>
        <v>1495</v>
      </c>
      <c r="KA13" s="28">
        <f t="shared" si="282"/>
        <v>1495</v>
      </c>
      <c r="KB13" s="28">
        <f t="shared" ref="KB13:KE13" si="283">KB9+25</f>
        <v>1475</v>
      </c>
      <c r="KC13" s="28">
        <f t="shared" si="283"/>
        <v>1475</v>
      </c>
      <c r="KD13" s="28">
        <f t="shared" si="283"/>
        <v>1475</v>
      </c>
      <c r="KE13" s="28">
        <f t="shared" si="283"/>
        <v>1475</v>
      </c>
      <c r="KF13" s="28">
        <f t="shared" ref="KF13:KJ13" si="284">KF9+25</f>
        <v>1455</v>
      </c>
      <c r="KG13" s="28">
        <f t="shared" si="284"/>
        <v>1455</v>
      </c>
      <c r="KH13" s="28">
        <f t="shared" si="284"/>
        <v>25</v>
      </c>
      <c r="KI13" s="28">
        <f t="shared" si="284"/>
        <v>25</v>
      </c>
      <c r="KJ13" s="28">
        <f t="shared" si="284"/>
        <v>25</v>
      </c>
    </row>
    <row r="14" spans="1:296" ht="12.65" hidden="1" customHeight="1">
      <c r="A14" s="20"/>
      <c r="B14" s="21"/>
      <c r="C14" s="21"/>
      <c r="D14" s="38" t="s">
        <v>30</v>
      </c>
      <c r="E14" s="37"/>
      <c r="F14" s="37" t="s">
        <v>52</v>
      </c>
      <c r="G14" s="39" t="s">
        <v>23</v>
      </c>
      <c r="H14" s="37" t="s">
        <v>52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40">
        <f>W13*23100/1000</f>
        <v>36498</v>
      </c>
      <c r="X14" s="40">
        <f>X13*23108/1000</f>
        <v>37666.04</v>
      </c>
      <c r="Y14" s="40">
        <f>Y13*23108/1000</f>
        <v>37666.04</v>
      </c>
      <c r="Z14" s="40">
        <f>Z13*Z4/1000</f>
        <v>37734.5</v>
      </c>
      <c r="AA14" s="40"/>
      <c r="AB14" s="40"/>
      <c r="AC14" s="40">
        <f t="shared" ref="AC14:AH14" si="285">AC13*AC4/1000</f>
        <v>37734.5</v>
      </c>
      <c r="AD14" s="40">
        <f t="shared" si="285"/>
        <v>36895</v>
      </c>
      <c r="AE14" s="40">
        <f t="shared" si="285"/>
        <v>36895</v>
      </c>
      <c r="AF14" s="40">
        <f t="shared" si="285"/>
        <v>36895</v>
      </c>
      <c r="AG14" s="40">
        <f t="shared" si="285"/>
        <v>36895</v>
      </c>
      <c r="AH14" s="40">
        <f t="shared" si="285"/>
        <v>36895</v>
      </c>
      <c r="AI14" s="40">
        <f>AI13*AI4/1000</f>
        <v>36895</v>
      </c>
      <c r="AJ14" s="40">
        <f>AJ13*AJ4/1000</f>
        <v>38622</v>
      </c>
      <c r="AK14" s="40">
        <f>AK13*AK4/1000</f>
        <v>38622</v>
      </c>
      <c r="AL14" s="40">
        <f>AL13*AL4/1000</f>
        <v>34560</v>
      </c>
      <c r="AM14" s="40">
        <f>AM13*AM4/1000</f>
        <v>34560</v>
      </c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D14" s="38" t="s">
        <v>30</v>
      </c>
      <c r="CE14" s="37"/>
      <c r="CF14" s="37" t="s">
        <v>52</v>
      </c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>
        <f t="shared" ref="CW14:DH14" si="286">CW13*CW4/1000</f>
        <v>36895</v>
      </c>
      <c r="CX14" s="40">
        <f t="shared" si="286"/>
        <v>36895</v>
      </c>
      <c r="CY14" s="40">
        <f t="shared" si="286"/>
        <v>36895</v>
      </c>
      <c r="CZ14" s="40">
        <f t="shared" si="286"/>
        <v>36895</v>
      </c>
      <c r="DA14" s="40">
        <f t="shared" si="286"/>
        <v>38622</v>
      </c>
      <c r="DB14" s="40">
        <f t="shared" si="286"/>
        <v>38622</v>
      </c>
      <c r="DC14" s="40">
        <f t="shared" si="286"/>
        <v>38622</v>
      </c>
      <c r="DD14" s="40">
        <f t="shared" si="286"/>
        <v>38622</v>
      </c>
      <c r="DE14" s="40">
        <f t="shared" si="286"/>
        <v>38622</v>
      </c>
      <c r="DF14" s="40">
        <f t="shared" si="286"/>
        <v>37680</v>
      </c>
      <c r="DG14" s="40">
        <f t="shared" si="286"/>
        <v>37680</v>
      </c>
      <c r="DH14" s="40">
        <f t="shared" si="286"/>
        <v>34560</v>
      </c>
      <c r="DI14" s="40">
        <f t="shared" ref="DI14:DR14" si="287">DI13*DI4/1000</f>
        <v>34560</v>
      </c>
      <c r="DJ14" s="40">
        <f t="shared" si="287"/>
        <v>34200</v>
      </c>
      <c r="DK14" s="40">
        <f t="shared" si="287"/>
        <v>34200</v>
      </c>
      <c r="DL14" s="40">
        <f t="shared" si="287"/>
        <v>34200</v>
      </c>
      <c r="DM14" s="40">
        <f t="shared" si="287"/>
        <v>34200</v>
      </c>
      <c r="DN14" s="40">
        <f t="shared" si="287"/>
        <v>34200</v>
      </c>
      <c r="DO14" s="40">
        <f t="shared" si="287"/>
        <v>34200</v>
      </c>
      <c r="DP14" s="40">
        <f t="shared" si="287"/>
        <v>34200</v>
      </c>
      <c r="DQ14" s="40">
        <f t="shared" si="287"/>
        <v>34200</v>
      </c>
      <c r="DR14" s="40">
        <f t="shared" si="287"/>
        <v>34200</v>
      </c>
      <c r="DS14" s="40">
        <f>DS13*DS4/1000</f>
        <v>34200</v>
      </c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  <c r="JG14" s="40"/>
      <c r="JH14" s="40"/>
      <c r="JI14" s="40"/>
      <c r="JJ14" s="40"/>
      <c r="JK14" s="40"/>
      <c r="JL14" s="40"/>
      <c r="JM14" s="40"/>
      <c r="JN14" s="40"/>
      <c r="JO14" s="40"/>
      <c r="JP14" s="40"/>
      <c r="JQ14" s="40"/>
      <c r="JR14" s="40"/>
      <c r="JS14" s="40"/>
      <c r="JT14" s="40"/>
      <c r="JU14" s="40"/>
      <c r="JV14" s="40"/>
      <c r="JW14" s="40"/>
      <c r="JX14" s="40"/>
      <c r="JY14" s="40"/>
      <c r="JZ14" s="40"/>
      <c r="KA14" s="40"/>
      <c r="KB14" s="40"/>
      <c r="KC14" s="40"/>
      <c r="KD14" s="40"/>
      <c r="KE14" s="40"/>
      <c r="KF14" s="40"/>
      <c r="KG14" s="40"/>
      <c r="KH14" s="40"/>
      <c r="KI14" s="40"/>
      <c r="KJ14" s="40"/>
    </row>
    <row r="15" spans="1:296" ht="14.15" hidden="1" customHeight="1">
      <c r="A15" s="29"/>
      <c r="B15" s="30"/>
      <c r="C15" s="30"/>
      <c r="D15" s="4" t="s">
        <v>37</v>
      </c>
      <c r="E15" s="8" t="s">
        <v>53</v>
      </c>
      <c r="F15" s="8" t="s">
        <v>54</v>
      </c>
      <c r="G15" s="10" t="s">
        <v>24</v>
      </c>
      <c r="H15" s="8" t="s">
        <v>54</v>
      </c>
      <c r="I15" s="10">
        <v>1470</v>
      </c>
      <c r="J15" s="10">
        <v>1480</v>
      </c>
      <c r="K15" s="10">
        <v>1480</v>
      </c>
      <c r="L15" s="10">
        <v>1595</v>
      </c>
      <c r="M15" s="10">
        <v>1595</v>
      </c>
      <c r="N15" s="10">
        <v>1595</v>
      </c>
      <c r="O15" s="10">
        <v>1595</v>
      </c>
      <c r="P15" s="10">
        <v>1595</v>
      </c>
      <c r="Q15" s="10">
        <v>1595</v>
      </c>
      <c r="R15" s="10">
        <v>1595</v>
      </c>
      <c r="S15" s="10">
        <v>1595</v>
      </c>
      <c r="T15" s="10">
        <v>1660</v>
      </c>
      <c r="U15" s="10">
        <v>1675</v>
      </c>
      <c r="V15" s="10">
        <v>1675</v>
      </c>
      <c r="W15" s="10">
        <v>1675</v>
      </c>
      <c r="X15" s="10">
        <v>1675</v>
      </c>
      <c r="Y15" s="42">
        <v>1650</v>
      </c>
      <c r="Z15" s="42">
        <v>1735</v>
      </c>
      <c r="AA15" s="42"/>
      <c r="AB15" s="42"/>
      <c r="AC15" s="42">
        <v>1735</v>
      </c>
      <c r="AD15" s="42">
        <v>1735</v>
      </c>
      <c r="AE15" s="42">
        <v>1735</v>
      </c>
      <c r="AF15" s="42">
        <v>1735</v>
      </c>
      <c r="AG15" s="42">
        <v>1735</v>
      </c>
      <c r="AH15" s="42">
        <v>1735</v>
      </c>
      <c r="AI15" s="42">
        <v>1735</v>
      </c>
      <c r="AJ15" s="42">
        <v>1735</v>
      </c>
      <c r="AK15" s="42">
        <v>1735</v>
      </c>
      <c r="AL15" s="42">
        <v>1735</v>
      </c>
      <c r="AM15" s="42">
        <v>1735</v>
      </c>
      <c r="AN15" s="42"/>
      <c r="AO15" s="42"/>
      <c r="AP15" s="42"/>
      <c r="AQ15" s="42"/>
      <c r="AR15" s="42"/>
      <c r="AS15" s="42"/>
      <c r="AT15" s="42"/>
      <c r="AU15" s="42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53"/>
      <c r="CD15" s="4" t="s">
        <v>37</v>
      </c>
      <c r="CE15" s="8" t="s">
        <v>53</v>
      </c>
      <c r="CF15" s="8" t="s">
        <v>54</v>
      </c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>
        <v>1735</v>
      </c>
      <c r="CX15" s="42">
        <v>1735</v>
      </c>
      <c r="CY15" s="42">
        <v>1735</v>
      </c>
      <c r="CZ15" s="42">
        <v>1735</v>
      </c>
      <c r="DA15" s="42">
        <v>1735</v>
      </c>
      <c r="DB15" s="42">
        <v>1735</v>
      </c>
      <c r="DC15" s="42">
        <v>1735</v>
      </c>
      <c r="DD15" s="42">
        <v>1735</v>
      </c>
      <c r="DE15" s="42">
        <v>1735</v>
      </c>
      <c r="DF15" s="42">
        <v>1735</v>
      </c>
      <c r="DG15" s="42">
        <v>1735</v>
      </c>
      <c r="DH15" s="42">
        <v>1735</v>
      </c>
      <c r="DI15" s="42">
        <v>1735</v>
      </c>
      <c r="DJ15" s="42">
        <v>1735</v>
      </c>
      <c r="DK15" s="42">
        <v>1735</v>
      </c>
      <c r="DL15" s="42">
        <v>1735</v>
      </c>
      <c r="DM15" s="42">
        <v>1735</v>
      </c>
      <c r="DN15" s="42">
        <v>1735</v>
      </c>
      <c r="DO15" s="42">
        <v>1735</v>
      </c>
      <c r="DP15" s="42">
        <v>1735</v>
      </c>
      <c r="DQ15" s="42">
        <v>1735</v>
      </c>
      <c r="DR15" s="42">
        <v>1735</v>
      </c>
      <c r="DS15" s="42">
        <v>1735</v>
      </c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145"/>
      <c r="EQ15" s="145"/>
      <c r="ER15" s="145"/>
      <c r="ES15" s="145"/>
      <c r="ET15" s="145"/>
      <c r="EU15" s="145"/>
      <c r="EV15" s="145"/>
      <c r="EW15" s="145"/>
      <c r="EX15" s="145"/>
      <c r="EY15" s="145"/>
      <c r="EZ15" s="145"/>
      <c r="FA15" s="145"/>
      <c r="FB15" s="145"/>
      <c r="FC15" s="145"/>
      <c r="FD15" s="145"/>
      <c r="FE15" s="145"/>
      <c r="FF15" s="145"/>
      <c r="FG15" s="145"/>
      <c r="FH15" s="145"/>
      <c r="FI15" s="145"/>
      <c r="FJ15" s="145"/>
      <c r="FK15" s="145"/>
      <c r="FL15" s="145"/>
      <c r="FM15" s="145"/>
      <c r="FN15" s="145"/>
      <c r="FO15" s="145"/>
      <c r="FP15" s="145"/>
      <c r="FQ15" s="145"/>
      <c r="FR15" s="145"/>
      <c r="FS15" s="145"/>
      <c r="FT15" s="145"/>
      <c r="FU15" s="145"/>
      <c r="FV15" s="145"/>
      <c r="FW15" s="145"/>
      <c r="FX15" s="145"/>
      <c r="FY15" s="145"/>
      <c r="FZ15" s="145"/>
      <c r="GA15" s="145"/>
      <c r="GB15" s="145"/>
      <c r="GC15" s="145"/>
      <c r="GD15" s="145"/>
      <c r="GE15" s="145"/>
      <c r="GF15" s="145"/>
      <c r="GG15" s="145"/>
      <c r="GH15" s="145"/>
      <c r="GI15" s="145"/>
      <c r="GJ15" s="145"/>
      <c r="GK15" s="145"/>
      <c r="GL15" s="145"/>
      <c r="GM15" s="145"/>
      <c r="GN15" s="145"/>
      <c r="GO15" s="145"/>
      <c r="GP15" s="145"/>
      <c r="GQ15" s="145"/>
      <c r="GR15" s="145"/>
      <c r="GS15" s="145"/>
      <c r="GT15" s="145"/>
      <c r="GU15" s="145"/>
      <c r="GV15" s="145"/>
      <c r="GW15" s="145"/>
      <c r="GX15" s="145"/>
      <c r="GY15" s="145"/>
      <c r="GZ15" s="145"/>
      <c r="HA15" s="145"/>
      <c r="HB15" s="145"/>
      <c r="HC15" s="145"/>
      <c r="HD15" s="145"/>
      <c r="HE15" s="145"/>
      <c r="HF15" s="145"/>
      <c r="HG15" s="145"/>
      <c r="HH15" s="145"/>
      <c r="HI15" s="145"/>
      <c r="HJ15" s="145"/>
      <c r="HK15" s="145"/>
      <c r="HL15" s="145"/>
      <c r="HM15" s="145"/>
      <c r="HN15" s="145"/>
      <c r="HO15" s="145"/>
      <c r="HP15" s="145"/>
      <c r="HQ15" s="145"/>
      <c r="HR15" s="145"/>
      <c r="HS15" s="145"/>
      <c r="HT15" s="145"/>
      <c r="HU15" s="145"/>
      <c r="HV15" s="145"/>
      <c r="HW15" s="145"/>
      <c r="HX15" s="145"/>
      <c r="HY15" s="145"/>
      <c r="HZ15" s="145"/>
      <c r="IA15" s="145"/>
      <c r="IB15" s="145"/>
      <c r="IC15" s="145"/>
      <c r="ID15" s="145"/>
      <c r="IE15" s="145"/>
      <c r="IF15" s="145"/>
      <c r="IG15" s="145"/>
      <c r="IH15" s="145"/>
      <c r="II15" s="145"/>
      <c r="IJ15" s="145"/>
      <c r="IK15" s="145"/>
      <c r="IL15" s="145"/>
      <c r="IM15" s="145"/>
      <c r="IN15" s="145"/>
      <c r="IO15" s="145"/>
      <c r="IP15" s="145"/>
      <c r="IQ15" s="145"/>
      <c r="IR15" s="145"/>
      <c r="IS15" s="145"/>
      <c r="IT15" s="145"/>
      <c r="IU15" s="145"/>
      <c r="IV15" s="145"/>
      <c r="IW15" s="145"/>
      <c r="IX15" s="145"/>
      <c r="IY15" s="145"/>
      <c r="IZ15" s="145"/>
      <c r="JA15" s="145"/>
      <c r="JB15" s="145"/>
      <c r="JC15" s="145"/>
      <c r="JD15" s="145"/>
      <c r="JE15" s="145"/>
      <c r="JF15" s="145"/>
      <c r="JG15" s="145"/>
      <c r="JH15" s="145"/>
      <c r="JI15" s="145"/>
      <c r="JJ15" s="145"/>
      <c r="JK15" s="145"/>
      <c r="JL15" s="145"/>
      <c r="JM15" s="145"/>
      <c r="JN15" s="145"/>
      <c r="JO15" s="145"/>
      <c r="JP15" s="145"/>
      <c r="JQ15" s="145"/>
      <c r="JR15" s="145"/>
      <c r="JS15" s="145"/>
      <c r="JT15" s="145"/>
      <c r="JU15" s="145"/>
      <c r="JV15" s="145"/>
      <c r="JW15" s="145"/>
      <c r="JX15" s="145"/>
      <c r="JY15" s="145"/>
      <c r="JZ15" s="145"/>
      <c r="KA15" s="145"/>
      <c r="KB15" s="145"/>
      <c r="KC15" s="145"/>
      <c r="KD15" s="145"/>
      <c r="KE15" s="145"/>
      <c r="KF15" s="145"/>
      <c r="KG15" s="145"/>
      <c r="KH15" s="145"/>
      <c r="KI15" s="145"/>
      <c r="KJ15" s="145"/>
    </row>
    <row r="16" spans="1:296" s="65" customFormat="1" ht="14" hidden="1">
      <c r="A16" s="54">
        <v>9</v>
      </c>
      <c r="B16" s="55"/>
      <c r="C16" s="55"/>
      <c r="D16" s="106" t="s">
        <v>37</v>
      </c>
      <c r="E16" s="54" t="s">
        <v>38</v>
      </c>
      <c r="F16" s="55" t="s">
        <v>39</v>
      </c>
      <c r="G16" s="56" t="s">
        <v>24</v>
      </c>
      <c r="H16" s="97" t="s">
        <v>37</v>
      </c>
      <c r="I16" s="56"/>
      <c r="J16" s="56"/>
      <c r="K16" s="56"/>
      <c r="L16" s="56"/>
      <c r="M16" s="56"/>
      <c r="N16" s="56"/>
      <c r="O16" s="56"/>
      <c r="P16" s="56">
        <v>1300</v>
      </c>
      <c r="Q16" s="56">
        <v>1300</v>
      </c>
      <c r="R16" s="56">
        <v>1350</v>
      </c>
      <c r="S16" s="56"/>
      <c r="T16" s="56">
        <v>1279</v>
      </c>
      <c r="U16" s="56">
        <v>1313</v>
      </c>
      <c r="V16" s="56">
        <v>1302</v>
      </c>
      <c r="W16" s="56">
        <v>1360</v>
      </c>
      <c r="X16" s="56">
        <v>1397</v>
      </c>
      <c r="Y16" s="56">
        <v>1425</v>
      </c>
      <c r="Z16" s="56">
        <v>1493</v>
      </c>
      <c r="AA16" s="56">
        <v>1473</v>
      </c>
      <c r="AB16" s="56">
        <v>1474</v>
      </c>
      <c r="AC16" s="56">
        <v>1486</v>
      </c>
      <c r="AD16" s="56">
        <f>(1407+1550)/2</f>
        <v>1478.5</v>
      </c>
      <c r="AE16" s="56">
        <v>1480</v>
      </c>
      <c r="AF16" s="56">
        <v>1461</v>
      </c>
      <c r="AG16" s="56">
        <v>1461</v>
      </c>
      <c r="AH16" s="56">
        <v>1444</v>
      </c>
      <c r="AI16" s="56">
        <v>1431.5</v>
      </c>
      <c r="AJ16" s="56">
        <v>1431.5</v>
      </c>
      <c r="AK16" s="56">
        <f>+SUM(DE16:DI16)/5</f>
        <v>1350.5</v>
      </c>
      <c r="AL16" s="56">
        <f>+SUM(DJ16:DM16)/4</f>
        <v>1261.125</v>
      </c>
      <c r="AM16" s="56">
        <f>+SUM(DN16:DQ16)/4</f>
        <v>1247.5</v>
      </c>
      <c r="AN16" s="56">
        <f>+SUM(DR16:DU16)/COUNT(DR16:DU16)</f>
        <v>1236.875</v>
      </c>
      <c r="AO16" s="56">
        <f>+SUM(DV16:DY16)/COUNT(DV16:DY16)</f>
        <v>1208.75</v>
      </c>
      <c r="AP16" s="56">
        <f>+SUM(DZ16:ED16)/COUNT(DZ16:ED16)</f>
        <v>1207.4000000000001</v>
      </c>
      <c r="AQ16" s="56">
        <f>+SUM(EE16:EH16)/COUNT(EE16:EH16)</f>
        <v>1115.375</v>
      </c>
      <c r="AR16" s="56">
        <f>+SUM(EI16:EL16)/COUNT(EI16:EL16)</f>
        <v>1105</v>
      </c>
      <c r="AS16" s="56">
        <f>+SUM(EM16:EQ16)/COUNT(EM16:EQ16)</f>
        <v>1085</v>
      </c>
      <c r="AT16" s="56">
        <f>+SUM(ER16:EU16)/COUNT(ER16:EU16)</f>
        <v>1083.75</v>
      </c>
      <c r="AU16" s="56">
        <f>+SUM(EV16:EY16)/COUNT(EV16:EY16)</f>
        <v>1080</v>
      </c>
      <c r="AV16" s="100">
        <f>+SUM(EZ16:FC16)/COUNT(EZ16:FC16)</f>
        <v>1080</v>
      </c>
      <c r="AW16" s="100">
        <f>+SUM(FD16:FH16)/COUNT(FD16:FH16)</f>
        <v>1080</v>
      </c>
      <c r="AX16" s="100">
        <f>+SUM(FI16:FK16)/COUNT(FI16:FK16)</f>
        <v>1113.3333333333333</v>
      </c>
      <c r="AY16" s="100">
        <f>+SUM(FM16:FO16)/COUNT(FM16:FO16)</f>
        <v>1153</v>
      </c>
      <c r="AZ16" s="100">
        <f>+SUM(FP16:FS16)/COUNT(FP16:FS16)</f>
        <v>1209.625</v>
      </c>
      <c r="BA16" s="100">
        <f>+SUM(FT16:FW16)/COUNT(FT16:FW16)</f>
        <v>1201.125</v>
      </c>
      <c r="BB16" s="100">
        <f>+SUM(FX16:GB16)/COUNT(FX16:GB16)</f>
        <v>1188</v>
      </c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52"/>
      <c r="CD16" s="54" t="s">
        <v>37</v>
      </c>
      <c r="CE16" s="54" t="s">
        <v>38</v>
      </c>
      <c r="CF16" s="97" t="s">
        <v>37</v>
      </c>
      <c r="CG16" s="56">
        <f>+(1435+1550)/2</f>
        <v>1492.5</v>
      </c>
      <c r="CH16" s="56">
        <f>+(1409+1550)/2</f>
        <v>1479.5</v>
      </c>
      <c r="CI16" s="56">
        <f>+(1394+1550)/2</f>
        <v>1472</v>
      </c>
      <c r="CJ16" s="56">
        <f>+(1396+1550)/2</f>
        <v>1473</v>
      </c>
      <c r="CK16" s="56">
        <f>+(1398+1550)/2</f>
        <v>1474</v>
      </c>
      <c r="CL16" s="56">
        <f>+(1398+1550)/2</f>
        <v>1474</v>
      </c>
      <c r="CM16" s="56">
        <f>+(1402+1550)/2</f>
        <v>1476</v>
      </c>
      <c r="CN16" s="56">
        <f>+(1402+1550)/2</f>
        <v>1476</v>
      </c>
      <c r="CO16" s="56">
        <f>+(1407+1550)/2</f>
        <v>1478.5</v>
      </c>
      <c r="CP16" s="56">
        <f>+(1408+1550)/2</f>
        <v>1479</v>
      </c>
      <c r="CQ16" s="56">
        <f>+(1421+1550)/2</f>
        <v>1485.5</v>
      </c>
      <c r="CR16" s="56">
        <f>+(1411+1550)/2</f>
        <v>1480.5</v>
      </c>
      <c r="CS16" s="56">
        <f>+(1412+1550)/2</f>
        <v>1481</v>
      </c>
      <c r="CT16" s="56">
        <f>+(1407+1550)/2</f>
        <v>1478.5</v>
      </c>
      <c r="CU16" s="56">
        <f>+(1416+1550)/2</f>
        <v>1483</v>
      </c>
      <c r="CV16" s="56">
        <f>+(1410+1550)/2</f>
        <v>1480</v>
      </c>
      <c r="CW16" s="56">
        <v>1461</v>
      </c>
      <c r="CX16" s="56">
        <v>1461</v>
      </c>
      <c r="CY16" s="56">
        <v>1444</v>
      </c>
      <c r="CZ16" s="56">
        <v>1431.5</v>
      </c>
      <c r="DA16" s="56">
        <v>1431.5</v>
      </c>
      <c r="DB16" s="56">
        <f>+(1363+1474)/2</f>
        <v>1418.5</v>
      </c>
      <c r="DC16" s="56">
        <v>1389</v>
      </c>
      <c r="DD16" s="56">
        <f>+(1300+1465)/2</f>
        <v>1382.5</v>
      </c>
      <c r="DE16" s="56">
        <f>+(1300+1465)/2</f>
        <v>1382.5</v>
      </c>
      <c r="DF16" s="56">
        <f>+(1300+1465)/2</f>
        <v>1382.5</v>
      </c>
      <c r="DG16" s="56">
        <f>+(1250+1400)/2</f>
        <v>1325</v>
      </c>
      <c r="DH16" s="56">
        <f>+(1250+1400)/2</f>
        <v>1325</v>
      </c>
      <c r="DI16" s="56">
        <f>+(1250+1425)/2</f>
        <v>1337.5</v>
      </c>
      <c r="DJ16" s="56">
        <f>+(1250+1425)/2</f>
        <v>1337.5</v>
      </c>
      <c r="DK16" s="56">
        <f>+(1100+1345)/2</f>
        <v>1222.5</v>
      </c>
      <c r="DL16" s="56">
        <f>+(1100+1356)/2</f>
        <v>1228</v>
      </c>
      <c r="DM16" s="56">
        <f>+(1100+1413)/2</f>
        <v>1256.5</v>
      </c>
      <c r="DN16" s="56">
        <f>+(1100+1408)/2</f>
        <v>1254</v>
      </c>
      <c r="DO16" s="56">
        <f>+(1100+1398)/2</f>
        <v>1249</v>
      </c>
      <c r="DP16" s="56">
        <f>+(1100+1387)/2</f>
        <v>1243.5</v>
      </c>
      <c r="DQ16" s="56">
        <f>+(1100+1387)/2</f>
        <v>1243.5</v>
      </c>
      <c r="DR16" s="56">
        <f>+(1100+1387)/2</f>
        <v>1243.5</v>
      </c>
      <c r="DS16" s="56">
        <f>+(1100+1367)/2</f>
        <v>1233.5</v>
      </c>
      <c r="DT16" s="56">
        <f>+(1100+1366)/2</f>
        <v>1233</v>
      </c>
      <c r="DU16" s="56">
        <f>+(1100+1375)/2</f>
        <v>1237.5</v>
      </c>
      <c r="DV16" s="56">
        <f>+(1100+1375)/2</f>
        <v>1237.5</v>
      </c>
      <c r="DW16" s="56">
        <f>+(1100+1279)/2</f>
        <v>1189.5</v>
      </c>
      <c r="DX16" s="56">
        <f>+(1100+1279)/2</f>
        <v>1189.5</v>
      </c>
      <c r="DY16" s="56">
        <f>+(1150+1287)/2</f>
        <v>1218.5</v>
      </c>
      <c r="DZ16" s="56">
        <f>+(1150+1299)/2</f>
        <v>1224.5</v>
      </c>
      <c r="EA16" s="56">
        <f>+(1150+1293)/2</f>
        <v>1221.5</v>
      </c>
      <c r="EB16" s="56">
        <f>+(1110+1286)/2</f>
        <v>1198</v>
      </c>
      <c r="EC16" s="56">
        <f>+(1110+1283)/2</f>
        <v>1196.5</v>
      </c>
      <c r="ED16" s="56">
        <f>+(1110+1283)/2</f>
        <v>1196.5</v>
      </c>
      <c r="EE16" s="56">
        <f>+(1060+1233)/2</f>
        <v>1146.5</v>
      </c>
      <c r="EF16" s="56">
        <f t="shared" ref="EF16:EL16" si="288">+(1060+1150)/2</f>
        <v>1105</v>
      </c>
      <c r="EG16" s="56">
        <f t="shared" si="288"/>
        <v>1105</v>
      </c>
      <c r="EH16" s="56">
        <f t="shared" si="288"/>
        <v>1105</v>
      </c>
      <c r="EI16" s="56">
        <f t="shared" si="288"/>
        <v>1105</v>
      </c>
      <c r="EJ16" s="56">
        <f t="shared" si="288"/>
        <v>1105</v>
      </c>
      <c r="EK16" s="56">
        <f t="shared" si="288"/>
        <v>1105</v>
      </c>
      <c r="EL16" s="56">
        <f t="shared" si="288"/>
        <v>1105</v>
      </c>
      <c r="EM16" s="56">
        <f>+(1060+1110)/2</f>
        <v>1085</v>
      </c>
      <c r="EN16" s="56">
        <f>+(1060+1110)/2</f>
        <v>1085</v>
      </c>
      <c r="EO16" s="56">
        <f>+(1060+1110)/2</f>
        <v>1085</v>
      </c>
      <c r="EP16" s="100">
        <v>1085</v>
      </c>
      <c r="EQ16" s="100">
        <v>1085</v>
      </c>
      <c r="ER16" s="100">
        <v>1085</v>
      </c>
      <c r="ES16" s="100">
        <v>1085</v>
      </c>
      <c r="ET16" s="100">
        <v>1085</v>
      </c>
      <c r="EU16" s="100">
        <v>1080</v>
      </c>
      <c r="EV16" s="100">
        <v>1080</v>
      </c>
      <c r="EW16" s="100">
        <v>1080</v>
      </c>
      <c r="EX16" s="100">
        <v>1080</v>
      </c>
      <c r="EY16" s="100">
        <v>1080</v>
      </c>
      <c r="EZ16" s="100">
        <v>1080</v>
      </c>
      <c r="FA16" s="100">
        <v>1080</v>
      </c>
      <c r="FB16" s="100">
        <v>1080</v>
      </c>
      <c r="FC16" s="100">
        <v>1080</v>
      </c>
      <c r="FD16" s="100">
        <v>1080</v>
      </c>
      <c r="FE16" s="100">
        <v>1080</v>
      </c>
      <c r="FF16" s="100">
        <v>1080</v>
      </c>
      <c r="FG16" s="100">
        <v>1080</v>
      </c>
      <c r="FH16" s="100">
        <v>1080</v>
      </c>
      <c r="FI16" s="100">
        <v>1080</v>
      </c>
      <c r="FJ16" s="100">
        <v>1130</v>
      </c>
      <c r="FK16" s="100">
        <v>1130</v>
      </c>
      <c r="FL16" s="100">
        <v>1130</v>
      </c>
      <c r="FM16" s="100">
        <v>1130</v>
      </c>
      <c r="FN16" s="100">
        <v>1130</v>
      </c>
      <c r="FO16" s="100">
        <v>1199</v>
      </c>
      <c r="FP16" s="100">
        <v>1211</v>
      </c>
      <c r="FQ16" s="100">
        <v>1214</v>
      </c>
      <c r="FR16" s="100">
        <v>1208</v>
      </c>
      <c r="FS16" s="100">
        <v>1205.5</v>
      </c>
      <c r="FT16" s="100">
        <v>1205.5</v>
      </c>
      <c r="FU16" s="100">
        <v>1205.5</v>
      </c>
      <c r="FV16" s="100">
        <v>1205.5</v>
      </c>
      <c r="FW16" s="100">
        <v>1188</v>
      </c>
      <c r="FX16" s="100">
        <v>1188</v>
      </c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0"/>
      <c r="GN16" s="100"/>
      <c r="GO16" s="100"/>
      <c r="GP16" s="100"/>
      <c r="GQ16" s="100"/>
      <c r="GR16" s="100"/>
      <c r="GS16" s="100"/>
      <c r="GT16" s="100"/>
      <c r="GU16" s="100"/>
      <c r="GV16" s="100"/>
      <c r="GW16" s="100"/>
      <c r="GX16" s="100"/>
      <c r="GY16" s="100"/>
      <c r="GZ16" s="100"/>
      <c r="HA16" s="100"/>
      <c r="HB16" s="100"/>
      <c r="HC16" s="100"/>
      <c r="HD16" s="100"/>
      <c r="HE16" s="100"/>
      <c r="HF16" s="100"/>
      <c r="HG16" s="100"/>
      <c r="HH16" s="100"/>
      <c r="HI16" s="100"/>
      <c r="HJ16" s="100"/>
      <c r="HK16" s="100"/>
      <c r="HL16" s="100"/>
      <c r="HM16" s="100"/>
      <c r="HN16" s="100"/>
      <c r="HO16" s="100"/>
      <c r="HP16" s="100"/>
      <c r="HQ16" s="100"/>
      <c r="HR16" s="100"/>
      <c r="HS16" s="100"/>
      <c r="HT16" s="100"/>
      <c r="HU16" s="100"/>
      <c r="HV16" s="100"/>
      <c r="HW16" s="100"/>
      <c r="HX16" s="100"/>
      <c r="HY16" s="100"/>
      <c r="HZ16" s="100"/>
      <c r="IA16" s="100"/>
      <c r="IB16" s="100"/>
      <c r="IC16" s="100"/>
      <c r="ID16" s="100"/>
      <c r="IE16" s="100"/>
      <c r="IF16" s="100"/>
      <c r="IG16" s="100"/>
      <c r="IH16" s="100"/>
      <c r="II16" s="100"/>
      <c r="IJ16" s="100"/>
      <c r="IK16" s="100"/>
      <c r="IL16" s="100"/>
      <c r="IM16" s="100"/>
      <c r="IN16" s="100"/>
      <c r="IO16" s="100"/>
      <c r="IP16" s="100"/>
      <c r="IQ16" s="100"/>
      <c r="IR16" s="100"/>
      <c r="IS16" s="100"/>
      <c r="IT16" s="100"/>
      <c r="IU16" s="100"/>
      <c r="IV16" s="100"/>
      <c r="IW16" s="100"/>
      <c r="IX16" s="100"/>
      <c r="IY16" s="100"/>
      <c r="IZ16" s="100"/>
      <c r="JA16" s="100"/>
      <c r="JB16" s="100"/>
      <c r="JC16" s="100"/>
      <c r="JD16" s="100"/>
      <c r="JE16" s="100"/>
      <c r="JF16" s="100"/>
      <c r="JG16" s="100"/>
      <c r="JH16" s="100"/>
      <c r="JI16" s="100"/>
      <c r="JJ16" s="100"/>
      <c r="JK16" s="100"/>
      <c r="JL16" s="100"/>
      <c r="JM16" s="100"/>
      <c r="JN16" s="100"/>
      <c r="JO16" s="100"/>
      <c r="JP16" s="100"/>
      <c r="JQ16" s="100"/>
      <c r="JR16" s="100"/>
      <c r="JS16" s="100"/>
      <c r="JT16" s="100"/>
      <c r="JU16" s="100"/>
      <c r="JV16" s="100"/>
      <c r="JW16" s="100"/>
      <c r="JX16" s="100"/>
      <c r="JY16" s="100"/>
      <c r="JZ16" s="100"/>
      <c r="KA16" s="100"/>
      <c r="KB16" s="100"/>
      <c r="KC16" s="100"/>
      <c r="KD16" s="100"/>
      <c r="KE16" s="100"/>
      <c r="KF16" s="100"/>
      <c r="KG16" s="100"/>
      <c r="KH16" s="100"/>
      <c r="KI16" s="100"/>
      <c r="KJ16" s="100"/>
    </row>
    <row r="17" spans="1:296" s="65" customFormat="1" ht="14" hidden="1">
      <c r="A17" s="54">
        <v>9</v>
      </c>
      <c r="B17" s="55"/>
      <c r="C17" s="55"/>
      <c r="D17" s="54" t="s">
        <v>37</v>
      </c>
      <c r="E17" s="54" t="s">
        <v>38</v>
      </c>
      <c r="F17" s="55" t="s">
        <v>40</v>
      </c>
      <c r="G17" s="56" t="s">
        <v>24</v>
      </c>
      <c r="H17" s="55" t="s">
        <v>40</v>
      </c>
      <c r="I17" s="56"/>
      <c r="J17" s="56"/>
      <c r="K17" s="56"/>
      <c r="L17" s="56"/>
      <c r="M17" s="56"/>
      <c r="N17" s="56"/>
      <c r="O17" s="56"/>
      <c r="P17" s="56">
        <v>1400</v>
      </c>
      <c r="Q17" s="56">
        <v>1500</v>
      </c>
      <c r="R17" s="56">
        <v>1500</v>
      </c>
      <c r="S17" s="56"/>
      <c r="T17" s="56">
        <v>1389</v>
      </c>
      <c r="U17" s="56">
        <v>1450</v>
      </c>
      <c r="V17" s="56">
        <v>1454</v>
      </c>
      <c r="W17" s="56">
        <v>1530</v>
      </c>
      <c r="X17" s="56">
        <v>1570</v>
      </c>
      <c r="Y17" s="56">
        <v>1555</v>
      </c>
      <c r="Z17" s="56">
        <v>1550</v>
      </c>
      <c r="AA17" s="56">
        <v>1550</v>
      </c>
      <c r="AB17" s="56">
        <v>1550</v>
      </c>
      <c r="AC17" s="56">
        <v>1550</v>
      </c>
      <c r="AD17" s="56">
        <v>1550</v>
      </c>
      <c r="AE17" s="56">
        <v>1550</v>
      </c>
      <c r="AF17" s="56">
        <v>1533</v>
      </c>
      <c r="AG17" s="56">
        <v>1507</v>
      </c>
      <c r="AH17" s="56">
        <v>1507</v>
      </c>
      <c r="AI17" s="56">
        <v>1491</v>
      </c>
      <c r="AJ17" s="56">
        <v>1491</v>
      </c>
      <c r="AK17" s="56">
        <f>+SUM(DE17:DI17)/5</f>
        <v>1431</v>
      </c>
      <c r="AL17" s="56">
        <f>+SUM(DJ17:DM17)/4</f>
        <v>1384.75</v>
      </c>
      <c r="AM17" s="56">
        <f>+SUM(DN17:DQ17)/4</f>
        <v>1395</v>
      </c>
      <c r="AN17" s="56">
        <f>+SUM(DR17:DU17)/COUNT(DR17:DU17)</f>
        <v>1373.75</v>
      </c>
      <c r="AO17" s="56">
        <f>+SUM(DV17:DY17)/COUNT(DV17:DY17)</f>
        <v>1305</v>
      </c>
      <c r="AP17" s="56">
        <f>+SUM(DZ17:ED17)/COUNT(DZ17:ED17)</f>
        <v>1288.8</v>
      </c>
      <c r="AQ17" s="56">
        <f>+SUM(EE17:EH17)/COUNT(EE17:EH17)</f>
        <v>1170.75</v>
      </c>
      <c r="AR17" s="56">
        <f>+SUM(EI17:EL17)/COUNT(EI17:EL17)</f>
        <v>1150</v>
      </c>
      <c r="AS17" s="56">
        <f>+SUM(EM17:EQ17)/COUNT(EM17:EQ17)</f>
        <v>1110</v>
      </c>
      <c r="AT17" s="56">
        <f>+SUM(ER17:EU17)/COUNT(ER17:EU17)</f>
        <v>1107.5</v>
      </c>
      <c r="AU17" s="56">
        <f>+SUM(EV17:EY17)/COUNT(EV17:EY17)</f>
        <v>1100</v>
      </c>
      <c r="AV17" s="100">
        <f t="shared" ref="AV17:AV22" si="289">+SUM(EZ17:FC17)/COUNT(EZ17:FC17)</f>
        <v>1100</v>
      </c>
      <c r="AW17" s="100">
        <f t="shared" ref="AW17:AW22" si="290">+SUM(FD17:FH17)/COUNT(FD17:FH17)</f>
        <v>1100</v>
      </c>
      <c r="AX17" s="100">
        <f>+SUM(FI17:FK17)/COUNT(FI17:FK17)</f>
        <v>1166.6666666666667</v>
      </c>
      <c r="AY17" s="100">
        <f t="shared" ref="AY17:AY22" si="291">+SUM(FM17:FO17)/COUNT(FM17:FO17)</f>
        <v>1223</v>
      </c>
      <c r="AZ17" s="100">
        <f t="shared" ref="AZ17:AZ22" si="292">+SUM(FP17:FS17)/COUNT(FP17:FS17)</f>
        <v>1268.5</v>
      </c>
      <c r="BA17" s="100">
        <f t="shared" ref="BA17:BA22" si="293">+SUM(FT17:FW17)/COUNT(FT17:FW17)</f>
        <v>1252.25</v>
      </c>
      <c r="BB17" s="100">
        <f t="shared" ref="BB17:BB22" si="294">+SUM(FX17:GB17)/COUNT(FX17:GB17)</f>
        <v>1226</v>
      </c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61"/>
      <c r="CD17" s="54" t="s">
        <v>37</v>
      </c>
      <c r="CE17" s="54" t="s">
        <v>38</v>
      </c>
      <c r="CF17" s="55" t="s">
        <v>40</v>
      </c>
      <c r="CG17" s="56">
        <v>1550</v>
      </c>
      <c r="CH17" s="56">
        <v>1550</v>
      </c>
      <c r="CI17" s="56">
        <v>1550</v>
      </c>
      <c r="CJ17" s="56">
        <v>1550</v>
      </c>
      <c r="CK17" s="56">
        <v>1550</v>
      </c>
      <c r="CL17" s="56">
        <v>1550</v>
      </c>
      <c r="CM17" s="56">
        <v>1550</v>
      </c>
      <c r="CN17" s="56">
        <v>1550</v>
      </c>
      <c r="CO17" s="56">
        <v>1550</v>
      </c>
      <c r="CP17" s="56">
        <v>1550</v>
      </c>
      <c r="CQ17" s="56">
        <v>1550</v>
      </c>
      <c r="CR17" s="56">
        <v>1550</v>
      </c>
      <c r="CS17" s="56">
        <v>1550</v>
      </c>
      <c r="CT17" s="56">
        <v>1550</v>
      </c>
      <c r="CU17" s="56">
        <v>1550</v>
      </c>
      <c r="CV17" s="56">
        <v>1550</v>
      </c>
      <c r="CW17" s="56">
        <v>1533</v>
      </c>
      <c r="CX17" s="56">
        <v>1507</v>
      </c>
      <c r="CY17" s="56">
        <v>1507</v>
      </c>
      <c r="CZ17" s="56">
        <v>1491</v>
      </c>
      <c r="DA17" s="56">
        <v>1491</v>
      </c>
      <c r="DB17" s="56">
        <v>1474</v>
      </c>
      <c r="DC17" s="56">
        <v>1478</v>
      </c>
      <c r="DD17" s="56">
        <v>1465</v>
      </c>
      <c r="DE17" s="56">
        <v>1465</v>
      </c>
      <c r="DF17" s="56">
        <v>1465</v>
      </c>
      <c r="DG17" s="56">
        <v>1400</v>
      </c>
      <c r="DH17" s="56">
        <v>1400</v>
      </c>
      <c r="DI17" s="56">
        <v>1425</v>
      </c>
      <c r="DJ17" s="56">
        <v>1425</v>
      </c>
      <c r="DK17" s="56">
        <v>1345</v>
      </c>
      <c r="DL17" s="56">
        <v>1356</v>
      </c>
      <c r="DM17" s="56">
        <v>1413</v>
      </c>
      <c r="DN17" s="56">
        <v>1408</v>
      </c>
      <c r="DO17" s="56">
        <v>1398</v>
      </c>
      <c r="DP17" s="56">
        <v>1387</v>
      </c>
      <c r="DQ17" s="56">
        <v>1387</v>
      </c>
      <c r="DR17" s="56">
        <v>1387</v>
      </c>
      <c r="DS17" s="56">
        <v>1367</v>
      </c>
      <c r="DT17" s="56">
        <v>1366</v>
      </c>
      <c r="DU17" s="56">
        <v>1375</v>
      </c>
      <c r="DV17" s="56">
        <v>1375</v>
      </c>
      <c r="DW17" s="56">
        <v>1279</v>
      </c>
      <c r="DX17" s="56">
        <v>1279</v>
      </c>
      <c r="DY17" s="56">
        <v>1287</v>
      </c>
      <c r="DZ17" s="56">
        <v>1299</v>
      </c>
      <c r="EA17" s="56">
        <v>1293</v>
      </c>
      <c r="EB17" s="56">
        <v>1286</v>
      </c>
      <c r="EC17" s="56">
        <v>1283</v>
      </c>
      <c r="ED17" s="56">
        <v>1283</v>
      </c>
      <c r="EE17" s="56">
        <v>1233</v>
      </c>
      <c r="EF17" s="56">
        <v>1150</v>
      </c>
      <c r="EG17" s="56">
        <v>1150</v>
      </c>
      <c r="EH17" s="56">
        <v>1150</v>
      </c>
      <c r="EI17" s="56">
        <v>1150</v>
      </c>
      <c r="EJ17" s="56">
        <v>1150</v>
      </c>
      <c r="EK17" s="56">
        <v>1150</v>
      </c>
      <c r="EL17" s="56">
        <v>1150</v>
      </c>
      <c r="EM17" s="56">
        <v>1110</v>
      </c>
      <c r="EN17" s="56">
        <v>1110</v>
      </c>
      <c r="EO17" s="56">
        <v>1110</v>
      </c>
      <c r="EP17" s="100">
        <v>1110</v>
      </c>
      <c r="EQ17" s="100">
        <v>1110</v>
      </c>
      <c r="ER17" s="100">
        <v>1110</v>
      </c>
      <c r="ES17" s="100">
        <v>1110</v>
      </c>
      <c r="ET17" s="100">
        <v>1110</v>
      </c>
      <c r="EU17" s="100">
        <v>1100</v>
      </c>
      <c r="EV17" s="100">
        <v>1100</v>
      </c>
      <c r="EW17" s="100">
        <v>1100</v>
      </c>
      <c r="EX17" s="100">
        <v>1100</v>
      </c>
      <c r="EY17" s="100">
        <v>1100</v>
      </c>
      <c r="EZ17" s="100">
        <v>1100</v>
      </c>
      <c r="FA17" s="100">
        <v>1100</v>
      </c>
      <c r="FB17" s="100">
        <v>1100</v>
      </c>
      <c r="FC17" s="100">
        <v>1100</v>
      </c>
      <c r="FD17" s="100">
        <v>1100</v>
      </c>
      <c r="FE17" s="100">
        <v>1100</v>
      </c>
      <c r="FF17" s="100">
        <v>1100</v>
      </c>
      <c r="FG17" s="100">
        <v>1100</v>
      </c>
      <c r="FH17" s="100">
        <v>1100</v>
      </c>
      <c r="FI17" s="100">
        <v>1100</v>
      </c>
      <c r="FJ17" s="100">
        <v>1200</v>
      </c>
      <c r="FK17" s="100">
        <v>1200</v>
      </c>
      <c r="FL17" s="100">
        <v>1200</v>
      </c>
      <c r="FM17" s="100">
        <v>1200</v>
      </c>
      <c r="FN17" s="100">
        <v>1200</v>
      </c>
      <c r="FO17" s="100">
        <v>1269</v>
      </c>
      <c r="FP17" s="100">
        <v>1269</v>
      </c>
      <c r="FQ17" s="100">
        <v>1278</v>
      </c>
      <c r="FR17" s="100">
        <v>1266</v>
      </c>
      <c r="FS17" s="100">
        <v>1261</v>
      </c>
      <c r="FT17" s="100">
        <v>1261</v>
      </c>
      <c r="FU17" s="100">
        <v>1261</v>
      </c>
      <c r="FV17" s="100">
        <v>1261</v>
      </c>
      <c r="FW17" s="100">
        <v>1226</v>
      </c>
      <c r="FX17" s="100">
        <v>1226</v>
      </c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0"/>
      <c r="GV17" s="100"/>
      <c r="GW17" s="100"/>
      <c r="GX17" s="100"/>
      <c r="GY17" s="100"/>
      <c r="GZ17" s="100"/>
      <c r="HA17" s="100"/>
      <c r="HB17" s="100"/>
      <c r="HC17" s="100"/>
      <c r="HD17" s="100"/>
      <c r="HE17" s="100"/>
      <c r="HF17" s="100"/>
      <c r="HG17" s="100"/>
      <c r="HH17" s="100"/>
      <c r="HI17" s="100"/>
      <c r="HJ17" s="100"/>
      <c r="HK17" s="100"/>
      <c r="HL17" s="100"/>
      <c r="HM17" s="100"/>
      <c r="HN17" s="100"/>
      <c r="HO17" s="100"/>
      <c r="HP17" s="100"/>
      <c r="HQ17" s="100"/>
      <c r="HR17" s="100"/>
      <c r="HS17" s="100"/>
      <c r="HT17" s="100"/>
      <c r="HU17" s="100"/>
      <c r="HV17" s="100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0"/>
      <c r="II17" s="100"/>
      <c r="IJ17" s="100"/>
      <c r="IK17" s="100"/>
      <c r="IL17" s="100"/>
      <c r="IM17" s="100"/>
      <c r="IN17" s="100"/>
      <c r="IO17" s="100"/>
      <c r="IP17" s="100"/>
      <c r="IQ17" s="100"/>
      <c r="IR17" s="100"/>
      <c r="IS17" s="100"/>
      <c r="IT17" s="100"/>
      <c r="IU17" s="100"/>
      <c r="IV17" s="100"/>
      <c r="IW17" s="100"/>
      <c r="IX17" s="100"/>
      <c r="IY17" s="100"/>
      <c r="IZ17" s="100"/>
      <c r="JA17" s="100"/>
      <c r="JB17" s="100"/>
      <c r="JC17" s="100"/>
      <c r="JD17" s="100"/>
      <c r="JE17" s="100"/>
      <c r="JF17" s="100"/>
      <c r="JG17" s="100"/>
      <c r="JH17" s="100"/>
      <c r="JI17" s="100"/>
      <c r="JJ17" s="100"/>
      <c r="JK17" s="100"/>
      <c r="JL17" s="100"/>
      <c r="JM17" s="100"/>
      <c r="JN17" s="100"/>
      <c r="JO17" s="100"/>
      <c r="JP17" s="100"/>
      <c r="JQ17" s="100"/>
      <c r="JR17" s="100"/>
      <c r="JS17" s="100"/>
      <c r="JT17" s="100"/>
      <c r="JU17" s="100"/>
      <c r="JV17" s="100"/>
      <c r="JW17" s="100"/>
      <c r="JX17" s="100"/>
      <c r="JY17" s="100"/>
      <c r="JZ17" s="100"/>
      <c r="KA17" s="100"/>
      <c r="KB17" s="100"/>
      <c r="KC17" s="100"/>
      <c r="KD17" s="100"/>
      <c r="KE17" s="100"/>
      <c r="KF17" s="100"/>
      <c r="KG17" s="100"/>
      <c r="KH17" s="100"/>
      <c r="KI17" s="100"/>
      <c r="KJ17" s="100"/>
    </row>
    <row r="18" spans="1:296" s="65" customFormat="1" ht="14">
      <c r="A18" s="54"/>
      <c r="B18" s="55"/>
      <c r="C18" s="55"/>
      <c r="D18" s="54"/>
      <c r="E18" s="54"/>
      <c r="F18" s="97" t="s">
        <v>96</v>
      </c>
      <c r="G18" s="56"/>
      <c r="H18" s="97" t="s">
        <v>96</v>
      </c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>
        <v>1575</v>
      </c>
      <c r="V18" s="56">
        <v>1575</v>
      </c>
      <c r="W18" s="56">
        <v>1575</v>
      </c>
      <c r="X18" s="56">
        <v>1575</v>
      </c>
      <c r="Y18" s="56">
        <v>1560</v>
      </c>
      <c r="Z18" s="56">
        <v>1655</v>
      </c>
      <c r="AA18" s="56">
        <v>1655</v>
      </c>
      <c r="AB18" s="56">
        <v>1655</v>
      </c>
      <c r="AC18" s="56">
        <v>1645</v>
      </c>
      <c r="AD18" s="56">
        <v>1645</v>
      </c>
      <c r="AE18" s="56">
        <v>1655</v>
      </c>
      <c r="AF18" s="56">
        <v>1624</v>
      </c>
      <c r="AG18" s="56">
        <v>1624</v>
      </c>
      <c r="AH18" s="56">
        <v>1624</v>
      </c>
      <c r="AI18" s="56">
        <v>1624</v>
      </c>
      <c r="AJ18" s="56">
        <v>1624</v>
      </c>
      <c r="AK18" s="56">
        <f>AK19+100</f>
        <v>1593.4</v>
      </c>
      <c r="AL18" s="56">
        <f>AL19+100</f>
        <v>1534.75</v>
      </c>
      <c r="AM18" s="56">
        <f>AM19+100</f>
        <v>1522</v>
      </c>
      <c r="AN18" s="56">
        <f>AN19+100</f>
        <v>1522</v>
      </c>
      <c r="AO18" s="56">
        <f>AO19+100</f>
        <v>1522</v>
      </c>
      <c r="AP18" s="56">
        <f>+SUM(DZ18:ED18)/COUNT(DZ18:ED18)</f>
        <v>1516.8</v>
      </c>
      <c r="AQ18" s="56">
        <f>+SUM(EE18:EH18)/COUNT(EE18:EH18)</f>
        <v>1496</v>
      </c>
      <c r="AR18" s="56">
        <f>+SUM(EI18:EL18)/COUNT(EI18:EL18)</f>
        <v>1496</v>
      </c>
      <c r="AS18" s="56">
        <f>+SUM(EM18:EQ18)/COUNT(EM18:EQ18)</f>
        <v>1496</v>
      </c>
      <c r="AT18" s="56">
        <f>+SUM(ER18:EU18)/COUNT(ER18:EU18)</f>
        <v>1496</v>
      </c>
      <c r="AU18" s="56">
        <f>+SUM(EV18:EY18)/COUNT(EV18:EY18)</f>
        <v>1477.25</v>
      </c>
      <c r="AV18" s="100">
        <f t="shared" si="289"/>
        <v>1471</v>
      </c>
      <c r="AW18" s="100">
        <f t="shared" si="290"/>
        <v>1460.6</v>
      </c>
      <c r="AX18" s="100">
        <f t="shared" ref="AX18:AX22" si="295">+SUM(FI18:FK18)/COUNT(FI18:FK18)</f>
        <v>1422</v>
      </c>
      <c r="AY18" s="100">
        <f t="shared" si="291"/>
        <v>1404.6666666666667</v>
      </c>
      <c r="AZ18" s="100">
        <f t="shared" si="292"/>
        <v>1396</v>
      </c>
      <c r="BA18" s="100">
        <f t="shared" si="293"/>
        <v>1406</v>
      </c>
      <c r="BB18" s="100">
        <f t="shared" si="294"/>
        <v>1406</v>
      </c>
      <c r="BC18" s="100">
        <f t="shared" ref="BC18:BC19" si="296">+SUM(GC18:GF18)/COUNT(GC18:GF18)</f>
        <v>1398.5</v>
      </c>
      <c r="BD18" s="100">
        <f t="shared" ref="BD18:BD19" si="297">+SUM(GG18:GJ18)/COUNT(GG18:GJ18)</f>
        <v>1396</v>
      </c>
      <c r="BE18" s="100">
        <f>+SUM(GK18:GO18)/COUNT(GK18:GO18)</f>
        <v>1416</v>
      </c>
      <c r="BF18" s="100">
        <f>+SUM(GP18:GS18)/COUNT(GP18:GS18)</f>
        <v>1437</v>
      </c>
      <c r="BG18" s="100">
        <f t="shared" ref="BG18:BG19" si="298">+SUM(GT18:GW18)/COUNT(GT18:GW18)</f>
        <v>1437</v>
      </c>
      <c r="BH18" s="100">
        <f>+SUM(GX18:HB18)/COUNT(GX18:HB18)</f>
        <v>1435.2</v>
      </c>
      <c r="BI18" s="100">
        <f t="shared" ref="BI18:BI19" si="299">+SUM(HB18:HF18)/COUNT(HB18:HF18)</f>
        <v>1434</v>
      </c>
      <c r="BJ18" s="100">
        <f>+SUM(HG18:HJ18)/COUNT(HG18:HJ18)</f>
        <v>1424.25</v>
      </c>
      <c r="BK18" s="100">
        <f>+SUM(HK18:HN18)/COUNT(HK18:HN18)</f>
        <v>1414.5</v>
      </c>
      <c r="BL18" s="100">
        <f>+SUM(HO18:HR18)/COUNT(HO18:HR18)</f>
        <v>1405.5</v>
      </c>
      <c r="BM18" s="100">
        <f>+SUM(HS18:HV18)/COUNT(HS18:HV18)</f>
        <v>1398</v>
      </c>
      <c r="BN18" s="100">
        <f>+SUM(HW18:IA18)/COUNT(HW18:IA18)</f>
        <v>1398</v>
      </c>
      <c r="BO18" s="100">
        <f>+SUM(IB18:IE18)/COUNT(IB18:IE18)</f>
        <v>1398</v>
      </c>
      <c r="BP18" s="100">
        <f>+SUM(IF18:IJ18)/COUNT(IF18:IJ18)</f>
        <v>1398</v>
      </c>
      <c r="BQ18" s="100">
        <f>+SUM(IK18:IN18)/COUNT(IK18:IN18)</f>
        <v>1279</v>
      </c>
      <c r="BR18" s="100">
        <f>+SUM(IO18:IR18)/COUNT(IO18:IR18)</f>
        <v>1160</v>
      </c>
      <c r="BS18" s="100">
        <f>+SUM(IS18:IW18)/COUNT(IS18:IW18)</f>
        <v>1160</v>
      </c>
      <c r="BT18" s="100">
        <f>+SUM(IX18:JA18)/COUNT(IX18:JA18)</f>
        <v>1160</v>
      </c>
      <c r="BU18" s="100">
        <f>+SUM(JB18:JE18)/COUNT(JB18:JE18)</f>
        <v>1170</v>
      </c>
      <c r="BV18" s="100">
        <f>+SUM(JF18:JJ18)/COUNT(JF18:JJ18)</f>
        <v>1158</v>
      </c>
      <c r="BW18" s="100">
        <v>1150</v>
      </c>
      <c r="BX18" s="100">
        <f t="shared" ref="BX18:BX19" si="300">+SUM(JO18:JR18)/COUNT(JO18:JR18)</f>
        <v>1170</v>
      </c>
      <c r="BY18" s="100">
        <f>+SUM(JS18:JW18)/COUNT(JS18:JW18)</f>
        <v>1314</v>
      </c>
      <c r="BZ18" s="100">
        <f>+SUM(JX18:KA18)/COUNT(JX18:KA18)</f>
        <v>1350</v>
      </c>
      <c r="CA18" s="100">
        <f>+SUM(KB18:KE18)/COUNT(KB18:KE18)</f>
        <v>1355</v>
      </c>
      <c r="CB18" s="100">
        <f>+SUM(KF18:KJ18)/COUNT(KF18:KJ18)</f>
        <v>1350</v>
      </c>
      <c r="CC18" s="61"/>
      <c r="CD18" s="54" t="s">
        <v>41</v>
      </c>
      <c r="CE18" s="55" t="s">
        <v>55</v>
      </c>
      <c r="CF18" s="97" t="s">
        <v>96</v>
      </c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>
        <f>DF19+100</f>
        <v>1624</v>
      </c>
      <c r="DG18" s="56">
        <f t="shared" ref="DG18:EA18" si="301">DG19+100</f>
        <v>1573</v>
      </c>
      <c r="DH18" s="56">
        <f t="shared" si="301"/>
        <v>1573</v>
      </c>
      <c r="DI18" s="56">
        <f t="shared" si="301"/>
        <v>1573</v>
      </c>
      <c r="DJ18" s="56">
        <f t="shared" si="301"/>
        <v>1573</v>
      </c>
      <c r="DK18" s="56">
        <f t="shared" si="301"/>
        <v>1522</v>
      </c>
      <c r="DL18" s="56">
        <f t="shared" si="301"/>
        <v>1522</v>
      </c>
      <c r="DM18" s="56">
        <f t="shared" si="301"/>
        <v>1522</v>
      </c>
      <c r="DN18" s="56">
        <f t="shared" si="301"/>
        <v>1522</v>
      </c>
      <c r="DO18" s="56">
        <f t="shared" si="301"/>
        <v>1522</v>
      </c>
      <c r="DP18" s="56">
        <f t="shared" si="301"/>
        <v>1522</v>
      </c>
      <c r="DQ18" s="56">
        <f t="shared" si="301"/>
        <v>1522</v>
      </c>
      <c r="DR18" s="56">
        <f t="shared" si="301"/>
        <v>1522</v>
      </c>
      <c r="DS18" s="56">
        <f t="shared" si="301"/>
        <v>1522</v>
      </c>
      <c r="DT18" s="56">
        <f t="shared" si="301"/>
        <v>1522</v>
      </c>
      <c r="DU18" s="56">
        <f t="shared" si="301"/>
        <v>1522</v>
      </c>
      <c r="DV18" s="56">
        <f t="shared" si="301"/>
        <v>1522</v>
      </c>
      <c r="DW18" s="56">
        <f t="shared" si="301"/>
        <v>1522</v>
      </c>
      <c r="DX18" s="56">
        <f t="shared" si="301"/>
        <v>1522</v>
      </c>
      <c r="DY18" s="56">
        <f t="shared" si="301"/>
        <v>1522</v>
      </c>
      <c r="DZ18" s="56">
        <f t="shared" si="301"/>
        <v>1522</v>
      </c>
      <c r="EA18" s="56">
        <f t="shared" si="301"/>
        <v>1522</v>
      </c>
      <c r="EB18" s="56">
        <f>EB19+100</f>
        <v>1522</v>
      </c>
      <c r="EC18" s="56">
        <f>EC19+100</f>
        <v>1522</v>
      </c>
      <c r="ED18" s="56">
        <v>1496</v>
      </c>
      <c r="EE18" s="56">
        <v>1496</v>
      </c>
      <c r="EF18" s="56">
        <v>1496</v>
      </c>
      <c r="EG18" s="56">
        <v>1496</v>
      </c>
      <c r="EH18" s="56">
        <v>1496</v>
      </c>
      <c r="EI18" s="56">
        <v>1496</v>
      </c>
      <c r="EJ18" s="56">
        <v>1496</v>
      </c>
      <c r="EK18" s="56">
        <v>1496</v>
      </c>
      <c r="EL18" s="56">
        <v>1496</v>
      </c>
      <c r="EM18" s="56">
        <v>1496</v>
      </c>
      <c r="EN18" s="56">
        <v>1496</v>
      </c>
      <c r="EO18" s="56">
        <v>1496</v>
      </c>
      <c r="EP18" s="100">
        <v>1496</v>
      </c>
      <c r="EQ18" s="100">
        <v>1496</v>
      </c>
      <c r="ER18" s="100">
        <v>1496</v>
      </c>
      <c r="ES18" s="100">
        <v>1496</v>
      </c>
      <c r="ET18" s="100">
        <v>1496</v>
      </c>
      <c r="EU18" s="100">
        <v>1496</v>
      </c>
      <c r="EV18" s="100">
        <v>1496</v>
      </c>
      <c r="EW18" s="100">
        <v>1471</v>
      </c>
      <c r="EX18" s="100">
        <v>1471</v>
      </c>
      <c r="EY18" s="100">
        <v>1471</v>
      </c>
      <c r="EZ18" s="100">
        <v>1471</v>
      </c>
      <c r="FA18" s="100">
        <v>1471</v>
      </c>
      <c r="FB18" s="100">
        <v>1471</v>
      </c>
      <c r="FC18" s="100">
        <v>1471</v>
      </c>
      <c r="FD18" s="100">
        <v>1471</v>
      </c>
      <c r="FE18" s="100">
        <v>1458</v>
      </c>
      <c r="FF18" s="100">
        <v>1458</v>
      </c>
      <c r="FG18" s="100">
        <v>1458</v>
      </c>
      <c r="FH18" s="100">
        <v>1458</v>
      </c>
      <c r="FI18" s="100">
        <v>1422</v>
      </c>
      <c r="FJ18" s="100">
        <v>1422</v>
      </c>
      <c r="FK18" s="100">
        <v>1422</v>
      </c>
      <c r="FL18" s="100">
        <v>1422</v>
      </c>
      <c r="FM18" s="100">
        <v>1422</v>
      </c>
      <c r="FN18" s="100">
        <v>1396</v>
      </c>
      <c r="FO18" s="100">
        <v>1396</v>
      </c>
      <c r="FP18" s="100">
        <v>1396</v>
      </c>
      <c r="FQ18" s="100">
        <v>1396</v>
      </c>
      <c r="FR18" s="100">
        <v>1396</v>
      </c>
      <c r="FS18" s="100">
        <v>1396</v>
      </c>
      <c r="FT18" s="100">
        <v>1406</v>
      </c>
      <c r="FU18" s="100">
        <v>1406</v>
      </c>
      <c r="FV18" s="100">
        <v>1406</v>
      </c>
      <c r="FW18" s="100">
        <v>1406</v>
      </c>
      <c r="FX18" s="100">
        <v>1406</v>
      </c>
      <c r="FY18" s="100">
        <v>1406</v>
      </c>
      <c r="FZ18" s="100">
        <v>1406</v>
      </c>
      <c r="GA18" s="100">
        <v>1406</v>
      </c>
      <c r="GB18" s="100">
        <v>1406</v>
      </c>
      <c r="GC18" s="100">
        <v>1406</v>
      </c>
      <c r="GD18" s="100">
        <v>1396</v>
      </c>
      <c r="GE18" s="100">
        <v>1396</v>
      </c>
      <c r="GF18" s="100">
        <v>1396</v>
      </c>
      <c r="GG18" s="100">
        <v>1396</v>
      </c>
      <c r="GH18" s="100">
        <v>1396</v>
      </c>
      <c r="GI18" s="100">
        <v>1396</v>
      </c>
      <c r="GJ18" s="100">
        <v>1396</v>
      </c>
      <c r="GK18" s="100">
        <v>1416</v>
      </c>
      <c r="GL18" s="100">
        <v>1416</v>
      </c>
      <c r="GM18" s="100">
        <v>1416</v>
      </c>
      <c r="GN18" s="100">
        <v>1416</v>
      </c>
      <c r="GO18" s="100">
        <v>1416</v>
      </c>
      <c r="GP18" s="100">
        <v>1437</v>
      </c>
      <c r="GQ18" s="100">
        <v>1437</v>
      </c>
      <c r="GR18" s="100">
        <v>1437</v>
      </c>
      <c r="GS18" s="100">
        <v>1437</v>
      </c>
      <c r="GT18" s="100">
        <v>1437</v>
      </c>
      <c r="GU18" s="100">
        <v>1437</v>
      </c>
      <c r="GV18" s="100">
        <v>1437</v>
      </c>
      <c r="GW18" s="100">
        <v>1437</v>
      </c>
      <c r="GX18" s="100">
        <v>1437</v>
      </c>
      <c r="GY18" s="100">
        <v>1437</v>
      </c>
      <c r="GZ18" s="100">
        <v>1434</v>
      </c>
      <c r="HA18" s="100">
        <v>1434</v>
      </c>
      <c r="HB18" s="100">
        <v>1434</v>
      </c>
      <c r="HC18" s="100">
        <v>1434</v>
      </c>
      <c r="HD18" s="100">
        <v>1434</v>
      </c>
      <c r="HE18" s="100">
        <v>1434</v>
      </c>
      <c r="HF18" s="100">
        <v>1434</v>
      </c>
      <c r="HG18" s="100">
        <v>1434</v>
      </c>
      <c r="HH18" s="100">
        <v>1421</v>
      </c>
      <c r="HI18" s="100">
        <v>1421</v>
      </c>
      <c r="HJ18" s="100">
        <v>1421</v>
      </c>
      <c r="HK18" s="100">
        <v>1421</v>
      </c>
      <c r="HL18" s="100">
        <v>1421</v>
      </c>
      <c r="HM18" s="100">
        <v>1408</v>
      </c>
      <c r="HN18" s="100">
        <v>1408</v>
      </c>
      <c r="HO18" s="100">
        <v>1408</v>
      </c>
      <c r="HP18" s="100">
        <v>1408</v>
      </c>
      <c r="HQ18" s="100">
        <v>1408</v>
      </c>
      <c r="HR18" s="100">
        <v>1398</v>
      </c>
      <c r="HS18" s="100">
        <v>1398</v>
      </c>
      <c r="HT18" s="100">
        <v>1398</v>
      </c>
      <c r="HU18" s="100">
        <v>1398</v>
      </c>
      <c r="HV18" s="100">
        <v>1398</v>
      </c>
      <c r="HW18" s="100">
        <v>1398</v>
      </c>
      <c r="HX18" s="100">
        <v>1398</v>
      </c>
      <c r="HY18" s="100">
        <v>1398</v>
      </c>
      <c r="HZ18" s="100">
        <v>1398</v>
      </c>
      <c r="IA18" s="100">
        <v>1398</v>
      </c>
      <c r="IB18" s="100">
        <v>1398</v>
      </c>
      <c r="IC18" s="100">
        <v>1398</v>
      </c>
      <c r="ID18" s="100">
        <v>1398</v>
      </c>
      <c r="IE18" s="100">
        <v>1398</v>
      </c>
      <c r="IF18" s="100">
        <v>1398</v>
      </c>
      <c r="IG18" s="100">
        <v>1398</v>
      </c>
      <c r="IH18" s="100">
        <v>1398</v>
      </c>
      <c r="II18" s="100">
        <v>1398</v>
      </c>
      <c r="IJ18" s="100">
        <v>1398</v>
      </c>
      <c r="IK18" s="100">
        <v>1398</v>
      </c>
      <c r="IL18" s="100">
        <v>1398</v>
      </c>
      <c r="IM18" s="100">
        <v>1160</v>
      </c>
      <c r="IN18" s="100">
        <v>1160</v>
      </c>
      <c r="IO18" s="100">
        <v>1160</v>
      </c>
      <c r="IP18" s="100">
        <v>1160</v>
      </c>
      <c r="IQ18" s="100">
        <v>1160</v>
      </c>
      <c r="IR18" s="56">
        <v>1160</v>
      </c>
      <c r="IS18" s="56">
        <v>1160</v>
      </c>
      <c r="IT18" s="56">
        <v>1160</v>
      </c>
      <c r="IU18" s="56">
        <v>1160</v>
      </c>
      <c r="IV18" s="56">
        <v>1160</v>
      </c>
      <c r="IW18" s="56">
        <v>1160</v>
      </c>
      <c r="IX18" s="56">
        <v>1160</v>
      </c>
      <c r="IY18" s="56">
        <v>1160</v>
      </c>
      <c r="IZ18" s="56">
        <v>1160</v>
      </c>
      <c r="JA18" s="56">
        <v>1160</v>
      </c>
      <c r="JB18" s="100">
        <v>1170</v>
      </c>
      <c r="JC18" s="100">
        <v>1170</v>
      </c>
      <c r="JD18" s="100">
        <v>1170</v>
      </c>
      <c r="JE18" s="100">
        <v>1170</v>
      </c>
      <c r="JF18" s="100">
        <v>1170</v>
      </c>
      <c r="JG18" s="100">
        <v>1170</v>
      </c>
      <c r="JH18" s="100">
        <v>1150</v>
      </c>
      <c r="JI18" s="100">
        <v>1150</v>
      </c>
      <c r="JJ18" s="100">
        <v>1150</v>
      </c>
      <c r="JK18" s="100">
        <v>1150</v>
      </c>
      <c r="JL18" s="100">
        <v>1150</v>
      </c>
      <c r="JM18" s="100">
        <v>1150</v>
      </c>
      <c r="JN18" s="100">
        <v>1150</v>
      </c>
      <c r="JO18" s="100">
        <v>1170</v>
      </c>
      <c r="JP18" s="100">
        <v>1170</v>
      </c>
      <c r="JQ18" s="100">
        <v>1170</v>
      </c>
      <c r="JR18" s="100">
        <v>1170</v>
      </c>
      <c r="JS18" s="100">
        <v>1170</v>
      </c>
      <c r="JT18" s="100">
        <v>1350</v>
      </c>
      <c r="JU18" s="100">
        <v>1350</v>
      </c>
      <c r="JV18" s="100">
        <v>1350</v>
      </c>
      <c r="JW18" s="100">
        <v>1350</v>
      </c>
      <c r="JX18" s="56">
        <v>1350</v>
      </c>
      <c r="JY18" s="56">
        <v>1350</v>
      </c>
      <c r="JZ18" s="56">
        <v>1350</v>
      </c>
      <c r="KA18" s="100">
        <v>1350</v>
      </c>
      <c r="KB18" s="100">
        <v>1360</v>
      </c>
      <c r="KC18" s="100">
        <v>1360</v>
      </c>
      <c r="KD18" s="100">
        <v>1350</v>
      </c>
      <c r="KE18" s="100">
        <v>1350</v>
      </c>
      <c r="KF18" s="100">
        <v>1350</v>
      </c>
      <c r="KG18" s="100">
        <v>1350</v>
      </c>
      <c r="KH18" s="100"/>
      <c r="KI18" s="100"/>
      <c r="KJ18" s="100"/>
    </row>
    <row r="19" spans="1:296" s="65" customFormat="1" ht="14">
      <c r="A19" s="54"/>
      <c r="B19" s="55"/>
      <c r="C19" s="55"/>
      <c r="D19" s="54" t="s">
        <v>41</v>
      </c>
      <c r="E19" s="55" t="s">
        <v>55</v>
      </c>
      <c r="F19" s="55" t="s">
        <v>98</v>
      </c>
      <c r="G19" s="56" t="s">
        <v>24</v>
      </c>
      <c r="H19" s="97" t="s">
        <v>56</v>
      </c>
      <c r="I19" s="56">
        <f>I15-100</f>
        <v>1370</v>
      </c>
      <c r="J19" s="56">
        <f t="shared" ref="J19:T19" si="302">J15-100</f>
        <v>1380</v>
      </c>
      <c r="K19" s="56">
        <f t="shared" si="302"/>
        <v>1380</v>
      </c>
      <c r="L19" s="56">
        <f t="shared" si="302"/>
        <v>1495</v>
      </c>
      <c r="M19" s="56">
        <f t="shared" si="302"/>
        <v>1495</v>
      </c>
      <c r="N19" s="56">
        <f t="shared" si="302"/>
        <v>1495</v>
      </c>
      <c r="O19" s="56">
        <f t="shared" si="302"/>
        <v>1495</v>
      </c>
      <c r="P19" s="56">
        <f t="shared" si="302"/>
        <v>1495</v>
      </c>
      <c r="Q19" s="56">
        <f t="shared" si="302"/>
        <v>1495</v>
      </c>
      <c r="R19" s="56">
        <f t="shared" si="302"/>
        <v>1495</v>
      </c>
      <c r="S19" s="56">
        <f t="shared" si="302"/>
        <v>1495</v>
      </c>
      <c r="T19" s="56">
        <f t="shared" si="302"/>
        <v>1560</v>
      </c>
      <c r="U19" s="56">
        <f>U18-100</f>
        <v>1475</v>
      </c>
      <c r="V19" s="56">
        <f t="shared" ref="V19:AJ19" si="303">V18-100</f>
        <v>1475</v>
      </c>
      <c r="W19" s="56">
        <f t="shared" si="303"/>
        <v>1475</v>
      </c>
      <c r="X19" s="56">
        <f t="shared" si="303"/>
        <v>1475</v>
      </c>
      <c r="Y19" s="56">
        <f t="shared" si="303"/>
        <v>1460</v>
      </c>
      <c r="Z19" s="56">
        <f t="shared" si="303"/>
        <v>1555</v>
      </c>
      <c r="AA19" s="56">
        <f t="shared" si="303"/>
        <v>1555</v>
      </c>
      <c r="AB19" s="56">
        <f t="shared" si="303"/>
        <v>1555</v>
      </c>
      <c r="AC19" s="56">
        <f t="shared" si="303"/>
        <v>1545</v>
      </c>
      <c r="AD19" s="56">
        <f t="shared" si="303"/>
        <v>1545</v>
      </c>
      <c r="AE19" s="56">
        <f t="shared" si="303"/>
        <v>1555</v>
      </c>
      <c r="AF19" s="56">
        <f t="shared" si="303"/>
        <v>1524</v>
      </c>
      <c r="AG19" s="56">
        <f t="shared" si="303"/>
        <v>1524</v>
      </c>
      <c r="AH19" s="56">
        <f t="shared" si="303"/>
        <v>1524</v>
      </c>
      <c r="AI19" s="56">
        <f t="shared" si="303"/>
        <v>1524</v>
      </c>
      <c r="AJ19" s="56">
        <f t="shared" si="303"/>
        <v>1524</v>
      </c>
      <c r="AK19" s="56">
        <f>+SUM(DE19:DI19)/5</f>
        <v>1493.4</v>
      </c>
      <c r="AL19" s="56">
        <f>+SUM(DJ19:DM19)/4</f>
        <v>1434.75</v>
      </c>
      <c r="AM19" s="56">
        <f>+SUM(DN19:DQ19)/4</f>
        <v>1422</v>
      </c>
      <c r="AN19" s="56">
        <f>+SUM(DR19:DU19)/COUNT(DR19:DU19)</f>
        <v>1422</v>
      </c>
      <c r="AO19" s="56">
        <f>+SUM(DV19:DY19)/COUNT(DV19:DY19)</f>
        <v>1422</v>
      </c>
      <c r="AP19" s="56">
        <f>+SUM(DZ19:ED19)/COUNT(DZ19:ED19)</f>
        <v>1416.8</v>
      </c>
      <c r="AQ19" s="56">
        <f>+SUM(EE19:EH19)/COUNT(EE19:EH19)</f>
        <v>1396</v>
      </c>
      <c r="AR19" s="56">
        <f>+SUM(EI19:EL19)/COUNT(EI19:EL19)</f>
        <v>1396</v>
      </c>
      <c r="AS19" s="56">
        <f>+SUM(EM19:EQ19)/COUNT(EM19:EQ19)</f>
        <v>1396</v>
      </c>
      <c r="AT19" s="56">
        <f>+SUM(ER19:EU19)/COUNT(ER19:EU19)</f>
        <v>1396</v>
      </c>
      <c r="AU19" s="56">
        <f>+SUM(EV19:EY19)/COUNT(EV19:EY19)</f>
        <v>1377.25</v>
      </c>
      <c r="AV19" s="100">
        <f t="shared" si="289"/>
        <v>1371</v>
      </c>
      <c r="AW19" s="100">
        <f t="shared" si="290"/>
        <v>1360.6</v>
      </c>
      <c r="AX19" s="100">
        <f t="shared" si="295"/>
        <v>1322</v>
      </c>
      <c r="AY19" s="100">
        <f t="shared" si="291"/>
        <v>1304.6666666666667</v>
      </c>
      <c r="AZ19" s="100">
        <f t="shared" si="292"/>
        <v>1296</v>
      </c>
      <c r="BA19" s="100">
        <f t="shared" si="293"/>
        <v>1306</v>
      </c>
      <c r="BB19" s="100">
        <f t="shared" si="294"/>
        <v>1306</v>
      </c>
      <c r="BC19" s="100">
        <f t="shared" si="296"/>
        <v>1298.5</v>
      </c>
      <c r="BD19" s="100">
        <f t="shared" si="297"/>
        <v>1296</v>
      </c>
      <c r="BE19" s="100">
        <f t="shared" ref="BE19:BE22" si="304">+SUM(GK19:GO19)/COUNT(GK19:GO19)</f>
        <v>1316</v>
      </c>
      <c r="BF19" s="100">
        <f t="shared" ref="BF19:BF22" si="305">+SUM(GP19:GS19)/COUNT(GP19:GS19)</f>
        <v>1337</v>
      </c>
      <c r="BG19" s="100">
        <f t="shared" si="298"/>
        <v>1337</v>
      </c>
      <c r="BH19" s="100">
        <f t="shared" ref="BH19:BH22" si="306">+SUM(GX19:HB19)/COUNT(GX19:HB19)</f>
        <v>1335.2</v>
      </c>
      <c r="BI19" s="100">
        <f t="shared" si="299"/>
        <v>1334</v>
      </c>
      <c r="BJ19" s="100">
        <f t="shared" ref="BJ19:BJ22" si="307">+SUM(HG19:HJ19)/COUNT(HG19:HJ19)</f>
        <v>1324.25</v>
      </c>
      <c r="BK19" s="100">
        <f t="shared" ref="BK19:BK22" si="308">+SUM(HK19:HN19)/COUNT(HK19:HN19)</f>
        <v>1314.5</v>
      </c>
      <c r="BL19" s="100">
        <f t="shared" ref="BL19:BL22" si="309">+SUM(HO19:HR19)/COUNT(HO19:HR19)</f>
        <v>1305.5</v>
      </c>
      <c r="BM19" s="100">
        <f t="shared" ref="BM19:BM22" si="310">+SUM(HS19:HV19)/COUNT(HS19:HV19)</f>
        <v>1298</v>
      </c>
      <c r="BN19" s="100">
        <f t="shared" ref="BN19:BN22" si="311">+SUM(HW19:IA19)/COUNT(HW19:IA19)</f>
        <v>1298</v>
      </c>
      <c r="BO19" s="100">
        <f t="shared" ref="BO19:BO22" si="312">+SUM(IB19:IE19)/COUNT(IB19:IE19)</f>
        <v>1298</v>
      </c>
      <c r="BP19" s="100">
        <f t="shared" ref="BP19:BP22" si="313">+SUM(IF19:IJ19)/COUNT(IF19:IJ19)</f>
        <v>1298</v>
      </c>
      <c r="BQ19" s="100">
        <f t="shared" ref="BQ19:BQ22" si="314">+SUM(IK19:IN19)/COUNT(IK19:IN19)</f>
        <v>1179</v>
      </c>
      <c r="BR19" s="100">
        <f t="shared" ref="BR19:BR22" si="315">+SUM(IO19:IR19)/COUNT(IO19:IR19)</f>
        <v>1060</v>
      </c>
      <c r="BS19" s="100">
        <f t="shared" ref="BS19:BS22" si="316">+SUM(IS19:IW19)/COUNT(IS19:IW19)</f>
        <v>1060</v>
      </c>
      <c r="BT19" s="100">
        <f t="shared" ref="BT19:BT22" si="317">+SUM(IX19:JA19)/COUNT(IX19:JA19)</f>
        <v>1060</v>
      </c>
      <c r="BU19" s="100">
        <f t="shared" ref="BU19:BU22" si="318">+SUM(JB19:JE19)/COUNT(JB19:JE19)</f>
        <v>1070</v>
      </c>
      <c r="BV19" s="100">
        <f t="shared" ref="BV19:BV22" si="319">+SUM(JF19:JJ19)/COUNT(JF19:JJ19)</f>
        <v>1058</v>
      </c>
      <c r="BW19" s="100">
        <v>1050</v>
      </c>
      <c r="BX19" s="100">
        <f t="shared" si="300"/>
        <v>1070</v>
      </c>
      <c r="BY19" s="100">
        <f t="shared" ref="BY19:BY22" si="320">+SUM(JS19:JW19)/COUNT(JS19:JW19)</f>
        <v>1214</v>
      </c>
      <c r="BZ19" s="100">
        <f t="shared" ref="BZ19:BZ22" si="321">+SUM(JX19:KA19)/COUNT(JX19:KA19)</f>
        <v>1250</v>
      </c>
      <c r="CA19" s="100">
        <f t="shared" ref="CA19:CB22" si="322">+SUM(KB19:KE19)/COUNT(KB19:KE19)</f>
        <v>1255</v>
      </c>
      <c r="CB19" s="100">
        <f>CB18-100</f>
        <v>1250</v>
      </c>
      <c r="CC19" s="153"/>
      <c r="CD19" s="54" t="s">
        <v>41</v>
      </c>
      <c r="CE19" s="55" t="s">
        <v>55</v>
      </c>
      <c r="CF19" s="55" t="s">
        <v>98</v>
      </c>
      <c r="CG19" s="56">
        <v>1655</v>
      </c>
      <c r="CH19" s="56">
        <v>1655</v>
      </c>
      <c r="CI19" s="56">
        <v>1655</v>
      </c>
      <c r="CJ19" s="56">
        <v>1655</v>
      </c>
      <c r="CK19" s="56">
        <v>1655</v>
      </c>
      <c r="CL19" s="56">
        <v>1655</v>
      </c>
      <c r="CM19" s="56">
        <v>1655</v>
      </c>
      <c r="CN19" s="56">
        <v>1655</v>
      </c>
      <c r="CO19" s="56">
        <v>1645</v>
      </c>
      <c r="CP19" s="56">
        <v>1645</v>
      </c>
      <c r="CQ19" s="56">
        <v>1645</v>
      </c>
      <c r="CR19" s="56">
        <v>1645</v>
      </c>
      <c r="CS19" s="56">
        <v>1655</v>
      </c>
      <c r="CT19" s="56">
        <v>1655</v>
      </c>
      <c r="CU19" s="56">
        <v>1655</v>
      </c>
      <c r="CV19" s="56">
        <v>1655</v>
      </c>
      <c r="CW19" s="56">
        <v>1624</v>
      </c>
      <c r="CX19" s="56">
        <v>1624</v>
      </c>
      <c r="CY19" s="56">
        <v>1624</v>
      </c>
      <c r="CZ19" s="56">
        <v>1624</v>
      </c>
      <c r="DA19" s="56">
        <v>1624</v>
      </c>
      <c r="DB19" s="56">
        <f>1624-100</f>
        <v>1524</v>
      </c>
      <c r="DC19" s="56">
        <f>1624-100</f>
        <v>1524</v>
      </c>
      <c r="DD19" s="56">
        <f>1624-100</f>
        <v>1524</v>
      </c>
      <c r="DE19" s="56">
        <f>1624-100</f>
        <v>1524</v>
      </c>
      <c r="DF19" s="56">
        <f>1624-100</f>
        <v>1524</v>
      </c>
      <c r="DG19" s="56">
        <f>1573-100</f>
        <v>1473</v>
      </c>
      <c r="DH19" s="56">
        <f>1573-100</f>
        <v>1473</v>
      </c>
      <c r="DI19" s="56">
        <f>1573-100</f>
        <v>1473</v>
      </c>
      <c r="DJ19" s="56">
        <f>1573-100</f>
        <v>1473</v>
      </c>
      <c r="DK19" s="56">
        <f t="shared" ref="DK19:EA19" si="323">1522-100</f>
        <v>1422</v>
      </c>
      <c r="DL19" s="56">
        <f t="shared" si="323"/>
        <v>1422</v>
      </c>
      <c r="DM19" s="56">
        <f t="shared" si="323"/>
        <v>1422</v>
      </c>
      <c r="DN19" s="56">
        <f t="shared" si="323"/>
        <v>1422</v>
      </c>
      <c r="DO19" s="56">
        <f t="shared" si="323"/>
        <v>1422</v>
      </c>
      <c r="DP19" s="56">
        <f t="shared" si="323"/>
        <v>1422</v>
      </c>
      <c r="DQ19" s="56">
        <f t="shared" si="323"/>
        <v>1422</v>
      </c>
      <c r="DR19" s="56">
        <f t="shared" si="323"/>
        <v>1422</v>
      </c>
      <c r="DS19" s="56">
        <f t="shared" si="323"/>
        <v>1422</v>
      </c>
      <c r="DT19" s="56">
        <f t="shared" si="323"/>
        <v>1422</v>
      </c>
      <c r="DU19" s="56">
        <f t="shared" si="323"/>
        <v>1422</v>
      </c>
      <c r="DV19" s="56">
        <f t="shared" si="323"/>
        <v>1422</v>
      </c>
      <c r="DW19" s="56">
        <f t="shared" si="323"/>
        <v>1422</v>
      </c>
      <c r="DX19" s="56">
        <f t="shared" si="323"/>
        <v>1422</v>
      </c>
      <c r="DY19" s="56">
        <f t="shared" si="323"/>
        <v>1422</v>
      </c>
      <c r="DZ19" s="56">
        <f t="shared" si="323"/>
        <v>1422</v>
      </c>
      <c r="EA19" s="56">
        <f t="shared" si="323"/>
        <v>1422</v>
      </c>
      <c r="EB19" s="56">
        <f>1522-100</f>
        <v>1422</v>
      </c>
      <c r="EC19" s="56">
        <f>1522-100</f>
        <v>1422</v>
      </c>
      <c r="ED19" s="56">
        <v>1396</v>
      </c>
      <c r="EE19" s="56">
        <v>1396</v>
      </c>
      <c r="EF19" s="56">
        <v>1396</v>
      </c>
      <c r="EG19" s="56">
        <v>1396</v>
      </c>
      <c r="EH19" s="56">
        <f t="shared" ref="EH19:EM19" si="324">EH18-100</f>
        <v>1396</v>
      </c>
      <c r="EI19" s="56">
        <f t="shared" si="324"/>
        <v>1396</v>
      </c>
      <c r="EJ19" s="56">
        <f t="shared" si="324"/>
        <v>1396</v>
      </c>
      <c r="EK19" s="56">
        <f t="shared" si="324"/>
        <v>1396</v>
      </c>
      <c r="EL19" s="56">
        <f t="shared" si="324"/>
        <v>1396</v>
      </c>
      <c r="EM19" s="56">
        <f t="shared" si="324"/>
        <v>1396</v>
      </c>
      <c r="EN19" s="56">
        <f>EN18-100</f>
        <v>1396</v>
      </c>
      <c r="EO19" s="56">
        <f>EO18-100</f>
        <v>1396</v>
      </c>
      <c r="EP19" s="100">
        <f t="shared" ref="EP19:EU19" si="325">EP18-100</f>
        <v>1396</v>
      </c>
      <c r="EQ19" s="100">
        <f t="shared" si="325"/>
        <v>1396</v>
      </c>
      <c r="ER19" s="100">
        <f t="shared" si="325"/>
        <v>1396</v>
      </c>
      <c r="ES19" s="100">
        <f t="shared" si="325"/>
        <v>1396</v>
      </c>
      <c r="ET19" s="100">
        <f t="shared" si="325"/>
        <v>1396</v>
      </c>
      <c r="EU19" s="100">
        <f t="shared" si="325"/>
        <v>1396</v>
      </c>
      <c r="EV19" s="100">
        <f t="shared" ref="EV19:FB19" si="326">EV18-100</f>
        <v>1396</v>
      </c>
      <c r="EW19" s="100">
        <f t="shared" si="326"/>
        <v>1371</v>
      </c>
      <c r="EX19" s="100">
        <f t="shared" si="326"/>
        <v>1371</v>
      </c>
      <c r="EY19" s="100">
        <f t="shared" si="326"/>
        <v>1371</v>
      </c>
      <c r="EZ19" s="100">
        <f t="shared" si="326"/>
        <v>1371</v>
      </c>
      <c r="FA19" s="100">
        <f t="shared" si="326"/>
        <v>1371</v>
      </c>
      <c r="FB19" s="100">
        <f t="shared" si="326"/>
        <v>1371</v>
      </c>
      <c r="FC19" s="100">
        <f t="shared" ref="FC19:FD19" si="327">FC18-100</f>
        <v>1371</v>
      </c>
      <c r="FD19" s="100">
        <f t="shared" si="327"/>
        <v>1371</v>
      </c>
      <c r="FE19" s="100">
        <f t="shared" ref="FE19:FF19" si="328">FE18-100</f>
        <v>1358</v>
      </c>
      <c r="FF19" s="100">
        <f t="shared" si="328"/>
        <v>1358</v>
      </c>
      <c r="FG19" s="100">
        <f t="shared" ref="FG19:FH19" si="329">FG18-100</f>
        <v>1358</v>
      </c>
      <c r="FH19" s="100">
        <f t="shared" si="329"/>
        <v>1358</v>
      </c>
      <c r="FI19" s="100">
        <f t="shared" ref="FI19:FJ19" si="330">FI18-100</f>
        <v>1322</v>
      </c>
      <c r="FJ19" s="100">
        <f t="shared" si="330"/>
        <v>1322</v>
      </c>
      <c r="FK19" s="100">
        <f t="shared" ref="FK19:FL19" si="331">FK18-100</f>
        <v>1322</v>
      </c>
      <c r="FL19" s="100">
        <f t="shared" si="331"/>
        <v>1322</v>
      </c>
      <c r="FM19" s="100">
        <f t="shared" ref="FM19:FN19" si="332">FM18-100</f>
        <v>1322</v>
      </c>
      <c r="FN19" s="100">
        <f t="shared" si="332"/>
        <v>1296</v>
      </c>
      <c r="FO19" s="100">
        <f t="shared" ref="FO19:FP19" si="333">FO18-100</f>
        <v>1296</v>
      </c>
      <c r="FP19" s="100">
        <f t="shared" si="333"/>
        <v>1296</v>
      </c>
      <c r="FQ19" s="100">
        <f t="shared" ref="FQ19:FR19" si="334">FQ18-100</f>
        <v>1296</v>
      </c>
      <c r="FR19" s="100">
        <f t="shared" si="334"/>
        <v>1296</v>
      </c>
      <c r="FS19" s="100">
        <f t="shared" ref="FS19:FT19" si="335">FS18-100</f>
        <v>1296</v>
      </c>
      <c r="FT19" s="100">
        <f t="shared" si="335"/>
        <v>1306</v>
      </c>
      <c r="FU19" s="100">
        <f t="shared" ref="FU19:FW19" si="336">FU18-100</f>
        <v>1306</v>
      </c>
      <c r="FV19" s="100">
        <f t="shared" si="336"/>
        <v>1306</v>
      </c>
      <c r="FW19" s="100">
        <f t="shared" si="336"/>
        <v>1306</v>
      </c>
      <c r="FX19" s="100">
        <f t="shared" ref="FX19:FY19" si="337">FX18-100</f>
        <v>1306</v>
      </c>
      <c r="FY19" s="100">
        <f t="shared" si="337"/>
        <v>1306</v>
      </c>
      <c r="FZ19" s="100">
        <f t="shared" ref="FZ19:GA19" si="338">FZ18-100</f>
        <v>1306</v>
      </c>
      <c r="GA19" s="100">
        <f t="shared" si="338"/>
        <v>1306</v>
      </c>
      <c r="GB19" s="100">
        <f t="shared" ref="GB19:GC19" si="339">GB18-100</f>
        <v>1306</v>
      </c>
      <c r="GC19" s="100">
        <f t="shared" si="339"/>
        <v>1306</v>
      </c>
      <c r="GD19" s="100">
        <f t="shared" ref="GD19:GE19" si="340">GD18-100</f>
        <v>1296</v>
      </c>
      <c r="GE19" s="100">
        <f t="shared" si="340"/>
        <v>1296</v>
      </c>
      <c r="GF19" s="100">
        <f t="shared" ref="GF19:GI19" si="341">GF18-100</f>
        <v>1296</v>
      </c>
      <c r="GG19" s="100">
        <f t="shared" si="341"/>
        <v>1296</v>
      </c>
      <c r="GH19" s="100">
        <f t="shared" si="341"/>
        <v>1296</v>
      </c>
      <c r="GI19" s="100">
        <f t="shared" si="341"/>
        <v>1296</v>
      </c>
      <c r="GJ19" s="100">
        <f t="shared" ref="GJ19:GK19" si="342">GJ18-100</f>
        <v>1296</v>
      </c>
      <c r="GK19" s="100">
        <f t="shared" si="342"/>
        <v>1316</v>
      </c>
      <c r="GL19" s="100">
        <f t="shared" ref="GL19:GM19" si="343">GL18-100</f>
        <v>1316</v>
      </c>
      <c r="GM19" s="100">
        <f t="shared" si="343"/>
        <v>1316</v>
      </c>
      <c r="GN19" s="100">
        <f t="shared" ref="GN19:GO19" si="344">GN18-100</f>
        <v>1316</v>
      </c>
      <c r="GO19" s="100">
        <f t="shared" si="344"/>
        <v>1316</v>
      </c>
      <c r="GP19" s="100">
        <f t="shared" ref="GP19:GQ19" si="345">GP18-100</f>
        <v>1337</v>
      </c>
      <c r="GQ19" s="100">
        <f t="shared" si="345"/>
        <v>1337</v>
      </c>
      <c r="GR19" s="100">
        <f t="shared" ref="GR19:GS19" si="346">GR18-100</f>
        <v>1337</v>
      </c>
      <c r="GS19" s="100">
        <f t="shared" si="346"/>
        <v>1337</v>
      </c>
      <c r="GT19" s="100">
        <f t="shared" ref="GT19:GU19" si="347">GT18-100</f>
        <v>1337</v>
      </c>
      <c r="GU19" s="100">
        <f t="shared" si="347"/>
        <v>1337</v>
      </c>
      <c r="GV19" s="100">
        <f t="shared" ref="GV19:GW19" si="348">GV18-100</f>
        <v>1337</v>
      </c>
      <c r="GW19" s="100">
        <f t="shared" si="348"/>
        <v>1337</v>
      </c>
      <c r="GX19" s="100">
        <f t="shared" ref="GX19:HB19" si="349">GX18-100</f>
        <v>1337</v>
      </c>
      <c r="GY19" s="100">
        <f t="shared" si="349"/>
        <v>1337</v>
      </c>
      <c r="GZ19" s="100">
        <f t="shared" si="349"/>
        <v>1334</v>
      </c>
      <c r="HA19" s="100">
        <f t="shared" si="349"/>
        <v>1334</v>
      </c>
      <c r="HB19" s="100">
        <f t="shared" si="349"/>
        <v>1334</v>
      </c>
      <c r="HC19" s="100">
        <f t="shared" ref="HC19:HF19" si="350">HC18-100</f>
        <v>1334</v>
      </c>
      <c r="HD19" s="100">
        <f t="shared" si="350"/>
        <v>1334</v>
      </c>
      <c r="HE19" s="100">
        <f t="shared" si="350"/>
        <v>1334</v>
      </c>
      <c r="HF19" s="100">
        <f t="shared" si="350"/>
        <v>1334</v>
      </c>
      <c r="HG19" s="100">
        <f t="shared" ref="HG19:HH19" si="351">HG18-100</f>
        <v>1334</v>
      </c>
      <c r="HH19" s="100">
        <f t="shared" si="351"/>
        <v>1321</v>
      </c>
      <c r="HI19" s="100">
        <f t="shared" ref="HI19:HJ19" si="352">HI18-100</f>
        <v>1321</v>
      </c>
      <c r="HJ19" s="100">
        <f t="shared" si="352"/>
        <v>1321</v>
      </c>
      <c r="HK19" s="100">
        <f t="shared" ref="HK19:HL19" si="353">HK18-100</f>
        <v>1321</v>
      </c>
      <c r="HL19" s="100">
        <f t="shared" si="353"/>
        <v>1321</v>
      </c>
      <c r="HM19" s="100">
        <f t="shared" ref="HM19:HN19" si="354">HM18-100</f>
        <v>1308</v>
      </c>
      <c r="HN19" s="100">
        <f t="shared" si="354"/>
        <v>1308</v>
      </c>
      <c r="HO19" s="100">
        <f t="shared" ref="HO19:HP19" si="355">HO18-100</f>
        <v>1308</v>
      </c>
      <c r="HP19" s="100">
        <f t="shared" si="355"/>
        <v>1308</v>
      </c>
      <c r="HQ19" s="100">
        <f t="shared" ref="HQ19:HR19" si="356">HQ18-100</f>
        <v>1308</v>
      </c>
      <c r="HR19" s="100">
        <f t="shared" si="356"/>
        <v>1298</v>
      </c>
      <c r="HS19" s="100">
        <f t="shared" ref="HS19:HT19" si="357">HS18-100</f>
        <v>1298</v>
      </c>
      <c r="HT19" s="100">
        <f t="shared" si="357"/>
        <v>1298</v>
      </c>
      <c r="HU19" s="100">
        <f t="shared" ref="HU19:HW19" si="358">HU18-100</f>
        <v>1298</v>
      </c>
      <c r="HV19" s="100">
        <f t="shared" si="358"/>
        <v>1298</v>
      </c>
      <c r="HW19" s="100">
        <f t="shared" si="358"/>
        <v>1298</v>
      </c>
      <c r="HX19" s="100">
        <f t="shared" ref="HX19:HY19" si="359">HX18-100</f>
        <v>1298</v>
      </c>
      <c r="HY19" s="100">
        <f t="shared" si="359"/>
        <v>1298</v>
      </c>
      <c r="HZ19" s="100">
        <f t="shared" ref="HZ19:IA19" si="360">HZ18-100</f>
        <v>1298</v>
      </c>
      <c r="IA19" s="100">
        <f t="shared" si="360"/>
        <v>1298</v>
      </c>
      <c r="IB19" s="100">
        <f t="shared" ref="IB19:IC19" si="361">IB18-100</f>
        <v>1298</v>
      </c>
      <c r="IC19" s="100">
        <f t="shared" si="361"/>
        <v>1298</v>
      </c>
      <c r="ID19" s="100">
        <f t="shared" ref="ID19:IE19" si="362">ID18-100</f>
        <v>1298</v>
      </c>
      <c r="IE19" s="100">
        <f t="shared" si="362"/>
        <v>1298</v>
      </c>
      <c r="IF19" s="100">
        <f t="shared" ref="IF19:IG19" si="363">IF18-100</f>
        <v>1298</v>
      </c>
      <c r="IG19" s="100">
        <f t="shared" si="363"/>
        <v>1298</v>
      </c>
      <c r="IH19" s="100">
        <f t="shared" ref="IH19:II19" si="364">IH18-100</f>
        <v>1298</v>
      </c>
      <c r="II19" s="100">
        <f t="shared" si="364"/>
        <v>1298</v>
      </c>
      <c r="IJ19" s="100">
        <f t="shared" ref="IJ19" si="365">IJ18-100</f>
        <v>1298</v>
      </c>
      <c r="IK19" s="100">
        <f t="shared" ref="IK19:IN19" si="366">IK18-100</f>
        <v>1298</v>
      </c>
      <c r="IL19" s="100">
        <f t="shared" si="366"/>
        <v>1298</v>
      </c>
      <c r="IM19" s="100">
        <f t="shared" si="366"/>
        <v>1060</v>
      </c>
      <c r="IN19" s="100">
        <f t="shared" si="366"/>
        <v>1060</v>
      </c>
      <c r="IO19" s="100">
        <f t="shared" ref="IO19:IP19" si="367">IO18-100</f>
        <v>1060</v>
      </c>
      <c r="IP19" s="100">
        <f t="shared" si="367"/>
        <v>1060</v>
      </c>
      <c r="IQ19" s="100">
        <f t="shared" ref="IQ19" si="368">IQ18-100</f>
        <v>1060</v>
      </c>
      <c r="IR19" s="56">
        <f t="shared" ref="IR19:IS19" si="369">IR18-100</f>
        <v>1060</v>
      </c>
      <c r="IS19" s="56">
        <f t="shared" si="369"/>
        <v>1060</v>
      </c>
      <c r="IT19" s="56">
        <f t="shared" ref="IT19:IU19" si="370">IT18-100</f>
        <v>1060</v>
      </c>
      <c r="IU19" s="56">
        <f t="shared" si="370"/>
        <v>1060</v>
      </c>
      <c r="IV19" s="56">
        <f t="shared" ref="IV19:IW19" si="371">IV18-100</f>
        <v>1060</v>
      </c>
      <c r="IW19" s="56">
        <f t="shared" si="371"/>
        <v>1060</v>
      </c>
      <c r="IX19" s="56">
        <f t="shared" ref="IX19:IY19" si="372">IX18-100</f>
        <v>1060</v>
      </c>
      <c r="IY19" s="56">
        <f t="shared" si="372"/>
        <v>1060</v>
      </c>
      <c r="IZ19" s="56">
        <f t="shared" ref="IZ19:JB19" si="373">IZ18-100</f>
        <v>1060</v>
      </c>
      <c r="JA19" s="56">
        <f t="shared" si="373"/>
        <v>1060</v>
      </c>
      <c r="JB19" s="56">
        <f t="shared" si="373"/>
        <v>1070</v>
      </c>
      <c r="JC19" s="56">
        <f t="shared" ref="JC19:JD19" si="374">JC18-100</f>
        <v>1070</v>
      </c>
      <c r="JD19" s="56">
        <f t="shared" si="374"/>
        <v>1070</v>
      </c>
      <c r="JE19" s="56">
        <f t="shared" ref="JE19" si="375">JE18-100</f>
        <v>1070</v>
      </c>
      <c r="JF19" s="56">
        <f t="shared" ref="JF19:JH19" si="376">JF18-100</f>
        <v>1070</v>
      </c>
      <c r="JG19" s="56">
        <f t="shared" si="376"/>
        <v>1070</v>
      </c>
      <c r="JH19" s="56">
        <f t="shared" si="376"/>
        <v>1050</v>
      </c>
      <c r="JI19" s="56">
        <f t="shared" ref="JI19:JN19" si="377">JI18-100</f>
        <v>1050</v>
      </c>
      <c r="JJ19" s="56">
        <f t="shared" si="377"/>
        <v>1050</v>
      </c>
      <c r="JK19" s="56">
        <f t="shared" si="377"/>
        <v>1050</v>
      </c>
      <c r="JL19" s="56">
        <f t="shared" si="377"/>
        <v>1050</v>
      </c>
      <c r="JM19" s="56">
        <f t="shared" si="377"/>
        <v>1050</v>
      </c>
      <c r="JN19" s="56">
        <f t="shared" si="377"/>
        <v>1050</v>
      </c>
      <c r="JO19" s="56">
        <f t="shared" ref="JO19:JP19" si="378">JO18-100</f>
        <v>1070</v>
      </c>
      <c r="JP19" s="56">
        <f t="shared" si="378"/>
        <v>1070</v>
      </c>
      <c r="JQ19" s="56">
        <f t="shared" ref="JQ19:JR19" si="379">JQ18-100</f>
        <v>1070</v>
      </c>
      <c r="JR19" s="56">
        <f t="shared" si="379"/>
        <v>1070</v>
      </c>
      <c r="JS19" s="56">
        <f t="shared" ref="JS19:JT19" si="380">JS18-100</f>
        <v>1070</v>
      </c>
      <c r="JT19" s="56">
        <f t="shared" si="380"/>
        <v>1250</v>
      </c>
      <c r="JU19" s="56">
        <f t="shared" ref="JU19:JV19" si="381">JU18-100</f>
        <v>1250</v>
      </c>
      <c r="JV19" s="56">
        <f t="shared" si="381"/>
        <v>1250</v>
      </c>
      <c r="JW19" s="56">
        <f t="shared" ref="JW19:JX19" si="382">JW18-100</f>
        <v>1250</v>
      </c>
      <c r="JX19" s="56">
        <f t="shared" si="382"/>
        <v>1250</v>
      </c>
      <c r="JY19" s="56">
        <f t="shared" ref="JY19:JZ19" si="383">JY18-100</f>
        <v>1250</v>
      </c>
      <c r="JZ19" s="56">
        <f t="shared" si="383"/>
        <v>1250</v>
      </c>
      <c r="KA19" s="56">
        <f t="shared" ref="KA19:KB19" si="384">KA18-100</f>
        <v>1250</v>
      </c>
      <c r="KB19" s="56">
        <f t="shared" si="384"/>
        <v>1260</v>
      </c>
      <c r="KC19" s="56">
        <f t="shared" ref="KC19" si="385">KC18-100</f>
        <v>1260</v>
      </c>
      <c r="KD19" s="56">
        <f>KD18-100</f>
        <v>1250</v>
      </c>
      <c r="KE19" s="56">
        <f>KE18-100</f>
        <v>1250</v>
      </c>
      <c r="KF19" s="56">
        <f>KF18-100</f>
        <v>1250</v>
      </c>
      <c r="KG19" s="56">
        <f>KG18-100</f>
        <v>1250</v>
      </c>
      <c r="KH19" s="56"/>
      <c r="KI19" s="56"/>
      <c r="KJ19" s="56"/>
    </row>
    <row r="20" spans="1:296" s="65" customFormat="1" ht="14">
      <c r="A20" s="190"/>
      <c r="B20" s="191"/>
      <c r="C20" s="191"/>
      <c r="D20" s="54"/>
      <c r="E20" s="191"/>
      <c r="F20" s="55"/>
      <c r="G20" s="56"/>
      <c r="H20" s="97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53"/>
      <c r="CD20" s="54" t="s">
        <v>41</v>
      </c>
      <c r="CE20" s="191"/>
      <c r="CF20" s="55" t="s">
        <v>194</v>
      </c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100"/>
      <c r="EQ20" s="100"/>
      <c r="ER20" s="100"/>
      <c r="ES20" s="100"/>
      <c r="ET20" s="100"/>
      <c r="EU20" s="100"/>
      <c r="EV20" s="100"/>
      <c r="EW20" s="100"/>
      <c r="EX20" s="100"/>
      <c r="EY20" s="100"/>
      <c r="EZ20" s="100"/>
      <c r="FA20" s="100"/>
      <c r="FB20" s="100"/>
      <c r="FC20" s="100"/>
      <c r="FD20" s="100"/>
      <c r="FE20" s="100"/>
      <c r="FF20" s="100"/>
      <c r="FG20" s="100"/>
      <c r="FH20" s="100"/>
      <c r="FI20" s="100"/>
      <c r="FJ20" s="100"/>
      <c r="FK20" s="100"/>
      <c r="FL20" s="100"/>
      <c r="FM20" s="100"/>
      <c r="FN20" s="100"/>
      <c r="FO20" s="100"/>
      <c r="FP20" s="100"/>
      <c r="FQ20" s="100"/>
      <c r="FR20" s="100"/>
      <c r="FS20" s="100"/>
      <c r="FT20" s="100"/>
      <c r="FU20" s="100"/>
      <c r="FV20" s="100"/>
      <c r="FW20" s="100"/>
      <c r="FX20" s="100"/>
      <c r="FY20" s="100"/>
      <c r="FZ20" s="100"/>
      <c r="GA20" s="100"/>
      <c r="GB20" s="100"/>
      <c r="GC20" s="100"/>
      <c r="GD20" s="100"/>
      <c r="GE20" s="100"/>
      <c r="GF20" s="100"/>
      <c r="GG20" s="100"/>
      <c r="GH20" s="100"/>
      <c r="GI20" s="100"/>
      <c r="GJ20" s="100"/>
      <c r="GK20" s="100"/>
      <c r="GL20" s="100"/>
      <c r="GM20" s="100"/>
      <c r="GN20" s="100"/>
      <c r="GO20" s="100"/>
      <c r="GP20" s="100"/>
      <c r="GQ20" s="100"/>
      <c r="GR20" s="100"/>
      <c r="GS20" s="100"/>
      <c r="GT20" s="100"/>
      <c r="GU20" s="100"/>
      <c r="GV20" s="100"/>
      <c r="GW20" s="100"/>
      <c r="GX20" s="100"/>
      <c r="GY20" s="100"/>
      <c r="GZ20" s="100"/>
      <c r="HA20" s="100"/>
      <c r="HB20" s="100"/>
      <c r="HC20" s="100"/>
      <c r="HD20" s="100"/>
      <c r="HE20" s="100"/>
      <c r="HF20" s="100"/>
      <c r="HG20" s="100"/>
      <c r="HH20" s="100"/>
      <c r="HI20" s="100"/>
      <c r="HJ20" s="100"/>
      <c r="HK20" s="100"/>
      <c r="HL20" s="100"/>
      <c r="HM20" s="100"/>
      <c r="HN20" s="100"/>
      <c r="HO20" s="100"/>
      <c r="HP20" s="100"/>
      <c r="HQ20" s="100"/>
      <c r="HR20" s="100"/>
      <c r="HS20" s="100"/>
      <c r="HT20" s="100"/>
      <c r="HU20" s="100"/>
      <c r="HV20" s="100"/>
      <c r="HW20" s="100"/>
      <c r="HX20" s="100"/>
      <c r="HY20" s="100"/>
      <c r="HZ20" s="100"/>
      <c r="IA20" s="100"/>
      <c r="IB20" s="100"/>
      <c r="IC20" s="100"/>
      <c r="ID20" s="100"/>
      <c r="IE20" s="100"/>
      <c r="IF20" s="100"/>
      <c r="IG20" s="100"/>
      <c r="IH20" s="100"/>
      <c r="II20" s="100"/>
      <c r="IJ20" s="100"/>
      <c r="IK20" s="100"/>
      <c r="IL20" s="100"/>
      <c r="IM20" s="100"/>
      <c r="IN20" s="100"/>
      <c r="IO20" s="100"/>
      <c r="IP20" s="100"/>
      <c r="IQ20" s="100"/>
      <c r="IR20" s="56"/>
      <c r="IS20" s="56"/>
      <c r="IT20" s="56"/>
      <c r="IU20" s="56"/>
      <c r="IV20" s="56"/>
      <c r="IW20" s="56"/>
      <c r="IX20" s="56"/>
      <c r="IY20" s="56"/>
      <c r="IZ20" s="56"/>
      <c r="JA20" s="56"/>
      <c r="JB20" s="56"/>
      <c r="JC20" s="56"/>
      <c r="JD20" s="56"/>
      <c r="JE20" s="56"/>
      <c r="JF20" s="56"/>
      <c r="JG20" s="56"/>
      <c r="JH20" s="56"/>
      <c r="JI20" s="56"/>
      <c r="JJ20" s="56"/>
      <c r="JK20" s="56"/>
      <c r="JL20" s="56"/>
      <c r="JM20" s="56"/>
      <c r="JN20" s="56"/>
      <c r="JO20" s="56"/>
      <c r="JP20" s="56"/>
      <c r="JQ20" s="56"/>
      <c r="JR20" s="56"/>
      <c r="JS20" s="56"/>
      <c r="JT20" s="56"/>
      <c r="JU20" s="56"/>
      <c r="JV20" s="56"/>
      <c r="JW20" s="56"/>
      <c r="JX20" s="56"/>
      <c r="JY20" s="56"/>
      <c r="JZ20" s="56"/>
      <c r="KA20" s="56"/>
      <c r="KB20" s="56"/>
      <c r="KC20" s="56">
        <f>1280+5</f>
        <v>1285</v>
      </c>
      <c r="KD20" s="56">
        <f>1280+5</f>
        <v>1285</v>
      </c>
      <c r="KE20" s="56">
        <f>1280+5</f>
        <v>1285</v>
      </c>
      <c r="KF20" s="56">
        <f>1280+5</f>
        <v>1285</v>
      </c>
      <c r="KG20" s="56">
        <f>1305+5</f>
        <v>1310</v>
      </c>
      <c r="KH20" s="56"/>
      <c r="KI20" s="56"/>
      <c r="KJ20" s="56"/>
    </row>
    <row r="21" spans="1:296" s="65" customFormat="1" ht="14">
      <c r="A21" s="190"/>
      <c r="B21" s="191"/>
      <c r="C21" s="191"/>
      <c r="D21" s="54"/>
      <c r="E21" s="191"/>
      <c r="F21" s="55"/>
      <c r="G21" s="56"/>
      <c r="H21" s="97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53"/>
      <c r="CD21" s="54" t="s">
        <v>41</v>
      </c>
      <c r="CE21" s="191"/>
      <c r="CF21" s="55" t="s">
        <v>195</v>
      </c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100"/>
      <c r="EQ21" s="100"/>
      <c r="ER21" s="100"/>
      <c r="ES21" s="100"/>
      <c r="ET21" s="100"/>
      <c r="EU21" s="100"/>
      <c r="EV21" s="100"/>
      <c r="EW21" s="100"/>
      <c r="EX21" s="100"/>
      <c r="EY21" s="100"/>
      <c r="EZ21" s="100"/>
      <c r="FA21" s="100"/>
      <c r="FB21" s="100"/>
      <c r="FC21" s="100"/>
      <c r="FD21" s="100"/>
      <c r="FE21" s="100"/>
      <c r="FF21" s="100"/>
      <c r="FG21" s="100"/>
      <c r="FH21" s="100"/>
      <c r="FI21" s="100"/>
      <c r="FJ21" s="100"/>
      <c r="FK21" s="100"/>
      <c r="FL21" s="100"/>
      <c r="FM21" s="100"/>
      <c r="FN21" s="100"/>
      <c r="FO21" s="100"/>
      <c r="FP21" s="100"/>
      <c r="FQ21" s="100"/>
      <c r="FR21" s="100"/>
      <c r="FS21" s="100"/>
      <c r="FT21" s="100"/>
      <c r="FU21" s="100"/>
      <c r="FV21" s="100"/>
      <c r="FW21" s="100"/>
      <c r="FX21" s="100"/>
      <c r="FY21" s="100"/>
      <c r="FZ21" s="100"/>
      <c r="GA21" s="100"/>
      <c r="GB21" s="100"/>
      <c r="GC21" s="100"/>
      <c r="GD21" s="100"/>
      <c r="GE21" s="100"/>
      <c r="GF21" s="100"/>
      <c r="GG21" s="100"/>
      <c r="GH21" s="100"/>
      <c r="GI21" s="100"/>
      <c r="GJ21" s="100"/>
      <c r="GK21" s="100"/>
      <c r="GL21" s="100"/>
      <c r="GM21" s="100"/>
      <c r="GN21" s="100"/>
      <c r="GO21" s="100"/>
      <c r="GP21" s="100"/>
      <c r="GQ21" s="100"/>
      <c r="GR21" s="100"/>
      <c r="GS21" s="100"/>
      <c r="GT21" s="100"/>
      <c r="GU21" s="100"/>
      <c r="GV21" s="100"/>
      <c r="GW21" s="100"/>
      <c r="GX21" s="100"/>
      <c r="GY21" s="100"/>
      <c r="GZ21" s="100"/>
      <c r="HA21" s="100"/>
      <c r="HB21" s="100"/>
      <c r="HC21" s="100"/>
      <c r="HD21" s="100"/>
      <c r="HE21" s="100"/>
      <c r="HF21" s="100"/>
      <c r="HG21" s="100"/>
      <c r="HH21" s="100"/>
      <c r="HI21" s="100"/>
      <c r="HJ21" s="100"/>
      <c r="HK21" s="100"/>
      <c r="HL21" s="100"/>
      <c r="HM21" s="100"/>
      <c r="HN21" s="100"/>
      <c r="HO21" s="100"/>
      <c r="HP21" s="100"/>
      <c r="HQ21" s="100"/>
      <c r="HR21" s="100"/>
      <c r="HS21" s="100"/>
      <c r="HT21" s="100"/>
      <c r="HU21" s="100"/>
      <c r="HV21" s="100"/>
      <c r="HW21" s="100"/>
      <c r="HX21" s="100"/>
      <c r="HY21" s="100"/>
      <c r="HZ21" s="100"/>
      <c r="IA21" s="100"/>
      <c r="IB21" s="100"/>
      <c r="IC21" s="100"/>
      <c r="ID21" s="100"/>
      <c r="IE21" s="100"/>
      <c r="IF21" s="100"/>
      <c r="IG21" s="100"/>
      <c r="IH21" s="100"/>
      <c r="II21" s="100"/>
      <c r="IJ21" s="100"/>
      <c r="IK21" s="100"/>
      <c r="IL21" s="100"/>
      <c r="IM21" s="100"/>
      <c r="IN21" s="100"/>
      <c r="IO21" s="100"/>
      <c r="IP21" s="100"/>
      <c r="IQ21" s="100"/>
      <c r="IR21" s="56"/>
      <c r="IS21" s="56"/>
      <c r="IT21" s="56"/>
      <c r="IU21" s="56"/>
      <c r="IV21" s="56"/>
      <c r="IW21" s="56"/>
      <c r="IX21" s="56"/>
      <c r="IY21" s="56"/>
      <c r="IZ21" s="56"/>
      <c r="JA21" s="56"/>
      <c r="JB21" s="56"/>
      <c r="JC21" s="56"/>
      <c r="JD21" s="56"/>
      <c r="JE21" s="56"/>
      <c r="JF21" s="56"/>
      <c r="JG21" s="56"/>
      <c r="JH21" s="56"/>
      <c r="JI21" s="56"/>
      <c r="JJ21" s="56"/>
      <c r="JK21" s="56"/>
      <c r="JL21" s="56"/>
      <c r="JM21" s="56"/>
      <c r="JN21" s="56"/>
      <c r="JO21" s="56"/>
      <c r="JP21" s="56"/>
      <c r="JQ21" s="56"/>
      <c r="JR21" s="56"/>
      <c r="JS21" s="56"/>
      <c r="JT21" s="56"/>
      <c r="JU21" s="56"/>
      <c r="JV21" s="56"/>
      <c r="JW21" s="56"/>
      <c r="JX21" s="56"/>
      <c r="JY21" s="56"/>
      <c r="JZ21" s="56"/>
      <c r="KA21" s="56"/>
      <c r="KB21" s="56"/>
      <c r="KC21" s="56">
        <f>1174+5</f>
        <v>1179</v>
      </c>
      <c r="KD21" s="56">
        <f t="shared" ref="KD21:KE21" si="386">1174+5</f>
        <v>1179</v>
      </c>
      <c r="KE21" s="56">
        <f t="shared" si="386"/>
        <v>1179</v>
      </c>
      <c r="KF21" s="56">
        <f>1174+5</f>
        <v>1179</v>
      </c>
      <c r="KG21" s="56">
        <f>1197+5</f>
        <v>1202</v>
      </c>
      <c r="KH21" s="56"/>
      <c r="KI21" s="56"/>
      <c r="KJ21" s="56"/>
    </row>
    <row r="22" spans="1:296" s="65" customFormat="1" ht="14">
      <c r="D22" s="54" t="s">
        <v>41</v>
      </c>
      <c r="F22" s="55" t="s">
        <v>130</v>
      </c>
      <c r="G22" s="56" t="s">
        <v>24</v>
      </c>
      <c r="H22" s="97" t="s">
        <v>130</v>
      </c>
      <c r="S22" s="56">
        <v>1260</v>
      </c>
      <c r="T22" s="56">
        <v>1260</v>
      </c>
      <c r="U22" s="56">
        <v>1185</v>
      </c>
      <c r="V22" s="56">
        <v>1297.5</v>
      </c>
      <c r="W22" s="56">
        <v>1386</v>
      </c>
      <c r="X22" s="56">
        <v>1390</v>
      </c>
      <c r="Y22" s="56">
        <v>1320</v>
      </c>
      <c r="Z22" s="56">
        <v>1327</v>
      </c>
      <c r="AA22" s="56">
        <v>1248</v>
      </c>
      <c r="AB22" s="56">
        <v>1230</v>
      </c>
      <c r="AC22" s="56">
        <v>1130</v>
      </c>
      <c r="AD22" s="56">
        <v>1130</v>
      </c>
      <c r="AE22" s="56">
        <v>1105</v>
      </c>
      <c r="AF22" s="56">
        <v>1105</v>
      </c>
      <c r="AG22" s="56">
        <v>1105</v>
      </c>
      <c r="AH22" s="56">
        <v>1105</v>
      </c>
      <c r="AI22" s="56">
        <v>1065</v>
      </c>
      <c r="AJ22" s="56">
        <v>1065</v>
      </c>
      <c r="AK22" s="56">
        <f>+SUM(DE22:DI22)/5</f>
        <v>1002</v>
      </c>
      <c r="AL22" s="56">
        <f>+SUM(DJ22:DM22)/4</f>
        <v>1017.5</v>
      </c>
      <c r="AM22" s="56">
        <f>+SUM(DN22:DQ22)/4</f>
        <v>1092.5</v>
      </c>
      <c r="AN22" s="56">
        <f>+SUM(DR22:DU22)/COUNT(DR22:DU22)</f>
        <v>1072.5</v>
      </c>
      <c r="AO22" s="56">
        <f>+SUM(DV22:DY22)/COUNT(DV22:DY22)</f>
        <v>1050</v>
      </c>
      <c r="AP22" s="56">
        <f>+SUM(DZ22:ED22)/COUNT(DZ22:ED22)</f>
        <v>1044</v>
      </c>
      <c r="AQ22" s="56">
        <f>+SUM(EE22:EH22)/COUNT(EE22:EH22)</f>
        <v>970</v>
      </c>
      <c r="AR22" s="56">
        <f>+SUM(EI22:EL22)/COUNT(EI22:EL22)</f>
        <v>960</v>
      </c>
      <c r="AS22" s="56">
        <f>+SUM(EM22:EQ22)/COUNT(EM22:EQ22)</f>
        <v>1008</v>
      </c>
      <c r="AT22" s="56">
        <f>+SUM(ER22:EU22)/COUNT(ER22:EU22)</f>
        <v>1027.5</v>
      </c>
      <c r="AU22" s="56">
        <f>+SUM(EV22:EY22)/COUNT(EV22:EY22)</f>
        <v>1020</v>
      </c>
      <c r="AV22" s="100">
        <f t="shared" si="289"/>
        <v>955</v>
      </c>
      <c r="AW22" s="100">
        <f t="shared" si="290"/>
        <v>928</v>
      </c>
      <c r="AX22" s="100">
        <f t="shared" si="295"/>
        <v>940</v>
      </c>
      <c r="AY22" s="100">
        <f t="shared" si="291"/>
        <v>993.33333333333337</v>
      </c>
      <c r="AZ22" s="100">
        <f t="shared" si="292"/>
        <v>985</v>
      </c>
      <c r="BA22" s="100">
        <f t="shared" si="293"/>
        <v>962.5</v>
      </c>
      <c r="BB22" s="100">
        <f t="shared" si="294"/>
        <v>982</v>
      </c>
      <c r="BC22" s="100">
        <f>+SUM(GC22:GF22)/COUNT(GC22:GF22)</f>
        <v>1000</v>
      </c>
      <c r="BD22" s="100">
        <f>+SUM(GG22:GJ22)/COUNT(GG22:GJ22)</f>
        <v>1000</v>
      </c>
      <c r="BE22" s="100">
        <f t="shared" si="304"/>
        <v>984</v>
      </c>
      <c r="BF22" s="100">
        <f t="shared" si="305"/>
        <v>967.5</v>
      </c>
      <c r="BG22" s="100">
        <f>+SUM(GT22:GW22)/COUNT(GT22:GW22)</f>
        <v>965</v>
      </c>
      <c r="BH22" s="100">
        <f t="shared" si="306"/>
        <v>974</v>
      </c>
      <c r="BI22" s="100">
        <f>+SUM(HB22:HF22)/COUNT(HB22:HF22)</f>
        <v>956</v>
      </c>
      <c r="BJ22" s="100">
        <f t="shared" si="307"/>
        <v>940</v>
      </c>
      <c r="BK22" s="100">
        <f t="shared" si="308"/>
        <v>918</v>
      </c>
      <c r="BL22" s="100">
        <f t="shared" si="309"/>
        <v>896</v>
      </c>
      <c r="BM22" s="100">
        <f t="shared" si="310"/>
        <v>891.5</v>
      </c>
      <c r="BN22" s="100">
        <f t="shared" si="311"/>
        <v>864</v>
      </c>
      <c r="BO22" s="100">
        <f t="shared" si="312"/>
        <v>833</v>
      </c>
      <c r="BP22" s="100">
        <f t="shared" si="313"/>
        <v>833</v>
      </c>
      <c r="BQ22" s="100">
        <f t="shared" si="314"/>
        <v>815</v>
      </c>
      <c r="BR22" s="100">
        <f t="shared" si="315"/>
        <v>812.5</v>
      </c>
      <c r="BS22" s="100">
        <f t="shared" si="316"/>
        <v>805</v>
      </c>
      <c r="BT22" s="100">
        <f t="shared" si="317"/>
        <v>805</v>
      </c>
      <c r="BU22" s="100">
        <f t="shared" si="318"/>
        <v>802.5</v>
      </c>
      <c r="BV22" s="100">
        <f t="shared" si="319"/>
        <v>800</v>
      </c>
      <c r="BW22" s="100">
        <f>+SUM(JK22:JN22)/COUNT(JK22:JN22)</f>
        <v>800</v>
      </c>
      <c r="BX22" s="100">
        <f>+SUM(JO22:JR22)/COUNT(JO22:JR22)</f>
        <v>1331.25</v>
      </c>
      <c r="BY22" s="100">
        <f t="shared" si="320"/>
        <v>1590</v>
      </c>
      <c r="BZ22" s="100">
        <f t="shared" si="321"/>
        <v>1500</v>
      </c>
      <c r="CA22" s="100">
        <f t="shared" si="322"/>
        <v>1320</v>
      </c>
      <c r="CB22" s="100">
        <f>+SUM(KF22:KJ22)/COUNT(KF22:KJ22)</f>
        <v>1213</v>
      </c>
      <c r="CC22" s="146"/>
      <c r="CD22" s="54" t="s">
        <v>41</v>
      </c>
      <c r="CF22" s="97" t="s">
        <v>130</v>
      </c>
      <c r="CG22" s="56">
        <f>+(1240+1400)/2</f>
        <v>1320</v>
      </c>
      <c r="CH22" s="56">
        <f>+(1240+1400)/2</f>
        <v>1320</v>
      </c>
      <c r="CI22" s="56">
        <f>+(1240+1400)/2</f>
        <v>1320</v>
      </c>
      <c r="CJ22" s="56">
        <f>+(1200+1370)/2</f>
        <v>1285</v>
      </c>
      <c r="CK22" s="56">
        <f>+(1180+1350)/2</f>
        <v>1265</v>
      </c>
      <c r="CL22" s="56">
        <f>+(1140+1320)/2</f>
        <v>1230</v>
      </c>
      <c r="CM22" s="56">
        <f>+(1120+1300)/2</f>
        <v>1210</v>
      </c>
      <c r="CN22" s="56">
        <f>+(1120+1300)/2</f>
        <v>1210</v>
      </c>
      <c r="CO22" s="56">
        <f>+(1020+1200)/2</f>
        <v>1110</v>
      </c>
      <c r="CP22" s="56">
        <f>+(1020+1200)/2</f>
        <v>1110</v>
      </c>
      <c r="CQ22" s="56">
        <f>+(1040+1220)/2</f>
        <v>1130</v>
      </c>
      <c r="CR22" s="56">
        <f>+(1040+1220)/2</f>
        <v>1130</v>
      </c>
      <c r="CS22" s="56">
        <f>+(1020+1150)/2</f>
        <v>1085</v>
      </c>
      <c r="CT22" s="56">
        <f>+(1040+1170)/2</f>
        <v>1105</v>
      </c>
      <c r="CU22" s="56">
        <f>+(1040+1170)/2</f>
        <v>1105</v>
      </c>
      <c r="CV22" s="56">
        <f>+(1040+1170)/2</f>
        <v>1105</v>
      </c>
      <c r="CW22" s="56">
        <v>1105</v>
      </c>
      <c r="CX22" s="56">
        <v>1105</v>
      </c>
      <c r="CY22" s="56">
        <v>1105</v>
      </c>
      <c r="CZ22" s="56">
        <v>1065</v>
      </c>
      <c r="DA22" s="56">
        <v>1065</v>
      </c>
      <c r="DB22" s="56">
        <f>+(950+1110)/2</f>
        <v>1030</v>
      </c>
      <c r="DC22" s="56">
        <f>+(950+1110)/2</f>
        <v>1030</v>
      </c>
      <c r="DD22" s="56">
        <f>+(950+1110)/2</f>
        <v>1030</v>
      </c>
      <c r="DE22" s="114">
        <f>+(920+1110)/2</f>
        <v>1015</v>
      </c>
      <c r="DF22" s="114">
        <f>+(920+1070)/2</f>
        <v>995</v>
      </c>
      <c r="DG22" s="114">
        <f>+(920+1070)/2</f>
        <v>995</v>
      </c>
      <c r="DH22" s="114">
        <f>+(920+1070)/2</f>
        <v>995</v>
      </c>
      <c r="DI22" s="114">
        <f>+(940+1080)/2</f>
        <v>1010</v>
      </c>
      <c r="DJ22" s="56">
        <v>940</v>
      </c>
      <c r="DK22" s="56">
        <v>1020</v>
      </c>
      <c r="DL22" s="56">
        <v>1030</v>
      </c>
      <c r="DM22" s="56">
        <v>1080</v>
      </c>
      <c r="DN22" s="56">
        <v>1100</v>
      </c>
      <c r="DO22" s="56">
        <v>1100</v>
      </c>
      <c r="DP22" s="56">
        <v>1090</v>
      </c>
      <c r="DQ22" s="56">
        <v>1080</v>
      </c>
      <c r="DR22" s="56">
        <v>1080</v>
      </c>
      <c r="DS22" s="56">
        <v>1070</v>
      </c>
      <c r="DT22" s="56">
        <v>1070</v>
      </c>
      <c r="DU22" s="56">
        <v>1070</v>
      </c>
      <c r="DV22" s="56">
        <v>1050</v>
      </c>
      <c r="DW22" s="56">
        <v>1050</v>
      </c>
      <c r="DX22" s="56">
        <v>1050</v>
      </c>
      <c r="DY22" s="56">
        <v>1050</v>
      </c>
      <c r="DZ22" s="56">
        <v>1050</v>
      </c>
      <c r="EA22" s="56">
        <v>1050</v>
      </c>
      <c r="EB22" s="56">
        <v>1050</v>
      </c>
      <c r="EC22" s="56">
        <v>1040</v>
      </c>
      <c r="ED22" s="56">
        <v>1030</v>
      </c>
      <c r="EE22" s="56">
        <v>1030</v>
      </c>
      <c r="EF22" s="56">
        <v>950</v>
      </c>
      <c r="EG22" s="56">
        <v>950</v>
      </c>
      <c r="EH22" s="56">
        <v>950</v>
      </c>
      <c r="EI22" s="56">
        <v>950</v>
      </c>
      <c r="EJ22" s="56">
        <v>950</v>
      </c>
      <c r="EK22" s="56">
        <v>970</v>
      </c>
      <c r="EL22" s="56">
        <v>970</v>
      </c>
      <c r="EM22" s="56">
        <v>1000</v>
      </c>
      <c r="EN22" s="56">
        <v>1000</v>
      </c>
      <c r="EO22" s="56">
        <v>1000</v>
      </c>
      <c r="EP22" s="100">
        <v>1020</v>
      </c>
      <c r="EQ22" s="100">
        <v>1020</v>
      </c>
      <c r="ER22" s="100">
        <v>1020</v>
      </c>
      <c r="ES22" s="100">
        <v>1030</v>
      </c>
      <c r="ET22" s="100">
        <v>1030</v>
      </c>
      <c r="EU22" s="100">
        <v>1030</v>
      </c>
      <c r="EV22" s="100">
        <v>1030</v>
      </c>
      <c r="EW22" s="100">
        <v>1030</v>
      </c>
      <c r="EX22" s="100">
        <v>1020</v>
      </c>
      <c r="EY22" s="100">
        <v>1000</v>
      </c>
      <c r="EZ22" s="100">
        <v>980</v>
      </c>
      <c r="FA22" s="100">
        <v>960</v>
      </c>
      <c r="FB22" s="100">
        <v>940</v>
      </c>
      <c r="FC22" s="100">
        <v>940</v>
      </c>
      <c r="FD22" s="100">
        <v>940</v>
      </c>
      <c r="FE22" s="100">
        <v>940</v>
      </c>
      <c r="FF22" s="100">
        <v>920</v>
      </c>
      <c r="FG22" s="100">
        <v>920</v>
      </c>
      <c r="FH22" s="100">
        <v>920</v>
      </c>
      <c r="FI22" s="100">
        <v>920</v>
      </c>
      <c r="FJ22" s="100">
        <v>950</v>
      </c>
      <c r="FK22" s="100">
        <v>950</v>
      </c>
      <c r="FL22" s="100">
        <v>970</v>
      </c>
      <c r="FM22" s="100">
        <v>980</v>
      </c>
      <c r="FN22" s="100">
        <v>1000</v>
      </c>
      <c r="FO22" s="100">
        <v>1000</v>
      </c>
      <c r="FP22" s="100">
        <v>1000</v>
      </c>
      <c r="FQ22" s="100">
        <v>980</v>
      </c>
      <c r="FR22" s="100">
        <v>980</v>
      </c>
      <c r="FS22" s="100">
        <v>980</v>
      </c>
      <c r="FT22" s="100">
        <v>960</v>
      </c>
      <c r="FU22" s="100">
        <v>960</v>
      </c>
      <c r="FV22" s="100">
        <v>960</v>
      </c>
      <c r="FW22" s="100">
        <v>970</v>
      </c>
      <c r="FX22" s="100">
        <v>970</v>
      </c>
      <c r="FY22" s="100">
        <v>980</v>
      </c>
      <c r="FZ22" s="100">
        <v>980</v>
      </c>
      <c r="GA22" s="100">
        <v>980</v>
      </c>
      <c r="GB22" s="100">
        <v>1000</v>
      </c>
      <c r="GC22" s="100">
        <v>1000</v>
      </c>
      <c r="GD22" s="100">
        <v>1000</v>
      </c>
      <c r="GE22" s="100">
        <v>1000</v>
      </c>
      <c r="GF22" s="100">
        <v>1000</v>
      </c>
      <c r="GG22" s="100">
        <v>1000</v>
      </c>
      <c r="GH22" s="100">
        <v>1000</v>
      </c>
      <c r="GI22" s="100">
        <v>1000</v>
      </c>
      <c r="GJ22" s="100">
        <v>1000</v>
      </c>
      <c r="GK22" s="100">
        <v>1000</v>
      </c>
      <c r="GL22" s="100">
        <v>1000</v>
      </c>
      <c r="GM22" s="100">
        <v>980</v>
      </c>
      <c r="GN22" s="100">
        <v>970</v>
      </c>
      <c r="GO22" s="100">
        <v>970</v>
      </c>
      <c r="GP22" s="100">
        <v>970</v>
      </c>
      <c r="GQ22" s="100">
        <v>970</v>
      </c>
      <c r="GR22" s="100">
        <v>970</v>
      </c>
      <c r="GS22" s="100">
        <v>960</v>
      </c>
      <c r="GT22" s="100">
        <v>960</v>
      </c>
      <c r="GU22" s="100">
        <v>960</v>
      </c>
      <c r="GV22" s="100">
        <v>960</v>
      </c>
      <c r="GW22" s="100">
        <v>980</v>
      </c>
      <c r="GX22" s="100">
        <v>980</v>
      </c>
      <c r="GY22" s="100">
        <v>980</v>
      </c>
      <c r="GZ22" s="100">
        <v>970</v>
      </c>
      <c r="HA22" s="100">
        <v>970</v>
      </c>
      <c r="HB22" s="100">
        <v>970</v>
      </c>
      <c r="HC22" s="100">
        <v>970</v>
      </c>
      <c r="HD22" s="100">
        <v>950</v>
      </c>
      <c r="HE22" s="100">
        <v>950</v>
      </c>
      <c r="HF22" s="100">
        <v>940</v>
      </c>
      <c r="HG22" s="100">
        <v>940</v>
      </c>
      <c r="HH22" s="100">
        <v>940</v>
      </c>
      <c r="HI22" s="100">
        <v>940</v>
      </c>
      <c r="HJ22" s="100">
        <v>940</v>
      </c>
      <c r="HK22" s="100">
        <v>940</v>
      </c>
      <c r="HL22" s="100">
        <v>940</v>
      </c>
      <c r="HM22" s="100">
        <v>896</v>
      </c>
      <c r="HN22" s="100">
        <v>896</v>
      </c>
      <c r="HO22" s="100">
        <v>896</v>
      </c>
      <c r="HP22" s="100">
        <v>896</v>
      </c>
      <c r="HQ22" s="100">
        <v>896</v>
      </c>
      <c r="HR22" s="100">
        <v>896</v>
      </c>
      <c r="HS22" s="100">
        <v>896</v>
      </c>
      <c r="HT22" s="100">
        <v>900</v>
      </c>
      <c r="HU22" s="100">
        <v>890</v>
      </c>
      <c r="HV22" s="100">
        <v>880</v>
      </c>
      <c r="HW22" s="100">
        <v>870</v>
      </c>
      <c r="HX22" s="100">
        <v>870</v>
      </c>
      <c r="HY22" s="100">
        <v>860</v>
      </c>
      <c r="HZ22" s="100">
        <v>860</v>
      </c>
      <c r="IA22" s="100">
        <v>860</v>
      </c>
      <c r="IB22" s="100">
        <v>833</v>
      </c>
      <c r="IC22" s="100">
        <v>833</v>
      </c>
      <c r="ID22" s="100">
        <v>833</v>
      </c>
      <c r="IE22" s="100">
        <v>833</v>
      </c>
      <c r="IF22" s="100">
        <v>833</v>
      </c>
      <c r="IG22" s="100">
        <v>833</v>
      </c>
      <c r="IH22" s="100">
        <v>833</v>
      </c>
      <c r="II22" s="100">
        <v>833</v>
      </c>
      <c r="IJ22" s="100">
        <v>833</v>
      </c>
      <c r="IK22" s="100">
        <v>815</v>
      </c>
      <c r="IL22" s="100">
        <v>815</v>
      </c>
      <c r="IM22" s="100">
        <v>815</v>
      </c>
      <c r="IN22" s="100">
        <v>815</v>
      </c>
      <c r="IO22" s="100">
        <v>815</v>
      </c>
      <c r="IP22" s="100">
        <v>815</v>
      </c>
      <c r="IQ22" s="100">
        <v>815</v>
      </c>
      <c r="IR22" s="56">
        <v>805</v>
      </c>
      <c r="IS22" s="56">
        <v>805</v>
      </c>
      <c r="IT22" s="56">
        <v>805</v>
      </c>
      <c r="IU22" s="56">
        <v>805</v>
      </c>
      <c r="IV22" s="56">
        <v>805</v>
      </c>
      <c r="IW22" s="56">
        <v>805</v>
      </c>
      <c r="IX22" s="56">
        <v>805</v>
      </c>
      <c r="IY22" s="56">
        <v>805</v>
      </c>
      <c r="IZ22" s="56">
        <v>805</v>
      </c>
      <c r="JA22" s="56">
        <v>805</v>
      </c>
      <c r="JB22" s="56">
        <v>805</v>
      </c>
      <c r="JC22" s="56">
        <v>805</v>
      </c>
      <c r="JD22" s="56">
        <v>800</v>
      </c>
      <c r="JE22" s="56">
        <v>800</v>
      </c>
      <c r="JF22" s="56">
        <v>800</v>
      </c>
      <c r="JG22" s="56">
        <v>800</v>
      </c>
      <c r="JH22" s="56">
        <v>800</v>
      </c>
      <c r="JI22" s="56">
        <v>800</v>
      </c>
      <c r="JJ22" s="56">
        <v>800</v>
      </c>
      <c r="JK22" s="56">
        <v>800</v>
      </c>
      <c r="JL22" s="56">
        <v>800</v>
      </c>
      <c r="JM22" s="56">
        <v>800</v>
      </c>
      <c r="JN22" s="56">
        <v>800</v>
      </c>
      <c r="JO22" s="56">
        <f>(950+1000)/2</f>
        <v>975</v>
      </c>
      <c r="JP22" s="56">
        <v>1350</v>
      </c>
      <c r="JQ22" s="56">
        <v>1450</v>
      </c>
      <c r="JR22" s="56">
        <v>1550</v>
      </c>
      <c r="JS22" s="56">
        <v>1550</v>
      </c>
      <c r="JT22" s="56">
        <v>1600</v>
      </c>
      <c r="JU22" s="56">
        <v>1600</v>
      </c>
      <c r="JV22" s="56">
        <v>1600</v>
      </c>
      <c r="JW22" s="56">
        <v>1600</v>
      </c>
      <c r="JX22" s="56">
        <v>1600</v>
      </c>
      <c r="JY22" s="56">
        <v>1500</v>
      </c>
      <c r="JZ22" s="56">
        <v>1470</v>
      </c>
      <c r="KA22" s="56">
        <v>1430</v>
      </c>
      <c r="KB22" s="56">
        <v>1400</v>
      </c>
      <c r="KC22" s="56">
        <v>1320</v>
      </c>
      <c r="KD22" s="56">
        <v>1280</v>
      </c>
      <c r="KE22" s="56">
        <v>1280</v>
      </c>
      <c r="KF22" s="56">
        <v>1213</v>
      </c>
      <c r="KG22" s="56">
        <v>1213</v>
      </c>
      <c r="KH22" s="56"/>
      <c r="KI22" s="56"/>
      <c r="KJ22" s="56"/>
    </row>
    <row r="23" spans="1:296" ht="14" hidden="1">
      <c r="D23" s="54"/>
      <c r="F23" s="1" t="s">
        <v>85</v>
      </c>
      <c r="H23" s="1" t="s">
        <v>85</v>
      </c>
      <c r="U23" s="41">
        <f>U22</f>
        <v>1185</v>
      </c>
      <c r="V23" s="41">
        <f t="shared" ref="V23:AP23" si="387">V22</f>
        <v>1297.5</v>
      </c>
      <c r="W23" s="41">
        <f t="shared" si="387"/>
        <v>1386</v>
      </c>
      <c r="X23" s="41">
        <f t="shared" si="387"/>
        <v>1390</v>
      </c>
      <c r="Y23" s="41">
        <f t="shared" si="387"/>
        <v>1320</v>
      </c>
      <c r="Z23" s="41">
        <f t="shared" si="387"/>
        <v>1327</v>
      </c>
      <c r="AA23" s="41">
        <f t="shared" si="387"/>
        <v>1248</v>
      </c>
      <c r="AB23" s="41">
        <f t="shared" si="387"/>
        <v>1230</v>
      </c>
      <c r="AC23" s="41">
        <f t="shared" si="387"/>
        <v>1130</v>
      </c>
      <c r="AD23" s="41">
        <f t="shared" si="387"/>
        <v>1130</v>
      </c>
      <c r="AE23" s="41">
        <f t="shared" si="387"/>
        <v>1105</v>
      </c>
      <c r="AF23" s="41">
        <f t="shared" si="387"/>
        <v>1105</v>
      </c>
      <c r="AG23" s="41">
        <f t="shared" si="387"/>
        <v>1105</v>
      </c>
      <c r="AH23" s="41">
        <f t="shared" si="387"/>
        <v>1105</v>
      </c>
      <c r="AI23" s="41">
        <f t="shared" si="387"/>
        <v>1065</v>
      </c>
      <c r="AJ23" s="41">
        <f t="shared" si="387"/>
        <v>1065</v>
      </c>
      <c r="AK23" s="41">
        <f t="shared" si="387"/>
        <v>1002</v>
      </c>
      <c r="AL23" s="41">
        <f t="shared" si="387"/>
        <v>1017.5</v>
      </c>
      <c r="AM23" s="41">
        <f t="shared" si="387"/>
        <v>1092.5</v>
      </c>
      <c r="AN23" s="41">
        <f t="shared" si="387"/>
        <v>1072.5</v>
      </c>
      <c r="AO23" s="41">
        <f t="shared" si="387"/>
        <v>1050</v>
      </c>
      <c r="AP23" s="41">
        <f t="shared" si="387"/>
        <v>1044</v>
      </c>
      <c r="AQ23" s="41">
        <f t="shared" ref="AQ23:AV23" si="388">AQ22</f>
        <v>970</v>
      </c>
      <c r="AR23" s="41">
        <f t="shared" si="388"/>
        <v>960</v>
      </c>
      <c r="AS23" s="41">
        <f t="shared" si="388"/>
        <v>1008</v>
      </c>
      <c r="AT23" s="41">
        <f t="shared" si="388"/>
        <v>1027.5</v>
      </c>
      <c r="AU23" s="41">
        <f t="shared" si="388"/>
        <v>1020</v>
      </c>
      <c r="AV23" s="41">
        <f t="shared" si="388"/>
        <v>955</v>
      </c>
      <c r="AW23" s="41">
        <f t="shared" ref="AW23:AX23" si="389">AW22</f>
        <v>928</v>
      </c>
      <c r="AX23" s="41">
        <f t="shared" si="389"/>
        <v>940</v>
      </c>
      <c r="AY23" s="41">
        <f t="shared" ref="AY23:AZ23" si="390">AY22</f>
        <v>993.33333333333337</v>
      </c>
      <c r="AZ23" s="41">
        <f t="shared" si="390"/>
        <v>985</v>
      </c>
      <c r="BA23" s="41">
        <f t="shared" ref="BA23:BB23" si="391">BA22</f>
        <v>962.5</v>
      </c>
      <c r="BB23" s="41">
        <f t="shared" si="391"/>
        <v>982</v>
      </c>
      <c r="BC23" s="41">
        <f t="shared" ref="BC23:BD23" si="392">BC22</f>
        <v>1000</v>
      </c>
      <c r="BD23" s="41">
        <f t="shared" si="392"/>
        <v>1000</v>
      </c>
      <c r="BE23" s="41">
        <f t="shared" ref="BE23:BF23" si="393">BE22</f>
        <v>984</v>
      </c>
      <c r="BF23" s="41">
        <f t="shared" si="393"/>
        <v>967.5</v>
      </c>
      <c r="BG23" s="41">
        <f t="shared" ref="BG23:BH23" si="394">BG22</f>
        <v>965</v>
      </c>
      <c r="BH23" s="41">
        <f t="shared" si="394"/>
        <v>974</v>
      </c>
      <c r="BI23" s="41">
        <f t="shared" ref="BI23:BJ23" si="395">BI22</f>
        <v>956</v>
      </c>
      <c r="BJ23" s="41">
        <f t="shared" si="395"/>
        <v>940</v>
      </c>
      <c r="BK23" s="41">
        <f t="shared" ref="BK23:BL23" si="396">BK22</f>
        <v>918</v>
      </c>
      <c r="BL23" s="41">
        <f t="shared" si="396"/>
        <v>896</v>
      </c>
      <c r="BM23" s="41">
        <f t="shared" ref="BM23:BN23" si="397">BM22</f>
        <v>891.5</v>
      </c>
      <c r="BN23" s="41">
        <f t="shared" si="397"/>
        <v>864</v>
      </c>
      <c r="BO23" s="41">
        <f t="shared" ref="BO23:BP23" si="398">BO22</f>
        <v>833</v>
      </c>
      <c r="BP23" s="41">
        <f t="shared" si="398"/>
        <v>833</v>
      </c>
      <c r="BQ23" s="41">
        <f t="shared" ref="BQ23:BR23" si="399">BQ22</f>
        <v>815</v>
      </c>
      <c r="BR23" s="41">
        <f t="shared" si="399"/>
        <v>812.5</v>
      </c>
      <c r="BS23" s="41">
        <f t="shared" ref="BS23:BT23" si="400">BS22</f>
        <v>805</v>
      </c>
      <c r="BT23" s="41">
        <f t="shared" si="400"/>
        <v>805</v>
      </c>
      <c r="BU23" s="41">
        <f t="shared" ref="BU23:BV23" si="401">BU22</f>
        <v>802.5</v>
      </c>
      <c r="BV23" s="41">
        <f t="shared" si="401"/>
        <v>800</v>
      </c>
      <c r="BW23" s="41">
        <f t="shared" ref="BW23:BX23" si="402">BW22</f>
        <v>800</v>
      </c>
      <c r="BX23" s="41">
        <f t="shared" si="402"/>
        <v>1331.25</v>
      </c>
      <c r="BY23" s="41">
        <f t="shared" ref="BY23:BZ23" si="403">BY22</f>
        <v>1590</v>
      </c>
      <c r="BZ23" s="41">
        <f t="shared" si="403"/>
        <v>1500</v>
      </c>
      <c r="CA23" s="41">
        <f t="shared" ref="CA23:CB23" si="404">CA22</f>
        <v>1320</v>
      </c>
      <c r="CB23" s="41">
        <f t="shared" si="404"/>
        <v>1213</v>
      </c>
      <c r="CC23" s="149"/>
      <c r="CF23" s="1" t="s">
        <v>85</v>
      </c>
      <c r="CV23" s="41">
        <f>CV22</f>
        <v>1105</v>
      </c>
      <c r="CW23" s="41">
        <f t="shared" ref="CW23:DO23" si="405">CW22</f>
        <v>1105</v>
      </c>
      <c r="CX23" s="41">
        <f t="shared" si="405"/>
        <v>1105</v>
      </c>
      <c r="CY23" s="41">
        <f t="shared" si="405"/>
        <v>1105</v>
      </c>
      <c r="CZ23" s="41">
        <f t="shared" si="405"/>
        <v>1065</v>
      </c>
      <c r="DA23" s="41">
        <f t="shared" si="405"/>
        <v>1065</v>
      </c>
      <c r="DB23" s="41">
        <f t="shared" si="405"/>
        <v>1030</v>
      </c>
      <c r="DC23" s="41">
        <f t="shared" si="405"/>
        <v>1030</v>
      </c>
      <c r="DD23" s="41">
        <f t="shared" si="405"/>
        <v>1030</v>
      </c>
      <c r="DE23" s="41">
        <f t="shared" si="405"/>
        <v>1015</v>
      </c>
      <c r="DF23" s="41">
        <f t="shared" si="405"/>
        <v>995</v>
      </c>
      <c r="DG23" s="41">
        <f t="shared" si="405"/>
        <v>995</v>
      </c>
      <c r="DH23" s="41">
        <f t="shared" si="405"/>
        <v>995</v>
      </c>
      <c r="DI23" s="41">
        <f t="shared" si="405"/>
        <v>1010</v>
      </c>
      <c r="DJ23" s="43">
        <f t="shared" si="405"/>
        <v>940</v>
      </c>
      <c r="DK23" s="43">
        <f t="shared" si="405"/>
        <v>1020</v>
      </c>
      <c r="DL23" s="43">
        <f t="shared" si="405"/>
        <v>1030</v>
      </c>
      <c r="DM23" s="43">
        <f t="shared" si="405"/>
        <v>1080</v>
      </c>
      <c r="DN23" s="43">
        <f t="shared" si="405"/>
        <v>1100</v>
      </c>
      <c r="DO23" s="43">
        <f t="shared" si="405"/>
        <v>1100</v>
      </c>
      <c r="DP23" s="43">
        <f>DP22</f>
        <v>1090</v>
      </c>
      <c r="DQ23" s="43">
        <f>DQ22</f>
        <v>1080</v>
      </c>
      <c r="DR23" s="43">
        <f>DR22</f>
        <v>1080</v>
      </c>
      <c r="DS23" s="43">
        <f t="shared" ref="DS23:DZ23" si="406">DS22</f>
        <v>1070</v>
      </c>
      <c r="DT23" s="43">
        <f t="shared" si="406"/>
        <v>1070</v>
      </c>
      <c r="DU23" s="43">
        <f t="shared" si="406"/>
        <v>1070</v>
      </c>
      <c r="DV23" s="43">
        <f t="shared" si="406"/>
        <v>1050</v>
      </c>
      <c r="DW23" s="43">
        <f t="shared" si="406"/>
        <v>1050</v>
      </c>
      <c r="DX23" s="43">
        <f t="shared" si="406"/>
        <v>1050</v>
      </c>
      <c r="DY23" s="43">
        <f t="shared" si="406"/>
        <v>1050</v>
      </c>
      <c r="DZ23" s="43">
        <f t="shared" si="406"/>
        <v>1050</v>
      </c>
      <c r="EA23" s="43">
        <f t="shared" ref="EA23:EF23" si="407">EA22</f>
        <v>1050</v>
      </c>
      <c r="EB23" s="43">
        <f t="shared" si="407"/>
        <v>1050</v>
      </c>
      <c r="EC23" s="43">
        <f t="shared" si="407"/>
        <v>1040</v>
      </c>
      <c r="ED23" s="43">
        <f t="shared" si="407"/>
        <v>1030</v>
      </c>
      <c r="EE23" s="43">
        <f t="shared" si="407"/>
        <v>1030</v>
      </c>
      <c r="EF23" s="43">
        <f t="shared" si="407"/>
        <v>950</v>
      </c>
      <c r="EG23" s="43">
        <f>EG22</f>
        <v>950</v>
      </c>
      <c r="EH23" s="43">
        <f>+EG23</f>
        <v>950</v>
      </c>
      <c r="EI23" s="43">
        <f>+EH23</f>
        <v>950</v>
      </c>
      <c r="EJ23" s="43">
        <f t="shared" ref="EJ23:EO23" si="408">+EI23+20</f>
        <v>970</v>
      </c>
      <c r="EK23" s="43">
        <f t="shared" si="408"/>
        <v>990</v>
      </c>
      <c r="EL23" s="43">
        <f t="shared" si="408"/>
        <v>1010</v>
      </c>
      <c r="EM23" s="43">
        <f t="shared" si="408"/>
        <v>1030</v>
      </c>
      <c r="EN23" s="43">
        <f t="shared" si="408"/>
        <v>1050</v>
      </c>
      <c r="EO23" s="43">
        <f t="shared" si="408"/>
        <v>1070</v>
      </c>
      <c r="EP23" s="134">
        <f t="shared" ref="EP23:FN23" si="409">+EO23+20</f>
        <v>1090</v>
      </c>
      <c r="EQ23" s="134">
        <f t="shared" si="409"/>
        <v>1110</v>
      </c>
      <c r="ER23" s="134">
        <f t="shared" si="409"/>
        <v>1130</v>
      </c>
      <c r="ES23" s="134">
        <f t="shared" si="409"/>
        <v>1150</v>
      </c>
      <c r="ET23" s="134">
        <f t="shared" si="409"/>
        <v>1170</v>
      </c>
      <c r="EU23" s="134">
        <f t="shared" si="409"/>
        <v>1190</v>
      </c>
      <c r="EV23" s="134">
        <f t="shared" si="409"/>
        <v>1210</v>
      </c>
      <c r="EW23" s="134">
        <f t="shared" si="409"/>
        <v>1230</v>
      </c>
      <c r="EX23" s="134">
        <f>+EW23+20</f>
        <v>1250</v>
      </c>
      <c r="EY23" s="134">
        <f t="shared" si="409"/>
        <v>1270</v>
      </c>
      <c r="EZ23" s="134">
        <f t="shared" si="409"/>
        <v>1290</v>
      </c>
      <c r="FA23" s="134">
        <f t="shared" si="409"/>
        <v>1310</v>
      </c>
      <c r="FB23" s="134">
        <f t="shared" si="409"/>
        <v>1330</v>
      </c>
      <c r="FC23" s="134">
        <f t="shared" si="409"/>
        <v>1350</v>
      </c>
      <c r="FD23" s="134">
        <f t="shared" si="409"/>
        <v>1370</v>
      </c>
      <c r="FE23" s="134">
        <f t="shared" si="409"/>
        <v>1390</v>
      </c>
      <c r="FF23" s="134">
        <f t="shared" si="409"/>
        <v>1410</v>
      </c>
      <c r="FG23" s="134">
        <f t="shared" si="409"/>
        <v>1430</v>
      </c>
      <c r="FH23" s="134">
        <f t="shared" si="409"/>
        <v>1450</v>
      </c>
      <c r="FI23" s="134">
        <f t="shared" si="409"/>
        <v>1470</v>
      </c>
      <c r="FJ23" s="134">
        <f t="shared" si="409"/>
        <v>1490</v>
      </c>
      <c r="FK23" s="134">
        <f t="shared" si="409"/>
        <v>1510</v>
      </c>
      <c r="FL23" s="134">
        <f t="shared" si="409"/>
        <v>1530</v>
      </c>
      <c r="FM23" s="134">
        <f t="shared" si="409"/>
        <v>1550</v>
      </c>
      <c r="FN23" s="134">
        <f t="shared" si="409"/>
        <v>1570</v>
      </c>
      <c r="FO23" s="134">
        <f t="shared" ref="FO23" si="410">+FN23+20</f>
        <v>1590</v>
      </c>
      <c r="FP23" s="134">
        <f t="shared" ref="FP23:GE23" si="411">+FO23+20</f>
        <v>1610</v>
      </c>
      <c r="FQ23" s="134">
        <f t="shared" si="411"/>
        <v>1630</v>
      </c>
      <c r="FR23" s="134">
        <f t="shared" si="411"/>
        <v>1650</v>
      </c>
      <c r="FS23" s="134">
        <f t="shared" si="411"/>
        <v>1670</v>
      </c>
      <c r="FT23" s="134">
        <f t="shared" si="411"/>
        <v>1690</v>
      </c>
      <c r="FU23" s="134">
        <f t="shared" si="411"/>
        <v>1710</v>
      </c>
      <c r="FV23" s="134">
        <f t="shared" si="411"/>
        <v>1730</v>
      </c>
      <c r="FW23" s="134">
        <f t="shared" si="411"/>
        <v>1750</v>
      </c>
      <c r="FX23" s="134">
        <f t="shared" si="411"/>
        <v>1770</v>
      </c>
      <c r="FY23" s="134">
        <f t="shared" si="411"/>
        <v>1790</v>
      </c>
      <c r="FZ23" s="134">
        <f t="shared" si="411"/>
        <v>1810</v>
      </c>
      <c r="GA23" s="134">
        <f t="shared" si="411"/>
        <v>1830</v>
      </c>
      <c r="GB23" s="134">
        <f t="shared" si="411"/>
        <v>1850</v>
      </c>
      <c r="GC23" s="134">
        <f t="shared" si="411"/>
        <v>1870</v>
      </c>
      <c r="GD23" s="134">
        <f t="shared" si="411"/>
        <v>1890</v>
      </c>
      <c r="GE23" s="134">
        <f t="shared" si="411"/>
        <v>1910</v>
      </c>
      <c r="GF23" s="134">
        <f t="shared" ref="GF23" si="412">+GE23+20</f>
        <v>1930</v>
      </c>
      <c r="GG23" s="134">
        <f t="shared" ref="GG23" si="413">+GF23+20</f>
        <v>1950</v>
      </c>
      <c r="GH23" s="134">
        <f t="shared" ref="GH23" si="414">+GG23+20</f>
        <v>1970</v>
      </c>
      <c r="GI23" s="134">
        <f t="shared" ref="GI23:GS23" si="415">+GH23+20</f>
        <v>1990</v>
      </c>
      <c r="GJ23" s="134">
        <f t="shared" si="415"/>
        <v>2010</v>
      </c>
      <c r="GK23" s="134">
        <f t="shared" si="415"/>
        <v>2030</v>
      </c>
      <c r="GL23" s="134">
        <f t="shared" si="415"/>
        <v>2050</v>
      </c>
      <c r="GM23" s="134">
        <f t="shared" si="415"/>
        <v>2070</v>
      </c>
      <c r="GN23" s="134">
        <f t="shared" si="415"/>
        <v>2090</v>
      </c>
      <c r="GO23" s="134">
        <f t="shared" si="415"/>
        <v>2110</v>
      </c>
      <c r="GP23" s="134">
        <f t="shared" si="415"/>
        <v>2130</v>
      </c>
      <c r="GQ23" s="134">
        <f t="shared" si="415"/>
        <v>2150</v>
      </c>
      <c r="GR23" s="134">
        <f t="shared" si="415"/>
        <v>2170</v>
      </c>
      <c r="GS23" s="134">
        <f t="shared" si="415"/>
        <v>2190</v>
      </c>
      <c r="GT23" s="134">
        <f t="shared" ref="GT23" si="416">+GS23+20</f>
        <v>2210</v>
      </c>
      <c r="GU23" s="134">
        <f t="shared" ref="GU23:GX23" si="417">+GT23+20</f>
        <v>2230</v>
      </c>
      <c r="GV23" s="134">
        <f t="shared" si="417"/>
        <v>2250</v>
      </c>
      <c r="GW23" s="134">
        <f t="shared" si="417"/>
        <v>2270</v>
      </c>
      <c r="GX23" s="134">
        <f t="shared" si="417"/>
        <v>2290</v>
      </c>
      <c r="GY23" s="134">
        <f t="shared" ref="GY23" si="418">+GX23+20</f>
        <v>2310</v>
      </c>
      <c r="GZ23" s="134">
        <f t="shared" ref="GZ23" si="419">+GY23+20</f>
        <v>2330</v>
      </c>
      <c r="HA23" s="134">
        <f t="shared" ref="HA23" si="420">+GZ23+20</f>
        <v>2350</v>
      </c>
      <c r="HB23" s="134">
        <f t="shared" ref="HB23" si="421">+HA23+20</f>
        <v>2370</v>
      </c>
      <c r="HC23" s="134">
        <f t="shared" ref="HC23" si="422">+HB23+20</f>
        <v>2390</v>
      </c>
      <c r="HD23" s="134">
        <f t="shared" ref="HD23" si="423">+HC23+20</f>
        <v>2410</v>
      </c>
      <c r="HE23" s="134">
        <f t="shared" ref="HE23" si="424">+HD23+20</f>
        <v>2430</v>
      </c>
      <c r="HF23" s="134">
        <f t="shared" ref="HF23" si="425">+HE23+20</f>
        <v>2450</v>
      </c>
      <c r="HG23" s="134"/>
      <c r="HH23" s="134"/>
      <c r="HI23" s="134"/>
      <c r="HJ23" s="134"/>
      <c r="HK23" s="134"/>
      <c r="HL23" s="134"/>
      <c r="HM23" s="134"/>
      <c r="HN23" s="134"/>
      <c r="HO23" s="134"/>
      <c r="HP23" s="134"/>
      <c r="HQ23" s="134"/>
      <c r="HR23" s="134"/>
      <c r="HS23" s="134"/>
      <c r="HT23" s="134"/>
      <c r="HU23" s="134"/>
      <c r="HV23" s="134"/>
      <c r="HW23" s="134"/>
      <c r="HX23" s="134"/>
      <c r="HY23" s="134"/>
      <c r="HZ23" s="134"/>
      <c r="IA23" s="134"/>
      <c r="IB23" s="134"/>
      <c r="IC23" s="134"/>
      <c r="ID23" s="134"/>
      <c r="IE23" s="134"/>
      <c r="IF23" s="134"/>
      <c r="IG23" s="134"/>
      <c r="IH23" s="134"/>
      <c r="II23" s="134"/>
      <c r="IJ23" s="134"/>
      <c r="IK23" s="134"/>
      <c r="IL23" s="134"/>
      <c r="IM23" s="134"/>
      <c r="IN23" s="134"/>
      <c r="IO23" s="134"/>
      <c r="IP23" s="134"/>
      <c r="IQ23" s="134"/>
      <c r="IR23" s="134"/>
      <c r="IS23" s="134"/>
      <c r="IT23" s="134"/>
      <c r="IU23" s="134"/>
      <c r="IV23" s="134"/>
      <c r="IW23" s="134"/>
      <c r="IX23" s="134"/>
      <c r="IY23" s="134"/>
      <c r="IZ23" s="134"/>
      <c r="JA23" s="134"/>
      <c r="JB23" s="134"/>
      <c r="JC23" s="134"/>
      <c r="JD23" s="134"/>
      <c r="JE23" s="134"/>
      <c r="JF23" s="134"/>
      <c r="JG23" s="134"/>
      <c r="JH23" s="134"/>
      <c r="JI23" s="134"/>
      <c r="JJ23" s="134"/>
      <c r="JK23" s="134"/>
      <c r="JL23" s="134"/>
      <c r="JM23" s="134"/>
      <c r="JN23" s="134"/>
      <c r="JO23" s="134"/>
      <c r="JP23" s="134"/>
      <c r="JQ23" s="134"/>
      <c r="JR23" s="134"/>
      <c r="JS23" s="134"/>
      <c r="JT23" s="134"/>
      <c r="JU23" s="134"/>
      <c r="JV23" s="134"/>
      <c r="JW23" s="134"/>
      <c r="JX23" s="134"/>
      <c r="JY23" s="134"/>
      <c r="JZ23" s="134"/>
      <c r="KA23" s="134"/>
      <c r="KB23" s="134"/>
      <c r="KC23" s="134"/>
      <c r="KD23" s="134"/>
      <c r="KE23" s="134"/>
      <c r="KF23" s="134"/>
      <c r="KG23" s="134"/>
      <c r="KH23" s="134"/>
      <c r="KI23" s="134"/>
      <c r="KJ23" s="134"/>
    </row>
    <row r="24" spans="1:296" s="3" customFormat="1" ht="14">
      <c r="F24" s="3" t="s">
        <v>99</v>
      </c>
      <c r="H24" s="3" t="s">
        <v>99</v>
      </c>
      <c r="U24" s="3">
        <v>1360</v>
      </c>
      <c r="V24" s="3">
        <v>1360</v>
      </c>
      <c r="W24" s="3">
        <v>1360</v>
      </c>
      <c r="X24" s="3">
        <v>1360</v>
      </c>
      <c r="Y24" s="3">
        <v>1360</v>
      </c>
      <c r="Z24" s="3">
        <v>1360</v>
      </c>
      <c r="AA24" s="3">
        <v>1610</v>
      </c>
      <c r="AB24" s="3">
        <v>1610</v>
      </c>
      <c r="AC24" s="3">
        <v>1610</v>
      </c>
      <c r="AD24" s="3">
        <v>1610</v>
      </c>
      <c r="AE24" s="3">
        <v>1610</v>
      </c>
      <c r="AF24" s="3">
        <v>1610</v>
      </c>
      <c r="AG24" s="3">
        <v>1610</v>
      </c>
      <c r="AH24" s="3">
        <v>1610</v>
      </c>
      <c r="AI24" s="3">
        <v>1610</v>
      </c>
      <c r="AJ24" s="3">
        <v>1610</v>
      </c>
      <c r="AK24" s="3">
        <v>1610</v>
      </c>
      <c r="AL24" s="3">
        <v>1575</v>
      </c>
      <c r="AM24" s="3">
        <v>1575</v>
      </c>
      <c r="AN24" s="3">
        <v>1575</v>
      </c>
      <c r="AO24" s="3">
        <v>1530</v>
      </c>
      <c r="AP24" s="3">
        <v>1530</v>
      </c>
      <c r="AQ24" s="3">
        <v>1530</v>
      </c>
      <c r="AR24" s="3">
        <v>1530</v>
      </c>
      <c r="AS24" s="3">
        <v>1530</v>
      </c>
      <c r="AT24" s="3">
        <v>1530</v>
      </c>
      <c r="AU24" s="3">
        <v>1530</v>
      </c>
      <c r="AV24" s="3">
        <v>1530</v>
      </c>
      <c r="AW24" s="3">
        <v>1530</v>
      </c>
      <c r="AX24" s="3">
        <v>1500</v>
      </c>
      <c r="AY24" s="3">
        <v>1500</v>
      </c>
      <c r="AZ24" s="3">
        <v>1500</v>
      </c>
      <c r="BA24" s="3">
        <v>1430</v>
      </c>
      <c r="BB24" s="3">
        <v>1430</v>
      </c>
      <c r="BC24" s="3">
        <v>1430</v>
      </c>
      <c r="BD24" s="171">
        <v>1430</v>
      </c>
      <c r="BE24" s="171">
        <v>1430</v>
      </c>
      <c r="BF24" s="171">
        <v>1430</v>
      </c>
      <c r="BG24" s="171">
        <v>1430</v>
      </c>
      <c r="BH24" s="171">
        <v>1430</v>
      </c>
      <c r="BI24" s="171">
        <v>1430</v>
      </c>
      <c r="BJ24" s="171">
        <v>1430</v>
      </c>
      <c r="BK24" s="171">
        <v>1430</v>
      </c>
      <c r="BL24" s="171">
        <v>1350</v>
      </c>
      <c r="BM24" s="171">
        <v>1350</v>
      </c>
      <c r="BN24" s="171">
        <v>1350</v>
      </c>
      <c r="BO24" s="171">
        <v>1350</v>
      </c>
      <c r="BP24" s="171">
        <v>1380</v>
      </c>
      <c r="BQ24" s="171">
        <v>1380</v>
      </c>
      <c r="BR24" s="171">
        <v>1380</v>
      </c>
      <c r="BS24" s="171">
        <v>1380</v>
      </c>
      <c r="BT24" s="171">
        <v>1380</v>
      </c>
      <c r="BU24" s="171">
        <v>1380</v>
      </c>
      <c r="BV24" s="171">
        <v>1330</v>
      </c>
      <c r="BW24" s="171">
        <v>1330</v>
      </c>
      <c r="BX24" s="171">
        <v>1330</v>
      </c>
      <c r="BY24" s="184">
        <v>1265</v>
      </c>
      <c r="BZ24" s="184">
        <v>1265</v>
      </c>
      <c r="CA24" s="184">
        <v>1265</v>
      </c>
      <c r="CB24" s="184">
        <v>1506</v>
      </c>
      <c r="CC24" s="149"/>
      <c r="CF24" s="125" t="s">
        <v>82</v>
      </c>
      <c r="CY24" s="3">
        <f>CY22</f>
        <v>1105</v>
      </c>
      <c r="CZ24" s="3">
        <f t="shared" ref="CZ24:DV24" si="426">CZ22</f>
        <v>1065</v>
      </c>
      <c r="DA24" s="3">
        <f t="shared" si="426"/>
        <v>1065</v>
      </c>
      <c r="DB24" s="3">
        <f t="shared" si="426"/>
        <v>1030</v>
      </c>
      <c r="DC24" s="3">
        <f t="shared" si="426"/>
        <v>1030</v>
      </c>
      <c r="DD24" s="3">
        <f t="shared" si="426"/>
        <v>1030</v>
      </c>
      <c r="DE24" s="3">
        <f t="shared" si="426"/>
        <v>1015</v>
      </c>
      <c r="DF24" s="3">
        <f t="shared" si="426"/>
        <v>995</v>
      </c>
      <c r="DG24" s="3">
        <f t="shared" si="426"/>
        <v>995</v>
      </c>
      <c r="DH24" s="3">
        <f t="shared" si="426"/>
        <v>995</v>
      </c>
      <c r="DI24" s="3">
        <f t="shared" si="426"/>
        <v>1010</v>
      </c>
      <c r="DJ24" s="43">
        <f t="shared" si="426"/>
        <v>940</v>
      </c>
      <c r="DK24" s="43">
        <f t="shared" si="426"/>
        <v>1020</v>
      </c>
      <c r="DL24" s="43">
        <f t="shared" si="426"/>
        <v>1030</v>
      </c>
      <c r="DM24" s="43">
        <f t="shared" si="426"/>
        <v>1080</v>
      </c>
      <c r="DN24" s="43">
        <f t="shared" si="426"/>
        <v>1100</v>
      </c>
      <c r="DO24" s="43">
        <f t="shared" si="426"/>
        <v>1100</v>
      </c>
      <c r="DP24" s="43">
        <f t="shared" si="426"/>
        <v>1090</v>
      </c>
      <c r="DQ24" s="43">
        <f t="shared" si="426"/>
        <v>1080</v>
      </c>
      <c r="DR24" s="43">
        <f t="shared" si="426"/>
        <v>1080</v>
      </c>
      <c r="DS24" s="43">
        <f t="shared" si="426"/>
        <v>1070</v>
      </c>
      <c r="DT24" s="43">
        <f t="shared" si="426"/>
        <v>1070</v>
      </c>
      <c r="DU24" s="43">
        <f t="shared" si="426"/>
        <v>1070</v>
      </c>
      <c r="DV24" s="43">
        <f t="shared" si="426"/>
        <v>1050</v>
      </c>
      <c r="DW24" s="43">
        <f t="shared" ref="DW24:EK24" si="427">DW22</f>
        <v>1050</v>
      </c>
      <c r="DX24" s="43">
        <f t="shared" si="427"/>
        <v>1050</v>
      </c>
      <c r="DY24" s="43">
        <f t="shared" si="427"/>
        <v>1050</v>
      </c>
      <c r="DZ24" s="43">
        <f t="shared" si="427"/>
        <v>1050</v>
      </c>
      <c r="EA24" s="43">
        <f t="shared" si="427"/>
        <v>1050</v>
      </c>
      <c r="EB24" s="43">
        <f t="shared" si="427"/>
        <v>1050</v>
      </c>
      <c r="EC24" s="43">
        <f t="shared" si="427"/>
        <v>1040</v>
      </c>
      <c r="ED24" s="43">
        <f t="shared" si="427"/>
        <v>1030</v>
      </c>
      <c r="EE24" s="43">
        <f t="shared" si="427"/>
        <v>1030</v>
      </c>
      <c r="EF24" s="43">
        <f t="shared" si="427"/>
        <v>950</v>
      </c>
      <c r="EG24" s="43">
        <f t="shared" si="427"/>
        <v>950</v>
      </c>
      <c r="EH24" s="43">
        <f t="shared" si="427"/>
        <v>950</v>
      </c>
      <c r="EI24" s="43">
        <f t="shared" si="427"/>
        <v>950</v>
      </c>
      <c r="EJ24" s="43">
        <f>EJ22</f>
        <v>950</v>
      </c>
      <c r="EK24" s="43">
        <f t="shared" si="427"/>
        <v>970</v>
      </c>
      <c r="EL24" s="43">
        <f>EL22</f>
        <v>970</v>
      </c>
      <c r="EM24" s="43">
        <f>EM22</f>
        <v>1000</v>
      </c>
      <c r="EN24" s="43">
        <f>EN22</f>
        <v>1000</v>
      </c>
      <c r="EO24" s="43">
        <f>EO22</f>
        <v>1000</v>
      </c>
      <c r="EP24" s="134">
        <f t="shared" ref="EP24:EU24" si="428">EP22</f>
        <v>1020</v>
      </c>
      <c r="EQ24" s="134">
        <f t="shared" si="428"/>
        <v>1020</v>
      </c>
      <c r="ER24" s="134">
        <f t="shared" si="428"/>
        <v>1020</v>
      </c>
      <c r="ES24" s="134">
        <f t="shared" si="428"/>
        <v>1030</v>
      </c>
      <c r="ET24" s="134">
        <f t="shared" si="428"/>
        <v>1030</v>
      </c>
      <c r="EU24" s="134">
        <f t="shared" si="428"/>
        <v>1030</v>
      </c>
      <c r="EV24" s="134">
        <f t="shared" ref="EV24:FA24" si="429">EV22</f>
        <v>1030</v>
      </c>
      <c r="EW24" s="134">
        <f t="shared" si="429"/>
        <v>1030</v>
      </c>
      <c r="EX24" s="134">
        <f t="shared" si="429"/>
        <v>1020</v>
      </c>
      <c r="EY24" s="134">
        <f t="shared" si="429"/>
        <v>1000</v>
      </c>
      <c r="EZ24" s="134">
        <f t="shared" si="429"/>
        <v>980</v>
      </c>
      <c r="FA24" s="134">
        <f t="shared" si="429"/>
        <v>960</v>
      </c>
      <c r="FB24" s="134">
        <f t="shared" ref="FB24:FC24" si="430">FB22</f>
        <v>940</v>
      </c>
      <c r="FC24" s="134">
        <f t="shared" si="430"/>
        <v>940</v>
      </c>
      <c r="FD24" s="134">
        <f t="shared" ref="FD24:FE24" si="431">FD22</f>
        <v>940</v>
      </c>
      <c r="FE24" s="134">
        <f t="shared" si="431"/>
        <v>940</v>
      </c>
      <c r="FF24" s="134">
        <f t="shared" ref="FF24:FG24" si="432">FF22</f>
        <v>920</v>
      </c>
      <c r="FG24" s="134">
        <f t="shared" si="432"/>
        <v>920</v>
      </c>
      <c r="FH24" s="134">
        <f t="shared" ref="FH24:FI24" si="433">FH22</f>
        <v>920</v>
      </c>
      <c r="FI24" s="134">
        <f t="shared" si="433"/>
        <v>920</v>
      </c>
      <c r="FJ24" s="134">
        <f t="shared" ref="FJ24:FK24" si="434">FJ22</f>
        <v>950</v>
      </c>
      <c r="FK24" s="134">
        <f t="shared" si="434"/>
        <v>950</v>
      </c>
      <c r="FL24" s="134">
        <f t="shared" ref="FL24:FM24" si="435">FL22</f>
        <v>970</v>
      </c>
      <c r="FM24" s="134">
        <f t="shared" si="435"/>
        <v>980</v>
      </c>
      <c r="FN24" s="134">
        <f t="shared" ref="FN24:FP24" si="436">FN22</f>
        <v>1000</v>
      </c>
      <c r="FO24" s="134">
        <f t="shared" si="436"/>
        <v>1000</v>
      </c>
      <c r="FP24" s="134">
        <f t="shared" si="436"/>
        <v>1000</v>
      </c>
      <c r="FQ24" s="134">
        <f t="shared" ref="FQ24:FR24" si="437">FQ22</f>
        <v>980</v>
      </c>
      <c r="FR24" s="134">
        <f t="shared" si="437"/>
        <v>980</v>
      </c>
      <c r="FS24" s="134">
        <f t="shared" ref="FS24:FT24" si="438">FS22</f>
        <v>980</v>
      </c>
      <c r="FT24" s="134">
        <f t="shared" si="438"/>
        <v>960</v>
      </c>
      <c r="FU24" s="134">
        <f t="shared" ref="FU24:FW24" si="439">FU22</f>
        <v>960</v>
      </c>
      <c r="FV24" s="134">
        <f t="shared" si="439"/>
        <v>960</v>
      </c>
      <c r="FW24" s="134">
        <f t="shared" si="439"/>
        <v>970</v>
      </c>
      <c r="FX24" s="134">
        <f t="shared" ref="FX24:FY24" si="440">FX22</f>
        <v>970</v>
      </c>
      <c r="FY24" s="134">
        <f t="shared" si="440"/>
        <v>980</v>
      </c>
      <c r="FZ24" s="134">
        <f t="shared" ref="FZ24:GA24" si="441">FZ22</f>
        <v>980</v>
      </c>
      <c r="GA24" s="134">
        <f t="shared" si="441"/>
        <v>980</v>
      </c>
      <c r="GB24" s="134">
        <f t="shared" ref="GB24:GC24" si="442">GB22</f>
        <v>1000</v>
      </c>
      <c r="GC24" s="134">
        <f t="shared" si="442"/>
        <v>1000</v>
      </c>
      <c r="GD24" s="134">
        <f t="shared" ref="GD24:GE24" si="443">GD22</f>
        <v>1000</v>
      </c>
      <c r="GE24" s="134">
        <f t="shared" si="443"/>
        <v>1000</v>
      </c>
      <c r="GF24" s="134">
        <f t="shared" ref="GF24:GG24" si="444">GF22</f>
        <v>1000</v>
      </c>
      <c r="GG24" s="134">
        <f t="shared" si="444"/>
        <v>1000</v>
      </c>
      <c r="GH24" s="134">
        <f t="shared" ref="GH24:GI24" si="445">GH22</f>
        <v>1000</v>
      </c>
      <c r="GI24" s="134">
        <f t="shared" si="445"/>
        <v>1000</v>
      </c>
      <c r="GJ24" s="134">
        <f t="shared" ref="GJ24:GK24" si="446">GJ22</f>
        <v>1000</v>
      </c>
      <c r="GK24" s="134">
        <f t="shared" si="446"/>
        <v>1000</v>
      </c>
      <c r="GL24" s="134">
        <f t="shared" ref="GL24:GM24" si="447">GL22</f>
        <v>1000</v>
      </c>
      <c r="GM24" s="134">
        <f t="shared" si="447"/>
        <v>980</v>
      </c>
      <c r="GN24" s="134">
        <f t="shared" ref="GN24:GO24" si="448">GN22</f>
        <v>970</v>
      </c>
      <c r="GO24" s="134">
        <f t="shared" si="448"/>
        <v>970</v>
      </c>
      <c r="GP24" s="134">
        <f>GP22</f>
        <v>970</v>
      </c>
      <c r="GQ24" s="134">
        <f>GQ22</f>
        <v>970</v>
      </c>
      <c r="GR24" s="134">
        <f>GR22</f>
        <v>970</v>
      </c>
      <c r="GS24" s="134">
        <f>GS22</f>
        <v>960</v>
      </c>
      <c r="GT24" s="134">
        <f t="shared" ref="GT24:GU24" si="449">GT22</f>
        <v>960</v>
      </c>
      <c r="GU24" s="134">
        <f t="shared" si="449"/>
        <v>960</v>
      </c>
      <c r="GV24" s="134">
        <f t="shared" ref="GV24:GW24" si="450">GV22</f>
        <v>960</v>
      </c>
      <c r="GW24" s="134">
        <f t="shared" si="450"/>
        <v>980</v>
      </c>
      <c r="GX24" s="134">
        <f t="shared" ref="GX24:HB24" si="451">GX22</f>
        <v>980</v>
      </c>
      <c r="GY24" s="134">
        <f t="shared" si="451"/>
        <v>980</v>
      </c>
      <c r="GZ24" s="134">
        <f t="shared" si="451"/>
        <v>970</v>
      </c>
      <c r="HA24" s="134">
        <f t="shared" si="451"/>
        <v>970</v>
      </c>
      <c r="HB24" s="134">
        <f t="shared" si="451"/>
        <v>970</v>
      </c>
      <c r="HC24" s="134">
        <f t="shared" ref="HC24:HF24" si="452">HC22</f>
        <v>970</v>
      </c>
      <c r="HD24" s="134">
        <f t="shared" si="452"/>
        <v>950</v>
      </c>
      <c r="HE24" s="134">
        <f t="shared" si="452"/>
        <v>950</v>
      </c>
      <c r="HF24" s="134">
        <f t="shared" si="452"/>
        <v>940</v>
      </c>
      <c r="HG24" s="134">
        <f t="shared" ref="HG24:HH24" si="453">HG22</f>
        <v>940</v>
      </c>
      <c r="HH24" s="134">
        <f t="shared" si="453"/>
        <v>940</v>
      </c>
      <c r="HI24" s="134">
        <f t="shared" ref="HI24:HJ24" si="454">HI22</f>
        <v>940</v>
      </c>
      <c r="HJ24" s="134">
        <f t="shared" si="454"/>
        <v>940</v>
      </c>
      <c r="HK24" s="134">
        <f t="shared" ref="HK24:HL24" si="455">HK22</f>
        <v>940</v>
      </c>
      <c r="HL24" s="134">
        <f t="shared" si="455"/>
        <v>940</v>
      </c>
      <c r="HM24" s="134">
        <f t="shared" ref="HM24:HN24" si="456">HM22</f>
        <v>896</v>
      </c>
      <c r="HN24" s="134">
        <f t="shared" si="456"/>
        <v>896</v>
      </c>
      <c r="HO24" s="134">
        <f t="shared" ref="HO24:HR24" si="457">HO22</f>
        <v>896</v>
      </c>
      <c r="HP24" s="134">
        <f t="shared" si="457"/>
        <v>896</v>
      </c>
      <c r="HQ24" s="134">
        <f t="shared" si="457"/>
        <v>896</v>
      </c>
      <c r="HR24" s="134">
        <f t="shared" si="457"/>
        <v>896</v>
      </c>
      <c r="HS24" s="134">
        <f t="shared" ref="HS24:HV24" si="458">HS22</f>
        <v>896</v>
      </c>
      <c r="HT24" s="134">
        <f t="shared" si="458"/>
        <v>900</v>
      </c>
      <c r="HU24" s="134">
        <f t="shared" si="458"/>
        <v>890</v>
      </c>
      <c r="HV24" s="134">
        <f t="shared" si="458"/>
        <v>880</v>
      </c>
      <c r="HW24" s="134">
        <f t="shared" ref="HW24:IA24" si="459">HW22</f>
        <v>870</v>
      </c>
      <c r="HX24" s="134">
        <f t="shared" si="459"/>
        <v>870</v>
      </c>
      <c r="HY24" s="134">
        <f t="shared" si="459"/>
        <v>860</v>
      </c>
      <c r="HZ24" s="134">
        <f t="shared" si="459"/>
        <v>860</v>
      </c>
      <c r="IA24" s="134">
        <f t="shared" si="459"/>
        <v>860</v>
      </c>
      <c r="IB24" s="134">
        <f t="shared" ref="IB24:IE24" si="460">IB22</f>
        <v>833</v>
      </c>
      <c r="IC24" s="134">
        <f t="shared" si="460"/>
        <v>833</v>
      </c>
      <c r="ID24" s="134">
        <f t="shared" si="460"/>
        <v>833</v>
      </c>
      <c r="IE24" s="134">
        <f t="shared" si="460"/>
        <v>833</v>
      </c>
      <c r="IF24" s="134">
        <f t="shared" ref="IF24:IJ24" si="461">IF22</f>
        <v>833</v>
      </c>
      <c r="IG24" s="134">
        <f t="shared" si="461"/>
        <v>833</v>
      </c>
      <c r="IH24" s="134">
        <f t="shared" si="461"/>
        <v>833</v>
      </c>
      <c r="II24" s="134">
        <f t="shared" si="461"/>
        <v>833</v>
      </c>
      <c r="IJ24" s="134">
        <f t="shared" si="461"/>
        <v>833</v>
      </c>
      <c r="IK24" s="134">
        <f t="shared" ref="IK24:IN24" si="462">IK22</f>
        <v>815</v>
      </c>
      <c r="IL24" s="134">
        <f t="shared" si="462"/>
        <v>815</v>
      </c>
      <c r="IM24" s="134">
        <f t="shared" si="462"/>
        <v>815</v>
      </c>
      <c r="IN24" s="134">
        <f t="shared" si="462"/>
        <v>815</v>
      </c>
      <c r="IO24" s="134">
        <f t="shared" ref="IO24:IR24" si="463">IO22</f>
        <v>815</v>
      </c>
      <c r="IP24" s="134">
        <f t="shared" si="463"/>
        <v>815</v>
      </c>
      <c r="IQ24" s="134">
        <f t="shared" si="463"/>
        <v>815</v>
      </c>
      <c r="IR24" s="134">
        <f t="shared" si="463"/>
        <v>805</v>
      </c>
      <c r="IS24" s="134">
        <f t="shared" ref="IS24:IW24" si="464">IS22</f>
        <v>805</v>
      </c>
      <c r="IT24" s="134">
        <f t="shared" si="464"/>
        <v>805</v>
      </c>
      <c r="IU24" s="134">
        <f t="shared" si="464"/>
        <v>805</v>
      </c>
      <c r="IV24" s="134">
        <f t="shared" si="464"/>
        <v>805</v>
      </c>
      <c r="IW24" s="134">
        <f t="shared" si="464"/>
        <v>805</v>
      </c>
      <c r="IX24" s="134">
        <f t="shared" ref="IX24:JA24" si="465">IX22</f>
        <v>805</v>
      </c>
      <c r="IY24" s="134">
        <f t="shared" si="465"/>
        <v>805</v>
      </c>
      <c r="IZ24" s="134">
        <f t="shared" si="465"/>
        <v>805</v>
      </c>
      <c r="JA24" s="134">
        <f t="shared" si="465"/>
        <v>805</v>
      </c>
      <c r="JB24" s="134">
        <f t="shared" ref="JB24:JE24" si="466">JB22</f>
        <v>805</v>
      </c>
      <c r="JC24" s="134">
        <f t="shared" si="466"/>
        <v>805</v>
      </c>
      <c r="JD24" s="134">
        <f t="shared" si="466"/>
        <v>800</v>
      </c>
      <c r="JE24" s="134">
        <f t="shared" si="466"/>
        <v>800</v>
      </c>
      <c r="JF24" s="134">
        <f t="shared" ref="JF24:JJ24" si="467">JF22</f>
        <v>800</v>
      </c>
      <c r="JG24" s="134">
        <f t="shared" si="467"/>
        <v>800</v>
      </c>
      <c r="JH24" s="134">
        <f t="shared" si="467"/>
        <v>800</v>
      </c>
      <c r="JI24" s="134">
        <f t="shared" si="467"/>
        <v>800</v>
      </c>
      <c r="JJ24" s="134">
        <f t="shared" si="467"/>
        <v>800</v>
      </c>
      <c r="JK24" s="134">
        <f t="shared" ref="JK24:JN24" si="468">JK22</f>
        <v>800</v>
      </c>
      <c r="JL24" s="134">
        <f t="shared" si="468"/>
        <v>800</v>
      </c>
      <c r="JM24" s="134">
        <f t="shared" si="468"/>
        <v>800</v>
      </c>
      <c r="JN24" s="134">
        <f t="shared" si="468"/>
        <v>800</v>
      </c>
      <c r="JO24" s="134">
        <f t="shared" ref="JO24:JR24" si="469">JO22</f>
        <v>975</v>
      </c>
      <c r="JP24" s="134">
        <f t="shared" si="469"/>
        <v>1350</v>
      </c>
      <c r="JQ24" s="134">
        <f t="shared" si="469"/>
        <v>1450</v>
      </c>
      <c r="JR24" s="134">
        <f t="shared" si="469"/>
        <v>1550</v>
      </c>
      <c r="JS24" s="134">
        <f t="shared" ref="JS24:JW24" si="470">JS22</f>
        <v>1550</v>
      </c>
      <c r="JT24" s="134">
        <f t="shared" si="470"/>
        <v>1600</v>
      </c>
      <c r="JU24" s="134">
        <f t="shared" si="470"/>
        <v>1600</v>
      </c>
      <c r="JV24" s="134">
        <f t="shared" si="470"/>
        <v>1600</v>
      </c>
      <c r="JW24" s="134">
        <f t="shared" si="470"/>
        <v>1600</v>
      </c>
      <c r="JX24" s="134">
        <f t="shared" ref="JX24:KA24" si="471">JX22</f>
        <v>1600</v>
      </c>
      <c r="JY24" s="134">
        <f t="shared" si="471"/>
        <v>1500</v>
      </c>
      <c r="JZ24" s="134">
        <f t="shared" si="471"/>
        <v>1470</v>
      </c>
      <c r="KA24" s="134">
        <f t="shared" si="471"/>
        <v>1430</v>
      </c>
      <c r="KB24" s="134">
        <f t="shared" ref="KB24:KE24" si="472">KB22</f>
        <v>1400</v>
      </c>
      <c r="KC24" s="134">
        <f t="shared" si="472"/>
        <v>1320</v>
      </c>
      <c r="KD24" s="134">
        <f t="shared" si="472"/>
        <v>1280</v>
      </c>
      <c r="KE24" s="134">
        <f t="shared" si="472"/>
        <v>1280</v>
      </c>
      <c r="KF24" s="134">
        <f t="shared" ref="KF24:KJ24" si="473">KF22</f>
        <v>1213</v>
      </c>
      <c r="KG24" s="134">
        <f t="shared" si="473"/>
        <v>1213</v>
      </c>
      <c r="KH24" s="134">
        <f t="shared" si="473"/>
        <v>0</v>
      </c>
      <c r="KI24" s="134">
        <f t="shared" si="473"/>
        <v>0</v>
      </c>
      <c r="KJ24" s="134">
        <f t="shared" si="473"/>
        <v>0</v>
      </c>
    </row>
    <row r="25" spans="1:296" ht="14">
      <c r="F25" s="117"/>
      <c r="H25" s="125" t="s">
        <v>82</v>
      </c>
      <c r="U25" s="41">
        <f>U23</f>
        <v>1185</v>
      </c>
      <c r="V25" s="41">
        <f t="shared" ref="V25:AQ25" si="474">V23</f>
        <v>1297.5</v>
      </c>
      <c r="W25" s="41">
        <f t="shared" si="474"/>
        <v>1386</v>
      </c>
      <c r="X25" s="41">
        <f t="shared" si="474"/>
        <v>1390</v>
      </c>
      <c r="Y25" s="41">
        <f t="shared" si="474"/>
        <v>1320</v>
      </c>
      <c r="Z25" s="41">
        <f t="shared" si="474"/>
        <v>1327</v>
      </c>
      <c r="AA25" s="41">
        <f t="shared" si="474"/>
        <v>1248</v>
      </c>
      <c r="AB25" s="41">
        <f t="shared" si="474"/>
        <v>1230</v>
      </c>
      <c r="AC25" s="41">
        <f t="shared" si="474"/>
        <v>1130</v>
      </c>
      <c r="AD25" s="41">
        <f t="shared" si="474"/>
        <v>1130</v>
      </c>
      <c r="AE25" s="41">
        <f t="shared" si="474"/>
        <v>1105</v>
      </c>
      <c r="AF25" s="41">
        <f t="shared" si="474"/>
        <v>1105</v>
      </c>
      <c r="AG25" s="41">
        <f t="shared" si="474"/>
        <v>1105</v>
      </c>
      <c r="AH25" s="41">
        <f t="shared" si="474"/>
        <v>1105</v>
      </c>
      <c r="AI25" s="41">
        <f t="shared" si="474"/>
        <v>1065</v>
      </c>
      <c r="AJ25" s="41">
        <f t="shared" si="474"/>
        <v>1065</v>
      </c>
      <c r="AK25" s="41">
        <f t="shared" si="474"/>
        <v>1002</v>
      </c>
      <c r="AL25" s="41">
        <f t="shared" si="474"/>
        <v>1017.5</v>
      </c>
      <c r="AM25" s="41">
        <f t="shared" si="474"/>
        <v>1092.5</v>
      </c>
      <c r="AN25" s="41">
        <f t="shared" si="474"/>
        <v>1072.5</v>
      </c>
      <c r="AO25" s="41">
        <f t="shared" si="474"/>
        <v>1050</v>
      </c>
      <c r="AP25" s="41">
        <f t="shared" si="474"/>
        <v>1044</v>
      </c>
      <c r="AQ25" s="41">
        <f t="shared" si="474"/>
        <v>970</v>
      </c>
      <c r="AR25" s="41">
        <f t="shared" ref="AR25:AW25" si="475">AR23</f>
        <v>960</v>
      </c>
      <c r="AS25" s="41">
        <f t="shared" si="475"/>
        <v>1008</v>
      </c>
      <c r="AT25" s="41">
        <f t="shared" si="475"/>
        <v>1027.5</v>
      </c>
      <c r="AU25" s="41">
        <f t="shared" si="475"/>
        <v>1020</v>
      </c>
      <c r="AV25" s="41">
        <f t="shared" si="475"/>
        <v>955</v>
      </c>
      <c r="AW25" s="41">
        <f t="shared" si="475"/>
        <v>928</v>
      </c>
      <c r="AX25" s="41">
        <f t="shared" ref="AX25:AY25" si="476">AX23</f>
        <v>940</v>
      </c>
      <c r="AY25" s="41">
        <f t="shared" si="476"/>
        <v>993.33333333333337</v>
      </c>
      <c r="AZ25" s="41">
        <f t="shared" ref="AZ25:BA25" si="477">AZ23</f>
        <v>985</v>
      </c>
      <c r="BA25" s="41">
        <f t="shared" si="477"/>
        <v>962.5</v>
      </c>
      <c r="BB25" s="41">
        <f t="shared" ref="BB25:BC25" si="478">BB23</f>
        <v>982</v>
      </c>
      <c r="BC25" s="41">
        <f t="shared" si="478"/>
        <v>1000</v>
      </c>
      <c r="BD25" s="41">
        <f t="shared" ref="BD25:BE25" si="479">BD23</f>
        <v>1000</v>
      </c>
      <c r="BE25" s="41">
        <f t="shared" si="479"/>
        <v>984</v>
      </c>
      <c r="BF25" s="41">
        <f t="shared" ref="BF25:BG25" si="480">BF23</f>
        <v>967.5</v>
      </c>
      <c r="BG25" s="41">
        <f t="shared" si="480"/>
        <v>965</v>
      </c>
      <c r="BH25" s="41">
        <f t="shared" ref="BH25:BI25" si="481">BH23</f>
        <v>974</v>
      </c>
      <c r="BI25" s="41">
        <f t="shared" si="481"/>
        <v>956</v>
      </c>
      <c r="BJ25" s="41">
        <f t="shared" ref="BJ25:BK25" si="482">BJ23</f>
        <v>940</v>
      </c>
      <c r="BK25" s="41">
        <f t="shared" si="482"/>
        <v>918</v>
      </c>
      <c r="BL25" s="41">
        <f t="shared" ref="BL25:BM25" si="483">BL23</f>
        <v>896</v>
      </c>
      <c r="BM25" s="41">
        <f t="shared" si="483"/>
        <v>891.5</v>
      </c>
      <c r="BN25" s="41">
        <f t="shared" ref="BN25:BO25" si="484">BN23</f>
        <v>864</v>
      </c>
      <c r="BO25" s="41">
        <f t="shared" si="484"/>
        <v>833</v>
      </c>
      <c r="BP25" s="41">
        <f t="shared" ref="BP25:BQ25" si="485">BP23</f>
        <v>833</v>
      </c>
      <c r="BQ25" s="41">
        <f t="shared" si="485"/>
        <v>815</v>
      </c>
      <c r="BR25" s="41">
        <f t="shared" ref="BR25:BS25" si="486">BR23</f>
        <v>812.5</v>
      </c>
      <c r="BS25" s="41">
        <f t="shared" si="486"/>
        <v>805</v>
      </c>
      <c r="BT25" s="41">
        <f t="shared" ref="BT25:BU25" si="487">BT23</f>
        <v>805</v>
      </c>
      <c r="BU25" s="41">
        <f t="shared" si="487"/>
        <v>802.5</v>
      </c>
      <c r="BV25" s="41">
        <f t="shared" ref="BV25:BW25" si="488">BV23</f>
        <v>800</v>
      </c>
      <c r="BW25" s="41">
        <f t="shared" si="488"/>
        <v>800</v>
      </c>
      <c r="BX25" s="41">
        <f t="shared" ref="BX25:BY25" si="489">BX23</f>
        <v>1331.25</v>
      </c>
      <c r="BY25" s="41">
        <f t="shared" si="489"/>
        <v>1590</v>
      </c>
      <c r="BZ25" s="41">
        <f>BZ23</f>
        <v>1500</v>
      </c>
      <c r="CA25" s="41">
        <f t="shared" ref="CA25:CB25" si="490">CA23</f>
        <v>1320</v>
      </c>
      <c r="CB25" s="41">
        <f t="shared" si="490"/>
        <v>1213</v>
      </c>
      <c r="CC25" s="146"/>
      <c r="CF25" s="117" t="s">
        <v>83</v>
      </c>
      <c r="CY25" s="41">
        <f t="shared" ref="CY25:EF25" si="491">+CY9-CY24</f>
        <v>425</v>
      </c>
      <c r="CZ25" s="41">
        <f t="shared" si="491"/>
        <v>465</v>
      </c>
      <c r="DA25" s="41">
        <f t="shared" si="491"/>
        <v>465</v>
      </c>
      <c r="DB25" s="41">
        <f t="shared" si="491"/>
        <v>500</v>
      </c>
      <c r="DC25" s="41">
        <f t="shared" si="491"/>
        <v>500</v>
      </c>
      <c r="DD25" s="41">
        <f t="shared" si="491"/>
        <v>500</v>
      </c>
      <c r="DE25" s="41">
        <f t="shared" si="491"/>
        <v>515</v>
      </c>
      <c r="DF25" s="41">
        <f t="shared" si="491"/>
        <v>535</v>
      </c>
      <c r="DG25" s="41">
        <f t="shared" si="491"/>
        <v>535</v>
      </c>
      <c r="DH25" s="41">
        <f t="shared" si="491"/>
        <v>405</v>
      </c>
      <c r="DI25" s="41">
        <f t="shared" si="491"/>
        <v>390</v>
      </c>
      <c r="DJ25" s="41">
        <f>+DJ9-DJ24</f>
        <v>460</v>
      </c>
      <c r="DK25" s="41">
        <f t="shared" si="491"/>
        <v>380</v>
      </c>
      <c r="DL25" s="41">
        <f t="shared" si="491"/>
        <v>370</v>
      </c>
      <c r="DM25" s="41">
        <f t="shared" si="491"/>
        <v>320</v>
      </c>
      <c r="DN25" s="41">
        <f t="shared" si="491"/>
        <v>300</v>
      </c>
      <c r="DO25" s="41">
        <f t="shared" si="491"/>
        <v>300</v>
      </c>
      <c r="DP25" s="41">
        <f t="shared" si="491"/>
        <v>310</v>
      </c>
      <c r="DQ25" s="41">
        <f t="shared" si="491"/>
        <v>320</v>
      </c>
      <c r="DR25" s="41">
        <f t="shared" si="491"/>
        <v>320</v>
      </c>
      <c r="DS25" s="41">
        <f t="shared" si="491"/>
        <v>330</v>
      </c>
      <c r="DT25" s="41">
        <f t="shared" si="491"/>
        <v>330</v>
      </c>
      <c r="DU25" s="41">
        <f t="shared" si="491"/>
        <v>330</v>
      </c>
      <c r="DV25" s="41">
        <f t="shared" si="491"/>
        <v>480</v>
      </c>
      <c r="DW25" s="41">
        <f t="shared" si="491"/>
        <v>480</v>
      </c>
      <c r="DX25" s="41">
        <f t="shared" si="491"/>
        <v>480</v>
      </c>
      <c r="DY25" s="41">
        <f t="shared" si="491"/>
        <v>480</v>
      </c>
      <c r="DZ25" s="41">
        <f t="shared" si="491"/>
        <v>480</v>
      </c>
      <c r="EA25" s="41">
        <f t="shared" si="491"/>
        <v>480</v>
      </c>
      <c r="EB25" s="41">
        <f t="shared" si="491"/>
        <v>480</v>
      </c>
      <c r="EC25" s="41">
        <f t="shared" si="491"/>
        <v>490</v>
      </c>
      <c r="ED25" s="41">
        <f t="shared" si="491"/>
        <v>500</v>
      </c>
      <c r="EE25" s="41">
        <f t="shared" si="491"/>
        <v>500</v>
      </c>
      <c r="EF25" s="41">
        <f t="shared" si="491"/>
        <v>500</v>
      </c>
      <c r="EG25" s="41">
        <f t="shared" ref="EG25:EL25" si="492">+EG9-EG24</f>
        <v>500</v>
      </c>
      <c r="EH25" s="41">
        <f t="shared" si="492"/>
        <v>500</v>
      </c>
      <c r="EI25" s="41">
        <f t="shared" si="492"/>
        <v>500</v>
      </c>
      <c r="EJ25" s="41">
        <f t="shared" si="492"/>
        <v>500</v>
      </c>
      <c r="EK25" s="41">
        <f t="shared" si="492"/>
        <v>430</v>
      </c>
      <c r="EL25" s="41">
        <f t="shared" si="492"/>
        <v>430</v>
      </c>
      <c r="EM25" s="41">
        <f>+EM9-EM24</f>
        <v>400</v>
      </c>
      <c r="EN25" s="41">
        <f>+EN9-EN24</f>
        <v>400</v>
      </c>
      <c r="EO25" s="41">
        <f>+EO9-EO24</f>
        <v>400</v>
      </c>
      <c r="EP25" s="41">
        <f t="shared" ref="EP25:EU25" si="493">+EP9-EP24</f>
        <v>380</v>
      </c>
      <c r="EQ25" s="41">
        <f t="shared" si="493"/>
        <v>380</v>
      </c>
      <c r="ER25" s="41">
        <f t="shared" si="493"/>
        <v>380</v>
      </c>
      <c r="ES25" s="41">
        <f t="shared" si="493"/>
        <v>370</v>
      </c>
      <c r="ET25" s="41">
        <f t="shared" si="493"/>
        <v>370</v>
      </c>
      <c r="EU25" s="41">
        <f t="shared" si="493"/>
        <v>370</v>
      </c>
      <c r="EV25" s="41">
        <f t="shared" ref="EV25:FB25" si="494">+EV9-EV24</f>
        <v>370</v>
      </c>
      <c r="EW25" s="41">
        <f t="shared" si="494"/>
        <v>370</v>
      </c>
      <c r="EX25" s="41">
        <f t="shared" si="494"/>
        <v>380</v>
      </c>
      <c r="EY25" s="41">
        <f t="shared" si="494"/>
        <v>400</v>
      </c>
      <c r="EZ25" s="41">
        <f t="shared" si="494"/>
        <v>420</v>
      </c>
      <c r="FA25" s="41">
        <f t="shared" si="494"/>
        <v>440</v>
      </c>
      <c r="FB25" s="41">
        <f t="shared" si="494"/>
        <v>460</v>
      </c>
      <c r="FC25" s="41">
        <f t="shared" ref="FC25:FD25" si="495">+FC9-FC24</f>
        <v>460</v>
      </c>
      <c r="FD25" s="41">
        <f t="shared" si="495"/>
        <v>460</v>
      </c>
      <c r="FE25" s="41">
        <f t="shared" ref="FE25:FF25" si="496">+FE9-FE24</f>
        <v>460</v>
      </c>
      <c r="FF25" s="41">
        <f t="shared" si="496"/>
        <v>480</v>
      </c>
      <c r="FG25" s="41">
        <f t="shared" ref="FG25:FH25" si="497">+FG9-FG24</f>
        <v>480</v>
      </c>
      <c r="FH25" s="41">
        <f t="shared" si="497"/>
        <v>480</v>
      </c>
      <c r="FI25" s="41">
        <f t="shared" ref="FI25:FJ25" si="498">+FI9-FI24</f>
        <v>480</v>
      </c>
      <c r="FJ25" s="41">
        <f t="shared" si="498"/>
        <v>450</v>
      </c>
      <c r="FK25" s="41">
        <f t="shared" ref="FK25:FL25" si="499">+FK9-FK24</f>
        <v>450</v>
      </c>
      <c r="FL25" s="41">
        <f t="shared" si="499"/>
        <v>430</v>
      </c>
      <c r="FM25" s="41">
        <f t="shared" ref="FM25:FN25" si="500">+FM9-FM24</f>
        <v>420</v>
      </c>
      <c r="FN25" s="41">
        <f t="shared" si="500"/>
        <v>400</v>
      </c>
      <c r="FO25" s="41">
        <f t="shared" ref="FO25:FP25" si="501">+FO9-FO24</f>
        <v>400</v>
      </c>
      <c r="FP25" s="41">
        <f t="shared" si="501"/>
        <v>400</v>
      </c>
      <c r="FQ25" s="41">
        <f t="shared" ref="FQ25:FR25" si="502">+FQ9-FQ24</f>
        <v>420</v>
      </c>
      <c r="FR25" s="41">
        <f t="shared" si="502"/>
        <v>420</v>
      </c>
      <c r="FS25" s="41">
        <f t="shared" ref="FS25:FT25" si="503">+FS9-FS24</f>
        <v>420</v>
      </c>
      <c r="FT25" s="41">
        <f t="shared" si="503"/>
        <v>440</v>
      </c>
      <c r="FU25" s="41">
        <f t="shared" ref="FU25:FW25" si="504">+FU9-FU24</f>
        <v>440</v>
      </c>
      <c r="FV25" s="41">
        <f t="shared" si="504"/>
        <v>440</v>
      </c>
      <c r="FW25" s="41">
        <f t="shared" si="504"/>
        <v>430</v>
      </c>
      <c r="FX25" s="41">
        <f t="shared" ref="FX25:FY25" si="505">+FX9-FX24</f>
        <v>430</v>
      </c>
      <c r="FY25" s="41">
        <f t="shared" si="505"/>
        <v>420</v>
      </c>
      <c r="FZ25" s="41">
        <f t="shared" ref="FZ25:GA25" si="506">+FZ9-FZ24</f>
        <v>420</v>
      </c>
      <c r="GA25" s="41">
        <f t="shared" si="506"/>
        <v>420</v>
      </c>
      <c r="GB25" s="41">
        <f t="shared" ref="GB25:GC25" si="507">+GB9-GB24</f>
        <v>400</v>
      </c>
      <c r="GC25" s="41">
        <f t="shared" si="507"/>
        <v>400</v>
      </c>
      <c r="GD25" s="41">
        <f t="shared" ref="GD25:GE25" si="508">+GD9-GD24</f>
        <v>400</v>
      </c>
      <c r="GE25" s="41">
        <f t="shared" si="508"/>
        <v>400</v>
      </c>
      <c r="GF25" s="41">
        <f t="shared" ref="GF25:GG25" si="509">+GF9-GF24</f>
        <v>400</v>
      </c>
      <c r="GG25" s="41">
        <f t="shared" si="509"/>
        <v>400</v>
      </c>
      <c r="GH25" s="41">
        <f t="shared" ref="GH25:GI25" si="510">+GH9-GH24</f>
        <v>400</v>
      </c>
      <c r="GI25" s="41">
        <f t="shared" si="510"/>
        <v>400</v>
      </c>
      <c r="GJ25" s="41">
        <f t="shared" ref="GJ25:GK25" si="511">+GJ9-GJ24</f>
        <v>400</v>
      </c>
      <c r="GK25" s="41">
        <f t="shared" si="511"/>
        <v>400</v>
      </c>
      <c r="GL25" s="41">
        <f t="shared" ref="GL25:GM25" si="512">+GL9-GL24</f>
        <v>400</v>
      </c>
      <c r="GM25" s="41">
        <f t="shared" si="512"/>
        <v>420</v>
      </c>
      <c r="GN25" s="41">
        <f t="shared" ref="GN25:GO25" si="513">+GN9-GN24</f>
        <v>430</v>
      </c>
      <c r="GO25" s="41">
        <f t="shared" si="513"/>
        <v>430</v>
      </c>
      <c r="GP25" s="41">
        <f t="shared" ref="GP25:GQ25" si="514">+GP9-GP24</f>
        <v>430</v>
      </c>
      <c r="GQ25" s="41">
        <f t="shared" si="514"/>
        <v>430</v>
      </c>
      <c r="GR25" s="41">
        <f t="shared" ref="GR25:GS25" si="515">+GR9-GR24</f>
        <v>430</v>
      </c>
      <c r="GS25" s="41">
        <f t="shared" si="515"/>
        <v>440</v>
      </c>
      <c r="GT25" s="41">
        <f t="shared" ref="GT25:GU25" si="516">+GT9-GT24</f>
        <v>440</v>
      </c>
      <c r="GU25" s="41">
        <f t="shared" si="516"/>
        <v>440</v>
      </c>
      <c r="GV25" s="41">
        <f t="shared" ref="GV25:GW25" si="517">+GV9-GV24</f>
        <v>440</v>
      </c>
      <c r="GW25" s="41">
        <f t="shared" si="517"/>
        <v>420</v>
      </c>
      <c r="GX25" s="41">
        <f t="shared" ref="GX25:HB25" si="518">+GX9-GX24</f>
        <v>420</v>
      </c>
      <c r="GY25" s="41">
        <f t="shared" si="518"/>
        <v>420</v>
      </c>
      <c r="GZ25" s="41">
        <f t="shared" si="518"/>
        <v>430</v>
      </c>
      <c r="HA25" s="41">
        <f t="shared" si="518"/>
        <v>430</v>
      </c>
      <c r="HB25" s="41">
        <f t="shared" si="518"/>
        <v>430</v>
      </c>
      <c r="HC25" s="41">
        <f t="shared" ref="HC25:HF25" si="519">+HC9-HC24</f>
        <v>430</v>
      </c>
      <c r="HD25" s="41">
        <f t="shared" si="519"/>
        <v>450</v>
      </c>
      <c r="HE25" s="41">
        <f t="shared" si="519"/>
        <v>450</v>
      </c>
      <c r="HF25" s="41">
        <f t="shared" si="519"/>
        <v>460</v>
      </c>
      <c r="HG25" s="41">
        <f t="shared" ref="HG25:HH25" si="520">+HG9-HG24</f>
        <v>460</v>
      </c>
      <c r="HH25" s="41">
        <f t="shared" si="520"/>
        <v>460</v>
      </c>
      <c r="HI25" s="41">
        <f t="shared" ref="HI25:HJ25" si="521">+HI9-HI24</f>
        <v>460</v>
      </c>
      <c r="HJ25" s="41">
        <f t="shared" si="521"/>
        <v>460</v>
      </c>
      <c r="HK25" s="41">
        <f t="shared" ref="HK25:HL25" si="522">+HK9-HK24</f>
        <v>460</v>
      </c>
      <c r="HL25" s="41">
        <f t="shared" si="522"/>
        <v>460</v>
      </c>
      <c r="HM25" s="41">
        <f t="shared" ref="HM25:HN25" si="523">+HM9-HM24</f>
        <v>504</v>
      </c>
      <c r="HN25" s="41">
        <f t="shared" si="523"/>
        <v>504</v>
      </c>
      <c r="HO25" s="41">
        <f t="shared" ref="HO25:HR25" si="524">+HO9-HO24</f>
        <v>454</v>
      </c>
      <c r="HP25" s="41">
        <f t="shared" si="524"/>
        <v>454</v>
      </c>
      <c r="HQ25" s="41">
        <f t="shared" si="524"/>
        <v>454</v>
      </c>
      <c r="HR25" s="41">
        <f t="shared" si="524"/>
        <v>454</v>
      </c>
      <c r="HS25" s="41">
        <f t="shared" ref="HS25:HV25" si="525">+HS9-HS24</f>
        <v>454</v>
      </c>
      <c r="HT25" s="41">
        <f t="shared" si="525"/>
        <v>450</v>
      </c>
      <c r="HU25" s="41">
        <f t="shared" si="525"/>
        <v>460</v>
      </c>
      <c r="HV25" s="41">
        <f t="shared" si="525"/>
        <v>470</v>
      </c>
      <c r="HW25" s="41">
        <f t="shared" ref="HW25:IA25" si="526">+HW9-HW24</f>
        <v>480</v>
      </c>
      <c r="HX25" s="41">
        <f t="shared" si="526"/>
        <v>480</v>
      </c>
      <c r="HY25" s="41">
        <f t="shared" si="526"/>
        <v>490</v>
      </c>
      <c r="HZ25" s="41">
        <f t="shared" si="526"/>
        <v>490</v>
      </c>
      <c r="IA25" s="41">
        <f t="shared" si="526"/>
        <v>490</v>
      </c>
      <c r="IB25" s="41">
        <f t="shared" ref="IB25:IE25" si="527">+IB9-IB24</f>
        <v>517</v>
      </c>
      <c r="IC25" s="41">
        <f t="shared" si="527"/>
        <v>517</v>
      </c>
      <c r="ID25" s="41">
        <f t="shared" si="527"/>
        <v>517</v>
      </c>
      <c r="IE25" s="41">
        <f t="shared" si="527"/>
        <v>517</v>
      </c>
      <c r="IF25" s="41">
        <f t="shared" ref="IF25:IJ25" si="528">+IF9-IF24</f>
        <v>517</v>
      </c>
      <c r="IG25" s="41">
        <f t="shared" si="528"/>
        <v>517</v>
      </c>
      <c r="IH25" s="41">
        <f t="shared" si="528"/>
        <v>517</v>
      </c>
      <c r="II25" s="41">
        <f t="shared" si="528"/>
        <v>517</v>
      </c>
      <c r="IJ25" s="41">
        <f t="shared" si="528"/>
        <v>517</v>
      </c>
      <c r="IK25" s="41">
        <f t="shared" ref="IK25:IN25" si="529">+IK9-IK24</f>
        <v>515</v>
      </c>
      <c r="IL25" s="41">
        <f t="shared" si="529"/>
        <v>515</v>
      </c>
      <c r="IM25" s="41">
        <f t="shared" si="529"/>
        <v>515</v>
      </c>
      <c r="IN25" s="41">
        <f t="shared" si="529"/>
        <v>515</v>
      </c>
      <c r="IO25" s="41">
        <f t="shared" ref="IO25:IR25" si="530">+IO9-IO24</f>
        <v>495</v>
      </c>
      <c r="IP25" s="41">
        <f t="shared" si="530"/>
        <v>495</v>
      </c>
      <c r="IQ25" s="41">
        <f t="shared" si="530"/>
        <v>495</v>
      </c>
      <c r="IR25" s="41">
        <f t="shared" si="530"/>
        <v>505</v>
      </c>
      <c r="IS25" s="41">
        <f>+IS9-IS24</f>
        <v>505</v>
      </c>
      <c r="IT25" s="41">
        <f t="shared" ref="IT25:IW25" si="531">+IT9-IT24</f>
        <v>505</v>
      </c>
      <c r="IU25" s="41">
        <f t="shared" si="531"/>
        <v>505</v>
      </c>
      <c r="IV25" s="41">
        <f t="shared" si="531"/>
        <v>505</v>
      </c>
      <c r="IW25" s="41">
        <f t="shared" si="531"/>
        <v>505</v>
      </c>
      <c r="IX25" s="41">
        <f t="shared" ref="IX25:JA25" si="532">+IX9-IX24</f>
        <v>495</v>
      </c>
      <c r="IY25" s="41">
        <f t="shared" si="532"/>
        <v>495</v>
      </c>
      <c r="IZ25" s="41">
        <f t="shared" si="532"/>
        <v>495</v>
      </c>
      <c r="JA25" s="41">
        <f t="shared" si="532"/>
        <v>495</v>
      </c>
      <c r="JB25" s="41">
        <f t="shared" ref="JB25:JE25" si="533">+JB9-JB24</f>
        <v>495</v>
      </c>
      <c r="JC25" s="41">
        <f t="shared" si="533"/>
        <v>495</v>
      </c>
      <c r="JD25" s="41">
        <f t="shared" si="533"/>
        <v>500</v>
      </c>
      <c r="JE25" s="41">
        <f t="shared" si="533"/>
        <v>500</v>
      </c>
      <c r="JF25" s="41">
        <f t="shared" ref="JF25:JJ25" si="534">+JF9-JF24</f>
        <v>500</v>
      </c>
      <c r="JG25" s="41">
        <f t="shared" si="534"/>
        <v>500</v>
      </c>
      <c r="JH25" s="41">
        <f t="shared" si="534"/>
        <v>500</v>
      </c>
      <c r="JI25" s="41">
        <f t="shared" si="534"/>
        <v>500</v>
      </c>
      <c r="JJ25" s="41">
        <f t="shared" si="534"/>
        <v>500</v>
      </c>
      <c r="JK25" s="41">
        <f t="shared" ref="JK25:JN25" si="535">+JK9-JK24</f>
        <v>500</v>
      </c>
      <c r="JL25" s="41">
        <f t="shared" si="535"/>
        <v>500</v>
      </c>
      <c r="JM25" s="41">
        <f t="shared" si="535"/>
        <v>500</v>
      </c>
      <c r="JN25" s="41">
        <f t="shared" si="535"/>
        <v>500</v>
      </c>
      <c r="JO25" s="41">
        <f t="shared" ref="JO25:JR25" si="536">+JO9-JO24</f>
        <v>325</v>
      </c>
      <c r="JP25" s="41">
        <f t="shared" si="536"/>
        <v>-50</v>
      </c>
      <c r="JQ25" s="41">
        <f t="shared" si="536"/>
        <v>-100</v>
      </c>
      <c r="JR25" s="41">
        <f t="shared" si="536"/>
        <v>-200</v>
      </c>
      <c r="JS25" s="41">
        <f t="shared" ref="JS25:JW25" si="537">+JS9-JS24</f>
        <v>-150</v>
      </c>
      <c r="JT25" s="41">
        <f t="shared" si="537"/>
        <v>-200</v>
      </c>
      <c r="JU25" s="41">
        <f t="shared" si="537"/>
        <v>-200</v>
      </c>
      <c r="JV25" s="41">
        <f t="shared" si="537"/>
        <v>-130</v>
      </c>
      <c r="JW25" s="41">
        <f t="shared" si="537"/>
        <v>-130</v>
      </c>
      <c r="JX25" s="41">
        <f t="shared" ref="JX25:KA25" si="538">+JX9-JX24</f>
        <v>-130</v>
      </c>
      <c r="JY25" s="41">
        <f t="shared" si="538"/>
        <v>-30</v>
      </c>
      <c r="JZ25" s="41">
        <f t="shared" si="538"/>
        <v>0</v>
      </c>
      <c r="KA25" s="41">
        <f t="shared" si="538"/>
        <v>40</v>
      </c>
      <c r="KB25" s="41">
        <f t="shared" ref="KB25:KE25" si="539">+KB9-KB24</f>
        <v>50</v>
      </c>
      <c r="KC25" s="41">
        <f t="shared" si="539"/>
        <v>130</v>
      </c>
      <c r="KD25" s="41">
        <f t="shared" si="539"/>
        <v>170</v>
      </c>
      <c r="KE25" s="41">
        <f t="shared" si="539"/>
        <v>170</v>
      </c>
      <c r="KF25" s="41">
        <f t="shared" ref="KF25:KJ25" si="540">+KF9-KF24</f>
        <v>217</v>
      </c>
      <c r="KG25" s="41">
        <f t="shared" si="540"/>
        <v>217</v>
      </c>
      <c r="KH25" s="41">
        <f t="shared" si="540"/>
        <v>0</v>
      </c>
      <c r="KI25" s="41">
        <f t="shared" si="540"/>
        <v>0</v>
      </c>
      <c r="KJ25" s="41">
        <f t="shared" si="540"/>
        <v>0</v>
      </c>
    </row>
    <row r="26" spans="1:296" ht="14">
      <c r="H26" s="117" t="s">
        <v>83</v>
      </c>
      <c r="U26" s="41">
        <f>U9-U25</f>
        <v>345</v>
      </c>
      <c r="V26" s="41">
        <f t="shared" ref="V26:AQ26" si="541">V9-V25</f>
        <v>232.5</v>
      </c>
      <c r="W26" s="41">
        <f t="shared" si="541"/>
        <v>174</v>
      </c>
      <c r="X26" s="41">
        <f t="shared" si="541"/>
        <v>220</v>
      </c>
      <c r="Y26" s="41">
        <f t="shared" si="541"/>
        <v>290</v>
      </c>
      <c r="Z26" s="41">
        <f t="shared" si="541"/>
        <v>283</v>
      </c>
      <c r="AA26" s="41">
        <f t="shared" si="541"/>
        <v>362</v>
      </c>
      <c r="AB26" s="41">
        <f t="shared" si="541"/>
        <v>380</v>
      </c>
      <c r="AC26" s="41">
        <f t="shared" si="541"/>
        <v>480</v>
      </c>
      <c r="AD26" s="41">
        <f t="shared" si="541"/>
        <v>400</v>
      </c>
      <c r="AE26" s="41">
        <f t="shared" si="541"/>
        <v>425</v>
      </c>
      <c r="AF26" s="41">
        <f t="shared" si="541"/>
        <v>425</v>
      </c>
      <c r="AG26" s="41">
        <f t="shared" si="541"/>
        <v>425</v>
      </c>
      <c r="AH26" s="41">
        <f t="shared" si="541"/>
        <v>425</v>
      </c>
      <c r="AI26" s="41">
        <f t="shared" si="541"/>
        <v>465</v>
      </c>
      <c r="AJ26" s="41">
        <f t="shared" si="541"/>
        <v>465</v>
      </c>
      <c r="AK26" s="41">
        <f t="shared" si="541"/>
        <v>528</v>
      </c>
      <c r="AL26" s="41">
        <f>AL9-AL25</f>
        <v>382.5</v>
      </c>
      <c r="AM26" s="41">
        <f t="shared" si="541"/>
        <v>307.5</v>
      </c>
      <c r="AN26" s="41">
        <f t="shared" si="541"/>
        <v>327.5</v>
      </c>
      <c r="AO26" s="41">
        <f t="shared" si="541"/>
        <v>480</v>
      </c>
      <c r="AP26" s="41">
        <f t="shared" si="541"/>
        <v>486</v>
      </c>
      <c r="AQ26" s="41">
        <f t="shared" si="541"/>
        <v>560</v>
      </c>
      <c r="AR26" s="41">
        <f t="shared" ref="AR26:AW26" si="542">AR9-AR25</f>
        <v>490</v>
      </c>
      <c r="AS26" s="41">
        <f t="shared" si="542"/>
        <v>392</v>
      </c>
      <c r="AT26" s="41">
        <f t="shared" si="542"/>
        <v>372.5</v>
      </c>
      <c r="AU26" s="41">
        <f t="shared" si="542"/>
        <v>380</v>
      </c>
      <c r="AV26" s="41">
        <f t="shared" si="542"/>
        <v>445</v>
      </c>
      <c r="AW26" s="41">
        <f t="shared" si="542"/>
        <v>472</v>
      </c>
      <c r="AX26" s="41">
        <f t="shared" ref="AX26:AY26" si="543">AX9-AX25</f>
        <v>460</v>
      </c>
      <c r="AY26" s="41">
        <f t="shared" si="543"/>
        <v>406.66666666666663</v>
      </c>
      <c r="AZ26" s="41">
        <f t="shared" ref="AZ26:BA26" si="544">AZ9-AZ25</f>
        <v>415</v>
      </c>
      <c r="BA26" s="41">
        <f t="shared" si="544"/>
        <v>437.5</v>
      </c>
      <c r="BB26" s="41">
        <f t="shared" ref="BB26:BC26" si="545">BB9-BB25</f>
        <v>418</v>
      </c>
      <c r="BC26" s="41">
        <f t="shared" si="545"/>
        <v>400</v>
      </c>
      <c r="BD26" s="41">
        <f t="shared" ref="BD26:BE26" si="546">BD9-BD25</f>
        <v>400</v>
      </c>
      <c r="BE26" s="41">
        <f t="shared" si="546"/>
        <v>416</v>
      </c>
      <c r="BF26" s="41">
        <f t="shared" ref="BF26:BG26" si="547">BF9-BF25</f>
        <v>432.5</v>
      </c>
      <c r="BG26" s="41">
        <f t="shared" si="547"/>
        <v>435</v>
      </c>
      <c r="BH26" s="41">
        <f t="shared" ref="BH26:BI26" si="548">BH9-BH25</f>
        <v>426</v>
      </c>
      <c r="BI26" s="41">
        <f t="shared" si="548"/>
        <v>444</v>
      </c>
      <c r="BJ26" s="41">
        <f t="shared" ref="BJ26:BK26" si="549">BJ9-BJ25</f>
        <v>460</v>
      </c>
      <c r="BK26" s="41">
        <f t="shared" si="549"/>
        <v>482</v>
      </c>
      <c r="BL26" s="41">
        <f t="shared" ref="BL26:BM26" si="550">BL9-BL25</f>
        <v>454</v>
      </c>
      <c r="BM26" s="41">
        <f t="shared" si="550"/>
        <v>458.5</v>
      </c>
      <c r="BN26" s="41">
        <f t="shared" ref="BN26:BO26" si="551">BN9-BN25</f>
        <v>486</v>
      </c>
      <c r="BO26" s="41">
        <f t="shared" si="551"/>
        <v>517</v>
      </c>
      <c r="BP26" s="41">
        <f t="shared" ref="BP26:BQ26" si="552">BP9-BP25</f>
        <v>517</v>
      </c>
      <c r="BQ26" s="41">
        <f t="shared" si="552"/>
        <v>515</v>
      </c>
      <c r="BR26" s="41">
        <f t="shared" ref="BR26:BS26" si="553">BR9-BR25</f>
        <v>497.5</v>
      </c>
      <c r="BS26" s="41">
        <f t="shared" si="553"/>
        <v>505</v>
      </c>
      <c r="BT26" s="41">
        <f t="shared" ref="BT26:BU26" si="554">BT9-BT25</f>
        <v>495</v>
      </c>
      <c r="BU26" s="41">
        <f t="shared" si="554"/>
        <v>497.5</v>
      </c>
      <c r="BV26" s="41">
        <f t="shared" ref="BV26:BW26" si="555">BV9-BV25</f>
        <v>500</v>
      </c>
      <c r="BW26" s="41">
        <f t="shared" si="555"/>
        <v>500</v>
      </c>
      <c r="BX26" s="41">
        <f t="shared" ref="BX26:BY26" si="556">BX9-BX25</f>
        <v>-31.25</v>
      </c>
      <c r="BY26" s="41">
        <f t="shared" si="556"/>
        <v>-190</v>
      </c>
      <c r="BZ26" s="41">
        <f t="shared" ref="BZ26:CA26" si="557">BZ9-BZ25</f>
        <v>-30</v>
      </c>
      <c r="CA26" s="41">
        <f t="shared" si="557"/>
        <v>130</v>
      </c>
      <c r="CB26" s="41">
        <f t="shared" ref="CB26" si="558">CB9-CB25</f>
        <v>217</v>
      </c>
      <c r="CF26" s="1" t="s">
        <v>81</v>
      </c>
      <c r="CY26" s="51">
        <f>+CY25/CY24</f>
        <v>0.38461538461538464</v>
      </c>
      <c r="CZ26" s="51">
        <f t="shared" ref="CZ26:DS26" si="559">+CZ25/CZ24</f>
        <v>0.43661971830985913</v>
      </c>
      <c r="DA26" s="51">
        <f t="shared" si="559"/>
        <v>0.43661971830985913</v>
      </c>
      <c r="DB26" s="51">
        <f t="shared" si="559"/>
        <v>0.4854368932038835</v>
      </c>
      <c r="DC26" s="51">
        <f t="shared" si="559"/>
        <v>0.4854368932038835</v>
      </c>
      <c r="DD26" s="51">
        <f t="shared" si="559"/>
        <v>0.4854368932038835</v>
      </c>
      <c r="DE26" s="51">
        <f t="shared" si="559"/>
        <v>0.5073891625615764</v>
      </c>
      <c r="DF26" s="51">
        <f t="shared" si="559"/>
        <v>0.53768844221105527</v>
      </c>
      <c r="DG26" s="51">
        <f t="shared" si="559"/>
        <v>0.53768844221105527</v>
      </c>
      <c r="DH26" s="51">
        <f t="shared" si="559"/>
        <v>0.40703517587939697</v>
      </c>
      <c r="DI26" s="51">
        <f t="shared" si="559"/>
        <v>0.38613861386138615</v>
      </c>
      <c r="DJ26" s="51">
        <f>+DJ25/DJ24</f>
        <v>0.48936170212765956</v>
      </c>
      <c r="DK26" s="51">
        <f t="shared" si="559"/>
        <v>0.37254901960784315</v>
      </c>
      <c r="DL26" s="51">
        <f t="shared" si="559"/>
        <v>0.35922330097087379</v>
      </c>
      <c r="DM26" s="51">
        <f t="shared" si="559"/>
        <v>0.29629629629629628</v>
      </c>
      <c r="DN26" s="51">
        <f t="shared" si="559"/>
        <v>0.27272727272727271</v>
      </c>
      <c r="DO26" s="51">
        <f t="shared" si="559"/>
        <v>0.27272727272727271</v>
      </c>
      <c r="DP26" s="51">
        <f t="shared" si="559"/>
        <v>0.28440366972477066</v>
      </c>
      <c r="DQ26" s="51">
        <f t="shared" si="559"/>
        <v>0.29629629629629628</v>
      </c>
      <c r="DR26" s="51">
        <f t="shared" si="559"/>
        <v>0.29629629629629628</v>
      </c>
      <c r="DS26" s="51">
        <f t="shared" si="559"/>
        <v>0.30841121495327101</v>
      </c>
      <c r="DT26" s="51">
        <f t="shared" ref="DT26:DY26" si="560">+DT25/DT24</f>
        <v>0.30841121495327101</v>
      </c>
      <c r="DU26" s="51">
        <f t="shared" si="560"/>
        <v>0.30841121495327101</v>
      </c>
      <c r="DV26" s="51">
        <f t="shared" si="560"/>
        <v>0.45714285714285713</v>
      </c>
      <c r="DW26" s="51">
        <f t="shared" si="560"/>
        <v>0.45714285714285713</v>
      </c>
      <c r="DX26" s="51">
        <f t="shared" si="560"/>
        <v>0.45714285714285713</v>
      </c>
      <c r="DY26" s="51">
        <f t="shared" si="560"/>
        <v>0.45714285714285713</v>
      </c>
      <c r="DZ26" s="51">
        <f>+DZ25/DZ24</f>
        <v>0.45714285714285713</v>
      </c>
      <c r="EA26" s="51">
        <f>+EA25/EA24</f>
        <v>0.45714285714285713</v>
      </c>
      <c r="EB26" s="51">
        <f t="shared" ref="EB26:EG26" si="561">+EB25/EB24</f>
        <v>0.45714285714285713</v>
      </c>
      <c r="EC26" s="51">
        <f t="shared" si="561"/>
        <v>0.47115384615384615</v>
      </c>
      <c r="ED26" s="51">
        <f t="shared" si="561"/>
        <v>0.4854368932038835</v>
      </c>
      <c r="EE26" s="51">
        <f t="shared" si="561"/>
        <v>0.4854368932038835</v>
      </c>
      <c r="EF26" s="51">
        <f t="shared" si="561"/>
        <v>0.52631578947368418</v>
      </c>
      <c r="EG26" s="51">
        <f t="shared" si="561"/>
        <v>0.52631578947368418</v>
      </c>
      <c r="EH26" s="51">
        <f t="shared" ref="EH26:EM26" si="562">+EH25/EH24</f>
        <v>0.52631578947368418</v>
      </c>
      <c r="EI26" s="51">
        <f t="shared" si="562"/>
        <v>0.52631578947368418</v>
      </c>
      <c r="EJ26" s="51">
        <f t="shared" si="562"/>
        <v>0.52631578947368418</v>
      </c>
      <c r="EK26" s="51">
        <f t="shared" si="562"/>
        <v>0.44329896907216493</v>
      </c>
      <c r="EL26" s="51">
        <f t="shared" si="562"/>
        <v>0.44329896907216493</v>
      </c>
      <c r="EM26" s="51">
        <f t="shared" si="562"/>
        <v>0.4</v>
      </c>
      <c r="EN26" s="51">
        <f>+EN25/EN24</f>
        <v>0.4</v>
      </c>
      <c r="EO26" s="51">
        <f>+EO25/EO24</f>
        <v>0.4</v>
      </c>
      <c r="EP26" s="51">
        <f t="shared" ref="EP26:EU26" si="563">+EP25/EP24</f>
        <v>0.37254901960784315</v>
      </c>
      <c r="EQ26" s="51">
        <f t="shared" si="563"/>
        <v>0.37254901960784315</v>
      </c>
      <c r="ER26" s="51">
        <f t="shared" si="563"/>
        <v>0.37254901960784315</v>
      </c>
      <c r="ES26" s="51">
        <f t="shared" si="563"/>
        <v>0.35922330097087379</v>
      </c>
      <c r="ET26" s="51">
        <f t="shared" si="563"/>
        <v>0.35922330097087379</v>
      </c>
      <c r="EU26" s="51">
        <f t="shared" si="563"/>
        <v>0.35922330097087379</v>
      </c>
      <c r="EV26" s="51">
        <f t="shared" ref="EV26:FB26" si="564">+EV25/EV24</f>
        <v>0.35922330097087379</v>
      </c>
      <c r="EW26" s="51">
        <f t="shared" si="564"/>
        <v>0.35922330097087379</v>
      </c>
      <c r="EX26" s="51">
        <f t="shared" si="564"/>
        <v>0.37254901960784315</v>
      </c>
      <c r="EY26" s="51">
        <f t="shared" si="564"/>
        <v>0.4</v>
      </c>
      <c r="EZ26" s="51">
        <f t="shared" si="564"/>
        <v>0.42857142857142855</v>
      </c>
      <c r="FA26" s="51">
        <f t="shared" si="564"/>
        <v>0.45833333333333331</v>
      </c>
      <c r="FB26" s="51">
        <f t="shared" si="564"/>
        <v>0.48936170212765956</v>
      </c>
      <c r="FC26" s="51">
        <f t="shared" ref="FC26:FD26" si="565">+FC25/FC24</f>
        <v>0.48936170212765956</v>
      </c>
      <c r="FD26" s="51">
        <f t="shared" si="565"/>
        <v>0.48936170212765956</v>
      </c>
      <c r="FE26" s="51">
        <f t="shared" ref="FE26:FF26" si="566">+FE25/FE24</f>
        <v>0.48936170212765956</v>
      </c>
      <c r="FF26" s="51">
        <f t="shared" si="566"/>
        <v>0.52173913043478259</v>
      </c>
      <c r="FG26" s="51">
        <f t="shared" ref="FG26:FH26" si="567">+FG25/FG24</f>
        <v>0.52173913043478259</v>
      </c>
      <c r="FH26" s="51">
        <f t="shared" si="567"/>
        <v>0.52173913043478259</v>
      </c>
      <c r="FI26" s="51">
        <f t="shared" ref="FI26:FJ26" si="568">+FI25/FI24</f>
        <v>0.52173913043478259</v>
      </c>
      <c r="FJ26" s="51">
        <f t="shared" si="568"/>
        <v>0.47368421052631576</v>
      </c>
      <c r="FK26" s="51">
        <f t="shared" ref="FK26:FL26" si="569">+FK25/FK24</f>
        <v>0.47368421052631576</v>
      </c>
      <c r="FL26" s="51">
        <f t="shared" si="569"/>
        <v>0.44329896907216493</v>
      </c>
      <c r="FM26" s="51">
        <f t="shared" ref="FM26:FN26" si="570">+FM25/FM24</f>
        <v>0.42857142857142855</v>
      </c>
      <c r="FN26" s="51">
        <f t="shared" si="570"/>
        <v>0.4</v>
      </c>
      <c r="FO26" s="51">
        <f t="shared" ref="FO26:FP26" si="571">+FO25/FO24</f>
        <v>0.4</v>
      </c>
      <c r="FP26" s="51">
        <f t="shared" si="571"/>
        <v>0.4</v>
      </c>
      <c r="FQ26" s="51">
        <f t="shared" ref="FQ26:FR26" si="572">+FQ25/FQ24</f>
        <v>0.42857142857142855</v>
      </c>
      <c r="FR26" s="51">
        <f t="shared" si="572"/>
        <v>0.42857142857142855</v>
      </c>
      <c r="FS26" s="51">
        <f t="shared" ref="FS26:FT26" si="573">+FS25/FS24</f>
        <v>0.42857142857142855</v>
      </c>
      <c r="FT26" s="51">
        <f t="shared" si="573"/>
        <v>0.45833333333333331</v>
      </c>
      <c r="FU26" s="51">
        <f t="shared" ref="FU26:FW26" si="574">+FU25/FU24</f>
        <v>0.45833333333333331</v>
      </c>
      <c r="FV26" s="51">
        <f t="shared" si="574"/>
        <v>0.45833333333333331</v>
      </c>
      <c r="FW26" s="51">
        <f t="shared" si="574"/>
        <v>0.44329896907216493</v>
      </c>
      <c r="FX26" s="51">
        <f t="shared" ref="FX26:FY26" si="575">+FX25/FX24</f>
        <v>0.44329896907216493</v>
      </c>
      <c r="FY26" s="51">
        <f t="shared" si="575"/>
        <v>0.42857142857142855</v>
      </c>
      <c r="FZ26" s="51">
        <f t="shared" ref="FZ26:GA26" si="576">+FZ25/FZ24</f>
        <v>0.42857142857142855</v>
      </c>
      <c r="GA26" s="51">
        <f t="shared" si="576"/>
        <v>0.42857142857142855</v>
      </c>
      <c r="GB26" s="51">
        <f t="shared" ref="GB26:GC26" si="577">+GB25/GB24</f>
        <v>0.4</v>
      </c>
      <c r="GC26" s="51">
        <f t="shared" si="577"/>
        <v>0.4</v>
      </c>
      <c r="GD26" s="51">
        <f t="shared" ref="GD26:GE26" si="578">+GD25/GD24</f>
        <v>0.4</v>
      </c>
      <c r="GE26" s="51">
        <f t="shared" si="578"/>
        <v>0.4</v>
      </c>
      <c r="GF26" s="51">
        <f t="shared" ref="GF26:GG26" si="579">+GF25/GF24</f>
        <v>0.4</v>
      </c>
      <c r="GG26" s="51">
        <f t="shared" si="579"/>
        <v>0.4</v>
      </c>
      <c r="GH26" s="51">
        <f t="shared" ref="GH26:GI26" si="580">+GH25/GH24</f>
        <v>0.4</v>
      </c>
      <c r="GI26" s="51">
        <f t="shared" si="580"/>
        <v>0.4</v>
      </c>
      <c r="GJ26" s="51">
        <f t="shared" ref="GJ26:GK26" si="581">+GJ25/GJ24</f>
        <v>0.4</v>
      </c>
      <c r="GK26" s="51">
        <f t="shared" si="581"/>
        <v>0.4</v>
      </c>
      <c r="GL26" s="51">
        <f t="shared" ref="GL26:GM26" si="582">+GL25/GL24</f>
        <v>0.4</v>
      </c>
      <c r="GM26" s="51">
        <f t="shared" si="582"/>
        <v>0.42857142857142855</v>
      </c>
      <c r="GN26" s="51">
        <f t="shared" ref="GN26:GO26" si="583">+GN25/GN24</f>
        <v>0.44329896907216493</v>
      </c>
      <c r="GO26" s="51">
        <f t="shared" si="583"/>
        <v>0.44329896907216493</v>
      </c>
      <c r="GP26" s="51">
        <f t="shared" ref="GP26:GQ26" si="584">+GP25/GP24</f>
        <v>0.44329896907216493</v>
      </c>
      <c r="GQ26" s="51">
        <f t="shared" si="584"/>
        <v>0.44329896907216493</v>
      </c>
      <c r="GR26" s="51">
        <f t="shared" ref="GR26:GS26" si="585">+GR25/GR24</f>
        <v>0.44329896907216493</v>
      </c>
      <c r="GS26" s="51">
        <f t="shared" si="585"/>
        <v>0.45833333333333331</v>
      </c>
      <c r="GT26" s="51">
        <f t="shared" ref="GT26:GU26" si="586">+GT25/GT24</f>
        <v>0.45833333333333331</v>
      </c>
      <c r="GU26" s="51">
        <f t="shared" si="586"/>
        <v>0.45833333333333331</v>
      </c>
      <c r="GV26" s="51">
        <f t="shared" ref="GV26:GW26" si="587">+GV25/GV24</f>
        <v>0.45833333333333331</v>
      </c>
      <c r="GW26" s="51">
        <f t="shared" si="587"/>
        <v>0.42857142857142855</v>
      </c>
      <c r="GX26" s="51">
        <f t="shared" ref="GX26:HB26" si="588">+GX25/GX24</f>
        <v>0.42857142857142855</v>
      </c>
      <c r="GY26" s="51">
        <f t="shared" si="588"/>
        <v>0.42857142857142855</v>
      </c>
      <c r="GZ26" s="51">
        <f t="shared" si="588"/>
        <v>0.44329896907216493</v>
      </c>
      <c r="HA26" s="51">
        <f t="shared" si="588"/>
        <v>0.44329896907216493</v>
      </c>
      <c r="HB26" s="51">
        <f t="shared" si="588"/>
        <v>0.44329896907216493</v>
      </c>
      <c r="HC26" s="51">
        <f t="shared" ref="HC26:HF26" si="589">+HC25/HC24</f>
        <v>0.44329896907216493</v>
      </c>
      <c r="HD26" s="51">
        <f t="shared" si="589"/>
        <v>0.47368421052631576</v>
      </c>
      <c r="HE26" s="51">
        <f t="shared" si="589"/>
        <v>0.47368421052631576</v>
      </c>
      <c r="HF26" s="51">
        <f t="shared" si="589"/>
        <v>0.48936170212765956</v>
      </c>
      <c r="HG26" s="51">
        <f t="shared" ref="HG26:HH26" si="590">+HG25/HG24</f>
        <v>0.48936170212765956</v>
      </c>
      <c r="HH26" s="51">
        <f t="shared" si="590"/>
        <v>0.48936170212765956</v>
      </c>
      <c r="HI26" s="51">
        <f t="shared" ref="HI26:HJ26" si="591">+HI25/HI24</f>
        <v>0.48936170212765956</v>
      </c>
      <c r="HJ26" s="51">
        <f t="shared" si="591"/>
        <v>0.48936170212765956</v>
      </c>
      <c r="HK26" s="51">
        <f t="shared" ref="HK26:HL26" si="592">+HK25/HK24</f>
        <v>0.48936170212765956</v>
      </c>
      <c r="HL26" s="51">
        <f t="shared" si="592"/>
        <v>0.48936170212765956</v>
      </c>
      <c r="HM26" s="51">
        <f t="shared" ref="HM26:HN26" si="593">+HM25/HM24</f>
        <v>0.5625</v>
      </c>
      <c r="HN26" s="51">
        <f t="shared" si="593"/>
        <v>0.5625</v>
      </c>
      <c r="HO26" s="51">
        <f t="shared" ref="HO26:HR26" si="594">+HO25/HO24</f>
        <v>0.5066964285714286</v>
      </c>
      <c r="HP26" s="51">
        <f t="shared" si="594"/>
        <v>0.5066964285714286</v>
      </c>
      <c r="HQ26" s="51">
        <f t="shared" si="594"/>
        <v>0.5066964285714286</v>
      </c>
      <c r="HR26" s="51">
        <f t="shared" si="594"/>
        <v>0.5066964285714286</v>
      </c>
      <c r="HS26" s="51">
        <f t="shared" ref="HS26:HV26" si="595">+HS25/HS24</f>
        <v>0.5066964285714286</v>
      </c>
      <c r="HT26" s="51">
        <f t="shared" si="595"/>
        <v>0.5</v>
      </c>
      <c r="HU26" s="51">
        <f t="shared" si="595"/>
        <v>0.5168539325842697</v>
      </c>
      <c r="HV26" s="51">
        <f t="shared" si="595"/>
        <v>0.53409090909090906</v>
      </c>
      <c r="HW26" s="51">
        <f t="shared" ref="HW26:IA26" si="596">+HW25/HW24</f>
        <v>0.55172413793103448</v>
      </c>
      <c r="HX26" s="51">
        <f t="shared" si="596"/>
        <v>0.55172413793103448</v>
      </c>
      <c r="HY26" s="51">
        <f t="shared" si="596"/>
        <v>0.56976744186046513</v>
      </c>
      <c r="HZ26" s="51">
        <f t="shared" si="596"/>
        <v>0.56976744186046513</v>
      </c>
      <c r="IA26" s="51">
        <f t="shared" si="596"/>
        <v>0.56976744186046513</v>
      </c>
      <c r="IB26" s="51">
        <f t="shared" ref="IB26:IE26" si="597">+IB25/IB24</f>
        <v>0.62064825930372147</v>
      </c>
      <c r="IC26" s="51">
        <f t="shared" si="597"/>
        <v>0.62064825930372147</v>
      </c>
      <c r="ID26" s="51">
        <f t="shared" si="597"/>
        <v>0.62064825930372147</v>
      </c>
      <c r="IE26" s="51">
        <f t="shared" si="597"/>
        <v>0.62064825930372147</v>
      </c>
      <c r="IF26" s="51">
        <f t="shared" ref="IF26:IJ26" si="598">+IF25/IF24</f>
        <v>0.62064825930372147</v>
      </c>
      <c r="IG26" s="51">
        <f t="shared" si="598"/>
        <v>0.62064825930372147</v>
      </c>
      <c r="IH26" s="51">
        <f t="shared" si="598"/>
        <v>0.62064825930372147</v>
      </c>
      <c r="II26" s="51">
        <f t="shared" si="598"/>
        <v>0.62064825930372147</v>
      </c>
      <c r="IJ26" s="51">
        <f t="shared" si="598"/>
        <v>0.62064825930372147</v>
      </c>
      <c r="IK26" s="51">
        <f t="shared" ref="IK26:IN26" si="599">+IK25/IK24</f>
        <v>0.63190184049079756</v>
      </c>
      <c r="IL26" s="51">
        <f t="shared" si="599"/>
        <v>0.63190184049079756</v>
      </c>
      <c r="IM26" s="51">
        <f t="shared" si="599"/>
        <v>0.63190184049079756</v>
      </c>
      <c r="IN26" s="51">
        <f t="shared" si="599"/>
        <v>0.63190184049079756</v>
      </c>
      <c r="IO26" s="51">
        <f t="shared" ref="IO26:IR26" si="600">+IO25/IO24</f>
        <v>0.6073619631901841</v>
      </c>
      <c r="IP26" s="51">
        <f t="shared" si="600"/>
        <v>0.6073619631901841</v>
      </c>
      <c r="IQ26" s="51">
        <f t="shared" si="600"/>
        <v>0.6073619631901841</v>
      </c>
      <c r="IR26" s="51">
        <f t="shared" si="600"/>
        <v>0.62732919254658381</v>
      </c>
      <c r="IS26" s="51">
        <f t="shared" ref="IS26:IW26" si="601">+IS25/IS24</f>
        <v>0.62732919254658381</v>
      </c>
      <c r="IT26" s="51">
        <f t="shared" si="601"/>
        <v>0.62732919254658381</v>
      </c>
      <c r="IU26" s="51">
        <f t="shared" si="601"/>
        <v>0.62732919254658381</v>
      </c>
      <c r="IV26" s="51">
        <f t="shared" si="601"/>
        <v>0.62732919254658381</v>
      </c>
      <c r="IW26" s="51">
        <f t="shared" si="601"/>
        <v>0.62732919254658381</v>
      </c>
      <c r="IX26" s="51">
        <f t="shared" ref="IX26:JA26" si="602">+IX25/IX24</f>
        <v>0.6149068322981367</v>
      </c>
      <c r="IY26" s="51">
        <f t="shared" si="602"/>
        <v>0.6149068322981367</v>
      </c>
      <c r="IZ26" s="51">
        <f t="shared" si="602"/>
        <v>0.6149068322981367</v>
      </c>
      <c r="JA26" s="51">
        <f t="shared" si="602"/>
        <v>0.6149068322981367</v>
      </c>
      <c r="JB26" s="51">
        <f t="shared" ref="JB26:JE26" si="603">+JB25/JB24</f>
        <v>0.6149068322981367</v>
      </c>
      <c r="JC26" s="51">
        <f t="shared" si="603"/>
        <v>0.6149068322981367</v>
      </c>
      <c r="JD26" s="51">
        <f t="shared" si="603"/>
        <v>0.625</v>
      </c>
      <c r="JE26" s="51">
        <f t="shared" si="603"/>
        <v>0.625</v>
      </c>
      <c r="JF26" s="51">
        <f t="shared" ref="JF26:JJ26" si="604">+JF25/JF24</f>
        <v>0.625</v>
      </c>
      <c r="JG26" s="51">
        <f t="shared" si="604"/>
        <v>0.625</v>
      </c>
      <c r="JH26" s="51">
        <f t="shared" si="604"/>
        <v>0.625</v>
      </c>
      <c r="JI26" s="51">
        <f t="shared" si="604"/>
        <v>0.625</v>
      </c>
      <c r="JJ26" s="51">
        <f t="shared" si="604"/>
        <v>0.625</v>
      </c>
      <c r="JK26" s="51">
        <f t="shared" ref="JK26:JN26" si="605">+JK25/JK24</f>
        <v>0.625</v>
      </c>
      <c r="JL26" s="51">
        <f t="shared" si="605"/>
        <v>0.625</v>
      </c>
      <c r="JM26" s="51">
        <f t="shared" si="605"/>
        <v>0.625</v>
      </c>
      <c r="JN26" s="51">
        <f t="shared" si="605"/>
        <v>0.625</v>
      </c>
      <c r="JO26" s="51">
        <f t="shared" ref="JO26:JR26" si="606">+JO25/JO24</f>
        <v>0.33333333333333331</v>
      </c>
      <c r="JP26" s="51">
        <f t="shared" si="606"/>
        <v>-3.7037037037037035E-2</v>
      </c>
      <c r="JQ26" s="51">
        <f t="shared" si="606"/>
        <v>-6.8965517241379309E-2</v>
      </c>
      <c r="JR26" s="51">
        <f t="shared" si="606"/>
        <v>-0.12903225806451613</v>
      </c>
      <c r="JS26" s="51">
        <f t="shared" ref="JS26:JW26" si="607">+JS25/JS24</f>
        <v>-9.6774193548387094E-2</v>
      </c>
      <c r="JT26" s="51">
        <f t="shared" si="607"/>
        <v>-0.125</v>
      </c>
      <c r="JU26" s="51">
        <f t="shared" si="607"/>
        <v>-0.125</v>
      </c>
      <c r="JV26" s="51">
        <f t="shared" si="607"/>
        <v>-8.1250000000000003E-2</v>
      </c>
      <c r="JW26" s="51">
        <f t="shared" si="607"/>
        <v>-8.1250000000000003E-2</v>
      </c>
      <c r="JX26" s="51">
        <f t="shared" ref="JX26:KA26" si="608">+JX25/JX24</f>
        <v>-8.1250000000000003E-2</v>
      </c>
      <c r="JY26" s="51">
        <f t="shared" si="608"/>
        <v>-0.02</v>
      </c>
      <c r="JZ26" s="51">
        <f t="shared" si="608"/>
        <v>0</v>
      </c>
      <c r="KA26" s="51">
        <f t="shared" si="608"/>
        <v>2.7972027972027972E-2</v>
      </c>
      <c r="KB26" s="51">
        <f t="shared" ref="KB26:KE26" si="609">+KB25/KB24</f>
        <v>3.5714285714285712E-2</v>
      </c>
      <c r="KC26" s="51">
        <f t="shared" si="609"/>
        <v>9.8484848484848481E-2</v>
      </c>
      <c r="KD26" s="51">
        <f t="shared" si="609"/>
        <v>0.1328125</v>
      </c>
      <c r="KE26" s="51">
        <f t="shared" si="609"/>
        <v>0.1328125</v>
      </c>
      <c r="KF26" s="51">
        <f t="shared" ref="KF26:KJ26" si="610">+KF25/KF24</f>
        <v>0.17889530090684255</v>
      </c>
      <c r="KG26" s="51">
        <f t="shared" si="610"/>
        <v>0.17889530090684255</v>
      </c>
      <c r="KH26" s="51" t="e">
        <f t="shared" si="610"/>
        <v>#DIV/0!</v>
      </c>
      <c r="KI26" s="51" t="e">
        <f t="shared" si="610"/>
        <v>#DIV/0!</v>
      </c>
      <c r="KJ26" s="51" t="e">
        <f t="shared" si="610"/>
        <v>#DIV/0!</v>
      </c>
    </row>
    <row r="27" spans="1:296" ht="14">
      <c r="H27" s="1" t="s">
        <v>81</v>
      </c>
      <c r="U27" s="51">
        <f>U26/U25</f>
        <v>0.29113924050632911</v>
      </c>
      <c r="V27" s="51">
        <f t="shared" ref="V27:AQ27" si="611">V26/V25</f>
        <v>0.1791907514450867</v>
      </c>
      <c r="W27" s="51">
        <f t="shared" si="611"/>
        <v>0.12554112554112554</v>
      </c>
      <c r="X27" s="51">
        <f t="shared" si="611"/>
        <v>0.15827338129496402</v>
      </c>
      <c r="Y27" s="51">
        <f t="shared" si="611"/>
        <v>0.2196969696969697</v>
      </c>
      <c r="Z27" s="51">
        <f t="shared" si="611"/>
        <v>0.2132629992464205</v>
      </c>
      <c r="AA27" s="51">
        <f t="shared" si="611"/>
        <v>0.29006410256410259</v>
      </c>
      <c r="AB27" s="51">
        <f t="shared" si="611"/>
        <v>0.30894308943089432</v>
      </c>
      <c r="AC27" s="51">
        <f t="shared" si="611"/>
        <v>0.4247787610619469</v>
      </c>
      <c r="AD27" s="51">
        <f t="shared" si="611"/>
        <v>0.35398230088495575</v>
      </c>
      <c r="AE27" s="51">
        <f t="shared" si="611"/>
        <v>0.38461538461538464</v>
      </c>
      <c r="AF27" s="51">
        <f t="shared" si="611"/>
        <v>0.38461538461538464</v>
      </c>
      <c r="AG27" s="51">
        <f t="shared" si="611"/>
        <v>0.38461538461538464</v>
      </c>
      <c r="AH27" s="51">
        <f t="shared" si="611"/>
        <v>0.38461538461538464</v>
      </c>
      <c r="AI27" s="51">
        <f t="shared" si="611"/>
        <v>0.43661971830985913</v>
      </c>
      <c r="AJ27" s="51">
        <f t="shared" si="611"/>
        <v>0.43661971830985913</v>
      </c>
      <c r="AK27" s="51">
        <f t="shared" si="611"/>
        <v>0.52694610778443118</v>
      </c>
      <c r="AL27" s="51">
        <f t="shared" si="611"/>
        <v>0.37592137592137592</v>
      </c>
      <c r="AM27" s="51">
        <f t="shared" si="611"/>
        <v>0.28146453089244849</v>
      </c>
      <c r="AN27" s="51">
        <f t="shared" si="611"/>
        <v>0.30536130536130535</v>
      </c>
      <c r="AO27" s="51">
        <f t="shared" si="611"/>
        <v>0.45714285714285713</v>
      </c>
      <c r="AP27" s="51">
        <f t="shared" si="611"/>
        <v>0.46551724137931033</v>
      </c>
      <c r="AQ27" s="51">
        <f t="shared" si="611"/>
        <v>0.57731958762886593</v>
      </c>
      <c r="AR27" s="51">
        <f t="shared" ref="AR27:AW27" si="612">AR26/AR25</f>
        <v>0.51041666666666663</v>
      </c>
      <c r="AS27" s="51">
        <f t="shared" si="612"/>
        <v>0.3888888888888889</v>
      </c>
      <c r="AT27" s="51">
        <f t="shared" si="612"/>
        <v>0.36253041362530414</v>
      </c>
      <c r="AU27" s="51">
        <f t="shared" si="612"/>
        <v>0.37254901960784315</v>
      </c>
      <c r="AV27" s="51">
        <f t="shared" si="612"/>
        <v>0.46596858638743455</v>
      </c>
      <c r="AW27" s="51">
        <f t="shared" si="612"/>
        <v>0.50862068965517238</v>
      </c>
      <c r="AX27" s="51">
        <f t="shared" ref="AX27:AY27" si="613">AX26/AX25</f>
        <v>0.48936170212765956</v>
      </c>
      <c r="AY27" s="51">
        <f t="shared" si="613"/>
        <v>0.40939597315436238</v>
      </c>
      <c r="AZ27" s="51">
        <f t="shared" ref="AZ27:BA27" si="614">AZ26/AZ25</f>
        <v>0.42131979695431471</v>
      </c>
      <c r="BA27" s="51">
        <f t="shared" si="614"/>
        <v>0.45454545454545453</v>
      </c>
      <c r="BB27" s="51">
        <f t="shared" ref="BB27:BC27" si="615">BB26/BB25</f>
        <v>0.42566191446028512</v>
      </c>
      <c r="BC27" s="51">
        <f t="shared" si="615"/>
        <v>0.4</v>
      </c>
      <c r="BD27" s="51">
        <f t="shared" ref="BD27:BE27" si="616">BD26/BD25</f>
        <v>0.4</v>
      </c>
      <c r="BE27" s="51">
        <f t="shared" si="616"/>
        <v>0.42276422764227645</v>
      </c>
      <c r="BF27" s="51">
        <f t="shared" ref="BF27:BG27" si="617">BF26/BF25</f>
        <v>0.44702842377260982</v>
      </c>
      <c r="BG27" s="51">
        <f t="shared" si="617"/>
        <v>0.45077720207253885</v>
      </c>
      <c r="BH27" s="51">
        <f t="shared" ref="BH27:BI27" si="618">BH26/BH25</f>
        <v>0.43737166324435317</v>
      </c>
      <c r="BI27" s="51">
        <f t="shared" si="618"/>
        <v>0.46443514644351463</v>
      </c>
      <c r="BJ27" s="51">
        <f t="shared" ref="BJ27:BK27" si="619">BJ26/BJ25</f>
        <v>0.48936170212765956</v>
      </c>
      <c r="BK27" s="51">
        <f t="shared" si="619"/>
        <v>0.52505446623093677</v>
      </c>
      <c r="BL27" s="51">
        <f t="shared" ref="BL27:BM27" si="620">BL26/BL25</f>
        <v>0.5066964285714286</v>
      </c>
      <c r="BM27" s="51">
        <f t="shared" si="620"/>
        <v>0.51430173864273698</v>
      </c>
      <c r="BN27" s="51">
        <f t="shared" ref="BN27:BO27" si="621">BN26/BN25</f>
        <v>0.5625</v>
      </c>
      <c r="BO27" s="51">
        <f t="shared" si="621"/>
        <v>0.62064825930372147</v>
      </c>
      <c r="BP27" s="51">
        <f t="shared" ref="BP27:BQ27" si="622">BP26/BP25</f>
        <v>0.62064825930372147</v>
      </c>
      <c r="BQ27" s="51">
        <f t="shared" si="622"/>
        <v>0.63190184049079756</v>
      </c>
      <c r="BR27" s="51">
        <f t="shared" ref="BR27:BS27" si="623">BR26/BR25</f>
        <v>0.61230769230769233</v>
      </c>
      <c r="BS27" s="51">
        <f t="shared" si="623"/>
        <v>0.62732919254658381</v>
      </c>
      <c r="BT27" s="51">
        <f t="shared" ref="BT27:BU27" si="624">BT26/BT25</f>
        <v>0.6149068322981367</v>
      </c>
      <c r="BU27" s="51">
        <f t="shared" si="624"/>
        <v>0.6199376947040498</v>
      </c>
      <c r="BV27" s="51">
        <f t="shared" ref="BV27:BW27" si="625">BV26/BV25</f>
        <v>0.625</v>
      </c>
      <c r="BW27" s="51">
        <f t="shared" si="625"/>
        <v>0.625</v>
      </c>
      <c r="BX27" s="51">
        <f t="shared" ref="BX27:BY27" si="626">BX26/BX25</f>
        <v>-2.3474178403755867E-2</v>
      </c>
      <c r="BY27" s="51">
        <f t="shared" si="626"/>
        <v>-0.11949685534591195</v>
      </c>
      <c r="BZ27" s="51">
        <f t="shared" ref="BZ27:CA27" si="627">BZ26/BZ25</f>
        <v>-0.02</v>
      </c>
      <c r="CA27" s="51">
        <f t="shared" si="627"/>
        <v>9.8484848484848481E-2</v>
      </c>
      <c r="CB27" s="51">
        <f t="shared" ref="CB27" si="628">CB26/CB25</f>
        <v>0.17889530090684255</v>
      </c>
      <c r="CC27" s="146"/>
      <c r="CF27" s="1" t="s">
        <v>87</v>
      </c>
      <c r="CY27" s="41">
        <v>1264</v>
      </c>
      <c r="CZ27" s="41">
        <v>1390</v>
      </c>
      <c r="DA27" s="41">
        <v>1374</v>
      </c>
      <c r="DB27" s="41">
        <v>1374</v>
      </c>
      <c r="DC27" s="41">
        <v>1374</v>
      </c>
      <c r="DD27" s="41">
        <v>1374</v>
      </c>
      <c r="DE27" s="41">
        <v>1374</v>
      </c>
      <c r="DF27" s="41">
        <v>1374</v>
      </c>
      <c r="DG27" s="41">
        <v>1374</v>
      </c>
      <c r="DH27" s="41">
        <v>1374</v>
      </c>
      <c r="DI27" s="41">
        <v>1374</v>
      </c>
      <c r="DJ27" s="43">
        <v>1377</v>
      </c>
      <c r="DK27" s="43">
        <v>1377</v>
      </c>
      <c r="DL27" s="43">
        <v>1377</v>
      </c>
      <c r="DM27" s="43">
        <v>1377</v>
      </c>
      <c r="DN27" s="43">
        <v>1377</v>
      </c>
      <c r="DO27" s="43">
        <v>1377</v>
      </c>
      <c r="DP27" s="43">
        <v>1377</v>
      </c>
      <c r="DQ27" s="43">
        <v>1377</v>
      </c>
      <c r="DR27" s="43">
        <v>1377</v>
      </c>
      <c r="DS27" s="43">
        <v>1377</v>
      </c>
      <c r="DT27" s="43">
        <v>1377</v>
      </c>
      <c r="DU27" s="43">
        <v>1377</v>
      </c>
      <c r="DV27" s="43">
        <v>1377</v>
      </c>
      <c r="DW27" s="43">
        <v>1377</v>
      </c>
      <c r="DX27" s="43">
        <v>1377</v>
      </c>
      <c r="DY27" s="43">
        <v>1377</v>
      </c>
      <c r="DZ27" s="43">
        <v>1377</v>
      </c>
      <c r="EA27" s="43">
        <v>1377</v>
      </c>
      <c r="EB27" s="43">
        <v>1377</v>
      </c>
      <c r="EC27" s="43">
        <v>1377</v>
      </c>
      <c r="ED27" s="43">
        <v>1377</v>
      </c>
      <c r="EE27" s="43">
        <v>1377</v>
      </c>
      <c r="EF27" s="43">
        <v>1310</v>
      </c>
      <c r="EG27" s="43">
        <v>1310</v>
      </c>
      <c r="EH27" s="43">
        <v>1310</v>
      </c>
      <c r="EI27" s="43">
        <v>1310</v>
      </c>
      <c r="EJ27" s="43">
        <v>1310</v>
      </c>
      <c r="EK27" s="43">
        <v>1310</v>
      </c>
      <c r="EL27" s="43">
        <v>1310</v>
      </c>
      <c r="EM27" s="43">
        <v>1310</v>
      </c>
      <c r="EN27" s="43">
        <v>1310</v>
      </c>
      <c r="EO27" s="43">
        <v>1310</v>
      </c>
      <c r="EP27" s="134">
        <v>1310</v>
      </c>
      <c r="EQ27" s="134">
        <v>1310</v>
      </c>
      <c r="ER27" s="134">
        <v>1310</v>
      </c>
      <c r="ES27" s="134">
        <v>1310</v>
      </c>
      <c r="ET27" s="134">
        <v>1310</v>
      </c>
      <c r="EU27" s="134">
        <v>1310</v>
      </c>
      <c r="EV27" s="134">
        <v>1310</v>
      </c>
      <c r="EW27" s="134">
        <v>1310</v>
      </c>
      <c r="EX27" s="134">
        <v>1310</v>
      </c>
      <c r="EY27" s="134">
        <v>1310</v>
      </c>
      <c r="EZ27" s="134">
        <v>1268</v>
      </c>
      <c r="FA27" s="134">
        <v>1268</v>
      </c>
      <c r="FB27" s="134">
        <v>1268</v>
      </c>
      <c r="FC27" s="134">
        <v>1268</v>
      </c>
      <c r="FD27" s="134">
        <v>1261</v>
      </c>
      <c r="FE27" s="134">
        <v>1261</v>
      </c>
      <c r="FF27" s="134">
        <v>1261</v>
      </c>
      <c r="FG27" s="134">
        <v>1261</v>
      </c>
      <c r="FH27" s="134">
        <v>1261</v>
      </c>
      <c r="FI27" s="134">
        <v>1323</v>
      </c>
      <c r="FJ27" s="134">
        <v>1323</v>
      </c>
      <c r="FK27" s="134">
        <v>1323</v>
      </c>
      <c r="FL27" s="134">
        <v>1323</v>
      </c>
      <c r="FM27" s="158">
        <v>1323</v>
      </c>
      <c r="FN27" s="158">
        <v>1323</v>
      </c>
      <c r="FO27" s="158">
        <v>1323</v>
      </c>
      <c r="FP27" s="158">
        <v>1306</v>
      </c>
      <c r="FQ27" s="158">
        <v>1306</v>
      </c>
      <c r="FR27" s="158">
        <v>1306</v>
      </c>
      <c r="FS27" s="158">
        <v>1306</v>
      </c>
      <c r="FT27" s="158">
        <v>1306</v>
      </c>
      <c r="FU27" s="158">
        <v>1291</v>
      </c>
      <c r="FV27" s="158">
        <v>1291</v>
      </c>
      <c r="FW27" s="158">
        <v>1291</v>
      </c>
      <c r="FX27" s="158">
        <v>1282</v>
      </c>
      <c r="FY27" s="158">
        <v>1282</v>
      </c>
      <c r="FZ27" s="158">
        <v>1282</v>
      </c>
      <c r="GA27" s="158">
        <v>1282</v>
      </c>
      <c r="GB27" s="158">
        <v>1282</v>
      </c>
      <c r="GC27" s="158">
        <v>1282</v>
      </c>
      <c r="GD27" s="158">
        <v>1282</v>
      </c>
      <c r="GE27" s="158">
        <v>1282</v>
      </c>
      <c r="GF27" s="158">
        <v>1282</v>
      </c>
      <c r="GG27" s="158">
        <v>1219</v>
      </c>
      <c r="GH27" s="158">
        <v>1219</v>
      </c>
      <c r="GI27" s="158">
        <v>1219</v>
      </c>
      <c r="GJ27" s="158">
        <v>1219</v>
      </c>
      <c r="GK27" s="158">
        <v>1251</v>
      </c>
      <c r="GL27" s="158">
        <v>1251</v>
      </c>
      <c r="GM27" s="158">
        <v>1251</v>
      </c>
      <c r="GN27" s="158">
        <v>1251</v>
      </c>
      <c r="GO27" s="158">
        <v>1251</v>
      </c>
      <c r="GP27" s="158">
        <v>1251</v>
      </c>
      <c r="GQ27" s="158">
        <v>1251</v>
      </c>
      <c r="GR27" s="158">
        <v>1251</v>
      </c>
      <c r="GS27" s="158">
        <v>1251</v>
      </c>
      <c r="GT27" s="158">
        <v>1260.3186476770372</v>
      </c>
      <c r="GU27" s="158">
        <v>1260.3186476770372</v>
      </c>
      <c r="GV27" s="158">
        <v>1260.3186476770372</v>
      </c>
      <c r="GW27" s="158">
        <v>1260.3186476770372</v>
      </c>
      <c r="GX27" s="158">
        <v>1260.9721935296795</v>
      </c>
      <c r="GY27" s="158">
        <v>1260.9721935296795</v>
      </c>
      <c r="GZ27" s="158">
        <v>1260.9721935296795</v>
      </c>
      <c r="HA27" s="158">
        <v>1260.9721935296795</v>
      </c>
      <c r="HB27" s="158">
        <v>1260.9721935296795</v>
      </c>
      <c r="HC27" s="158">
        <v>1214.0815770933086</v>
      </c>
      <c r="HD27" s="158">
        <v>1214.0815770933086</v>
      </c>
      <c r="HE27" s="158">
        <v>1214.0815770933086</v>
      </c>
      <c r="HF27" s="158">
        <v>1214.0815770933086</v>
      </c>
      <c r="HG27" s="158">
        <v>1224.4122855454673</v>
      </c>
      <c r="HH27" s="158">
        <v>1224.4122855454673</v>
      </c>
      <c r="HI27" s="158">
        <v>1224.4122855454673</v>
      </c>
      <c r="HJ27" s="158">
        <v>1224.4122855454673</v>
      </c>
      <c r="HK27" s="158">
        <v>1224.8943631432089</v>
      </c>
      <c r="HL27" s="158">
        <v>1224.8943631432089</v>
      </c>
      <c r="HM27" s="158">
        <v>1224.8943631432089</v>
      </c>
      <c r="HN27" s="158">
        <v>1224.8943631432089</v>
      </c>
      <c r="HO27" s="158">
        <v>1220.8389764175517</v>
      </c>
      <c r="HP27" s="158">
        <v>1220.8389764175517</v>
      </c>
      <c r="HQ27" s="158">
        <v>1220.8389764175517</v>
      </c>
      <c r="HR27" s="158">
        <v>1220.8389764175517</v>
      </c>
      <c r="HS27" s="158">
        <v>1201.5512157788862</v>
      </c>
      <c r="HT27" s="158">
        <v>1201.5512157788862</v>
      </c>
      <c r="HU27" s="158">
        <v>1201.5512157788862</v>
      </c>
      <c r="HV27" s="158">
        <v>1201.5512157788862</v>
      </c>
      <c r="HW27" s="158">
        <v>1215.0616168681211</v>
      </c>
      <c r="HX27" s="158">
        <v>1215.0616168681211</v>
      </c>
      <c r="HY27" s="158">
        <v>1215.0616168681211</v>
      </c>
      <c r="HZ27" s="158">
        <v>1215.0616168681211</v>
      </c>
      <c r="IA27" s="158">
        <v>1215.0616168681211</v>
      </c>
      <c r="IB27" s="158">
        <v>1218.0838169008853</v>
      </c>
      <c r="IC27" s="158">
        <v>1218.0838169008853</v>
      </c>
      <c r="ID27" s="158">
        <v>1218.0838169008853</v>
      </c>
      <c r="IE27" s="158">
        <v>1218.0838169008853</v>
      </c>
      <c r="IF27" s="158">
        <v>1217.9396141401003</v>
      </c>
      <c r="IG27" s="158">
        <v>1217.9396141401003</v>
      </c>
      <c r="IH27" s="158">
        <v>1217.9396141401003</v>
      </c>
      <c r="II27" s="158">
        <v>1217.9396141401003</v>
      </c>
      <c r="IJ27" s="158">
        <v>1217.9396141401003</v>
      </c>
      <c r="IK27" s="158">
        <v>1221.1766254679269</v>
      </c>
      <c r="IL27" s="158">
        <v>1221.1766254679269</v>
      </c>
      <c r="IM27" s="158">
        <v>1221.1766254679269</v>
      </c>
      <c r="IN27" s="158">
        <v>1221.1766254679269</v>
      </c>
      <c r="IO27" s="158">
        <v>1118.5151926825677</v>
      </c>
      <c r="IP27" s="158">
        <v>1118.5151926825677</v>
      </c>
      <c r="IQ27" s="158">
        <v>1118.5151926825677</v>
      </c>
      <c r="IR27" s="158">
        <v>1118.5151926825677</v>
      </c>
      <c r="IS27" s="158">
        <v>1095.5642423065681</v>
      </c>
      <c r="IT27" s="158">
        <v>1095.5642423065681</v>
      </c>
      <c r="IU27" s="158">
        <v>1095.5642423065681</v>
      </c>
      <c r="IV27" s="158">
        <v>1095.5642423065681</v>
      </c>
      <c r="IW27" s="158">
        <v>1095.5642423065681</v>
      </c>
      <c r="IX27" s="158">
        <v>1120.145512661127</v>
      </c>
      <c r="IY27" s="158">
        <v>1120.145512661127</v>
      </c>
      <c r="IZ27" s="158">
        <v>1120.145512661127</v>
      </c>
      <c r="JA27" s="158">
        <v>1120.145512661127</v>
      </c>
      <c r="JB27" s="158">
        <v>1076.7141229774484</v>
      </c>
      <c r="JC27" s="158">
        <v>1076.7141229774484</v>
      </c>
      <c r="JD27" s="158">
        <v>1076.7141229774484</v>
      </c>
      <c r="JE27" s="158">
        <v>1076.7141229774484</v>
      </c>
      <c r="JF27" s="158">
        <v>1111.3107354114027</v>
      </c>
      <c r="JG27" s="158">
        <v>1111.3107354114027</v>
      </c>
      <c r="JH27" s="158">
        <v>1111.3107354114027</v>
      </c>
      <c r="JI27" s="158">
        <v>1111.3107354114027</v>
      </c>
      <c r="JJ27" s="158">
        <v>1111.3107354114027</v>
      </c>
      <c r="JK27" s="158">
        <v>1111.3107354114027</v>
      </c>
      <c r="JL27" s="158">
        <v>1111.3107354114027</v>
      </c>
      <c r="JM27" s="158">
        <v>1111.3107354114027</v>
      </c>
      <c r="JN27" s="158">
        <v>1111.3107354114027</v>
      </c>
      <c r="JO27" s="158">
        <v>1076.0361329975726</v>
      </c>
      <c r="JP27" s="158">
        <v>1076.0361329975726</v>
      </c>
      <c r="JQ27" s="158">
        <v>1076.0361329975726</v>
      </c>
      <c r="JR27" s="158">
        <v>1076.0361329975726</v>
      </c>
      <c r="JS27" s="158">
        <v>1112.8727537918917</v>
      </c>
      <c r="JT27" s="158">
        <v>1112.8727537918917</v>
      </c>
      <c r="JU27" s="158">
        <v>1112.8727537918917</v>
      </c>
      <c r="JV27" s="158">
        <v>1112.8727537918917</v>
      </c>
      <c r="JW27" s="158">
        <v>1112.8727537918917</v>
      </c>
      <c r="JX27" s="158">
        <v>1201.4147371660317</v>
      </c>
      <c r="JY27" s="158">
        <v>1201.4147371660317</v>
      </c>
      <c r="JZ27" s="158">
        <v>1201.4147371660317</v>
      </c>
      <c r="KA27" s="158">
        <v>1201.4147371660317</v>
      </c>
      <c r="KB27" s="158">
        <v>1249.0497498836351</v>
      </c>
      <c r="KC27" s="158">
        <v>1249.0497498836351</v>
      </c>
      <c r="KD27" s="158">
        <v>1249.0497498836351</v>
      </c>
      <c r="KE27" s="158">
        <v>1249.0497498836351</v>
      </c>
      <c r="KF27" s="158">
        <v>1251.622546187341</v>
      </c>
      <c r="KG27" s="158">
        <v>1251.622546187341</v>
      </c>
      <c r="KH27" s="158">
        <v>1251.622546187341</v>
      </c>
      <c r="KI27" s="158">
        <v>1251.622546187341</v>
      </c>
      <c r="KJ27" s="158">
        <v>1251.622546187341</v>
      </c>
    </row>
    <row r="28" spans="1:296" ht="14">
      <c r="H28" s="1" t="s">
        <v>87</v>
      </c>
      <c r="U28" s="83">
        <v>1377</v>
      </c>
      <c r="V28" s="83">
        <v>1377</v>
      </c>
      <c r="W28" s="83">
        <v>1377</v>
      </c>
      <c r="X28" s="83">
        <v>1377</v>
      </c>
      <c r="Y28" s="83">
        <v>1377</v>
      </c>
      <c r="Z28" s="83">
        <v>1377</v>
      </c>
      <c r="AA28" s="83">
        <v>1377</v>
      </c>
      <c r="AB28" s="83">
        <v>1377</v>
      </c>
      <c r="AC28" s="83">
        <v>1377</v>
      </c>
      <c r="AD28" s="83">
        <v>1377</v>
      </c>
      <c r="AE28" s="83">
        <v>1377</v>
      </c>
      <c r="AF28" s="83">
        <v>1377</v>
      </c>
      <c r="AG28" s="83">
        <v>1377</v>
      </c>
      <c r="AH28" s="83">
        <v>1377</v>
      </c>
      <c r="AI28" s="83">
        <v>1377</v>
      </c>
      <c r="AJ28" s="83">
        <v>1377</v>
      </c>
      <c r="AK28" s="83">
        <v>1377</v>
      </c>
      <c r="AL28" s="83">
        <v>1377</v>
      </c>
      <c r="AM28" s="83">
        <v>1377</v>
      </c>
      <c r="AN28" s="83">
        <v>1377</v>
      </c>
      <c r="AO28" s="83">
        <v>1377</v>
      </c>
      <c r="AP28" s="83">
        <v>1377</v>
      </c>
      <c r="AQ28" s="83">
        <v>1377</v>
      </c>
      <c r="AR28" s="83">
        <v>1315</v>
      </c>
      <c r="AS28" s="83">
        <v>1306</v>
      </c>
      <c r="AT28" s="83">
        <v>1310</v>
      </c>
      <c r="AU28" s="83">
        <v>1310</v>
      </c>
      <c r="AV28" s="158">
        <v>1268</v>
      </c>
      <c r="AW28" s="158">
        <v>1261</v>
      </c>
      <c r="AX28" s="158">
        <v>1323</v>
      </c>
      <c r="AY28" s="158">
        <v>1323</v>
      </c>
      <c r="AZ28" s="158">
        <v>1306</v>
      </c>
      <c r="BA28" s="158">
        <v>1291</v>
      </c>
      <c r="BB28" s="158">
        <v>1282</v>
      </c>
      <c r="BC28" s="158">
        <v>1285</v>
      </c>
      <c r="BD28" s="158">
        <v>1219</v>
      </c>
      <c r="BE28" s="158">
        <v>1251</v>
      </c>
      <c r="BF28" s="158">
        <v>1251</v>
      </c>
      <c r="BG28" s="158">
        <v>1260.3186476770372</v>
      </c>
      <c r="BH28" s="158">
        <v>1260.9721935296795</v>
      </c>
      <c r="BI28" s="158">
        <v>1214.0815770933086</v>
      </c>
      <c r="BJ28" s="158">
        <v>1224.4122855454673</v>
      </c>
      <c r="BK28" s="158">
        <v>1224.8943631432089</v>
      </c>
      <c r="BL28" s="158">
        <v>1220.8389764175517</v>
      </c>
      <c r="BM28" s="158">
        <v>1201.5512157788862</v>
      </c>
      <c r="BN28" s="158">
        <v>1215.0616168681211</v>
      </c>
      <c r="BO28" s="158">
        <v>1218.0838169008853</v>
      </c>
      <c r="BP28" s="158">
        <v>1217.9396141401003</v>
      </c>
      <c r="BQ28" s="158">
        <v>1221.1766254679269</v>
      </c>
      <c r="BR28" s="158">
        <v>1118.5151926825677</v>
      </c>
      <c r="BS28" s="158">
        <v>1095.5642423065681</v>
      </c>
      <c r="BT28" s="158">
        <v>1120.145512661127</v>
      </c>
      <c r="BU28" s="158">
        <v>1076.7141229774484</v>
      </c>
      <c r="BV28" s="158">
        <v>1111.3107354114027</v>
      </c>
      <c r="BW28" s="158">
        <v>1083.9521515147321</v>
      </c>
      <c r="BX28" s="158">
        <v>1076.0361329975726</v>
      </c>
      <c r="BY28" s="158">
        <v>1112.8727537918917</v>
      </c>
      <c r="BZ28" s="158">
        <v>1201.4147371660317</v>
      </c>
      <c r="CA28" s="158">
        <v>1249.0497498836351</v>
      </c>
      <c r="CB28" s="158">
        <v>1251.622546187341</v>
      </c>
      <c r="CZ28" s="41">
        <v>1530</v>
      </c>
      <c r="DA28" s="41">
        <f>+DA27+145</f>
        <v>1519</v>
      </c>
      <c r="DB28" s="41">
        <f t="shared" ref="DB28:DG28" si="629">+DB27+145</f>
        <v>1519</v>
      </c>
      <c r="DC28" s="41">
        <f t="shared" si="629"/>
        <v>1519</v>
      </c>
      <c r="DD28" s="41">
        <f t="shared" si="629"/>
        <v>1519</v>
      </c>
      <c r="DE28" s="41">
        <f t="shared" si="629"/>
        <v>1519</v>
      </c>
      <c r="DF28" s="41">
        <f t="shared" si="629"/>
        <v>1519</v>
      </c>
      <c r="DG28" s="41">
        <f t="shared" si="629"/>
        <v>1519</v>
      </c>
      <c r="DH28" s="41">
        <f>+DH27+210</f>
        <v>1584</v>
      </c>
      <c r="DI28" s="41">
        <f t="shared" ref="DI28:EA28" si="630">+DI27+210</f>
        <v>1584</v>
      </c>
      <c r="DJ28" s="43">
        <f>+DJ27+210</f>
        <v>1587</v>
      </c>
      <c r="DK28" s="43">
        <f>+DK27+210</f>
        <v>1587</v>
      </c>
      <c r="DL28" s="43">
        <f t="shared" si="630"/>
        <v>1587</v>
      </c>
      <c r="DM28" s="43">
        <f t="shared" si="630"/>
        <v>1587</v>
      </c>
      <c r="DN28" s="43">
        <f t="shared" si="630"/>
        <v>1587</v>
      </c>
      <c r="DO28" s="43">
        <f t="shared" si="630"/>
        <v>1587</v>
      </c>
      <c r="DP28" s="43">
        <f t="shared" si="630"/>
        <v>1587</v>
      </c>
      <c r="DQ28" s="43">
        <f t="shared" si="630"/>
        <v>1587</v>
      </c>
      <c r="DR28" s="43">
        <f t="shared" si="630"/>
        <v>1587</v>
      </c>
      <c r="DS28" s="43">
        <f t="shared" si="630"/>
        <v>1587</v>
      </c>
      <c r="DT28" s="43">
        <f t="shared" si="630"/>
        <v>1587</v>
      </c>
      <c r="DU28" s="43">
        <f t="shared" si="630"/>
        <v>1587</v>
      </c>
      <c r="DV28" s="43">
        <f t="shared" si="630"/>
        <v>1587</v>
      </c>
      <c r="DW28" s="43">
        <f t="shared" si="630"/>
        <v>1587</v>
      </c>
      <c r="DX28" s="43">
        <f t="shared" si="630"/>
        <v>1587</v>
      </c>
      <c r="DY28" s="43">
        <f t="shared" si="630"/>
        <v>1587</v>
      </c>
      <c r="DZ28" s="43">
        <f t="shared" si="630"/>
        <v>1587</v>
      </c>
      <c r="EA28" s="43">
        <f t="shared" si="630"/>
        <v>1587</v>
      </c>
      <c r="EB28" s="43">
        <f>+EB27+210</f>
        <v>1587</v>
      </c>
      <c r="EC28" s="43">
        <f>+EC27+210</f>
        <v>1587</v>
      </c>
      <c r="ED28" s="43">
        <f>+ED27+210</f>
        <v>1587</v>
      </c>
      <c r="EE28" s="43">
        <f>+EE27+210</f>
        <v>1587</v>
      </c>
      <c r="EF28" s="43">
        <f t="shared" ref="EF28:EL28" si="631">+EF27+72</f>
        <v>1382</v>
      </c>
      <c r="EG28" s="43">
        <f t="shared" si="631"/>
        <v>1382</v>
      </c>
      <c r="EH28" s="43">
        <f t="shared" si="631"/>
        <v>1382</v>
      </c>
      <c r="EI28" s="43">
        <f t="shared" si="631"/>
        <v>1382</v>
      </c>
      <c r="EJ28" s="43">
        <f t="shared" si="631"/>
        <v>1382</v>
      </c>
      <c r="EK28" s="43">
        <f t="shared" si="631"/>
        <v>1382</v>
      </c>
      <c r="EL28" s="43">
        <f t="shared" si="631"/>
        <v>1382</v>
      </c>
      <c r="EM28" s="43">
        <f>+EM27+72</f>
        <v>1382</v>
      </c>
      <c r="EN28" s="43">
        <f>+EN27+72</f>
        <v>1382</v>
      </c>
      <c r="EO28" s="43">
        <f t="shared" ref="EO28:ET28" si="632">+EO27</f>
        <v>1310</v>
      </c>
      <c r="EP28" s="43">
        <f t="shared" si="632"/>
        <v>1310</v>
      </c>
      <c r="EQ28" s="43">
        <f t="shared" si="632"/>
        <v>1310</v>
      </c>
      <c r="ER28" s="43">
        <f t="shared" si="632"/>
        <v>1310</v>
      </c>
      <c r="ES28" s="43">
        <f t="shared" si="632"/>
        <v>1310</v>
      </c>
      <c r="ET28" s="43">
        <f t="shared" si="632"/>
        <v>1310</v>
      </c>
      <c r="EU28" s="43">
        <f t="shared" ref="EU28:EZ28" si="633">+EU27</f>
        <v>1310</v>
      </c>
      <c r="EV28" s="43">
        <f t="shared" si="633"/>
        <v>1310</v>
      </c>
      <c r="EW28" s="43">
        <f t="shared" si="633"/>
        <v>1310</v>
      </c>
      <c r="EX28" s="43">
        <f t="shared" si="633"/>
        <v>1310</v>
      </c>
      <c r="EY28" s="43">
        <f t="shared" si="633"/>
        <v>1310</v>
      </c>
      <c r="EZ28" s="43">
        <f t="shared" si="633"/>
        <v>1268</v>
      </c>
      <c r="FA28" s="43">
        <f t="shared" ref="FA28:FB28" si="634">+FA27</f>
        <v>1268</v>
      </c>
      <c r="FB28" s="43">
        <f t="shared" si="634"/>
        <v>1268</v>
      </c>
      <c r="FC28" s="43">
        <f t="shared" ref="FC28:FD28" si="635">+FC27</f>
        <v>1268</v>
      </c>
      <c r="FD28" s="43">
        <f t="shared" si="635"/>
        <v>1261</v>
      </c>
      <c r="FE28" s="43">
        <f t="shared" ref="FE28:FF28" si="636">+FE27</f>
        <v>1261</v>
      </c>
      <c r="FF28" s="43">
        <f t="shared" si="636"/>
        <v>1261</v>
      </c>
      <c r="FG28" s="43">
        <f t="shared" ref="FG28:FH28" si="637">+FG27</f>
        <v>1261</v>
      </c>
      <c r="FH28" s="43">
        <f t="shared" si="637"/>
        <v>1261</v>
      </c>
      <c r="FI28" s="43">
        <v>1323</v>
      </c>
      <c r="FJ28" s="43">
        <v>1323</v>
      </c>
      <c r="FK28" s="43">
        <v>1323</v>
      </c>
      <c r="FL28" s="43">
        <v>1323</v>
      </c>
      <c r="FM28" s="43">
        <v>1323</v>
      </c>
      <c r="FN28" s="43">
        <v>1323</v>
      </c>
      <c r="FO28" s="43">
        <v>1323</v>
      </c>
      <c r="FP28" s="43">
        <v>1306</v>
      </c>
      <c r="FQ28" s="43">
        <v>1306</v>
      </c>
      <c r="FR28" s="43">
        <v>1306</v>
      </c>
      <c r="FS28" s="43">
        <v>1306</v>
      </c>
      <c r="FT28" s="43">
        <v>1306</v>
      </c>
      <c r="FU28" s="43">
        <f t="shared" ref="FU28:FW28" si="638">+FU27</f>
        <v>1291</v>
      </c>
      <c r="FV28" s="43">
        <f t="shared" si="638"/>
        <v>1291</v>
      </c>
      <c r="FW28" s="43">
        <f t="shared" si="638"/>
        <v>1291</v>
      </c>
      <c r="FX28" s="43">
        <f t="shared" ref="FX28:FY28" si="639">+FX27</f>
        <v>1282</v>
      </c>
      <c r="FY28" s="43">
        <f t="shared" si="639"/>
        <v>1282</v>
      </c>
      <c r="FZ28" s="43">
        <f t="shared" ref="FZ28:GA28" si="640">+FZ27</f>
        <v>1282</v>
      </c>
      <c r="GA28" s="43">
        <f t="shared" si="640"/>
        <v>1282</v>
      </c>
      <c r="GB28" s="43">
        <f t="shared" ref="GB28:GC28" si="641">+GB27</f>
        <v>1282</v>
      </c>
      <c r="GC28" s="43">
        <f t="shared" si="641"/>
        <v>1282</v>
      </c>
      <c r="GD28" s="43">
        <f t="shared" ref="GD28:GE28" si="642">+GD27</f>
        <v>1282</v>
      </c>
      <c r="GE28" s="43">
        <f t="shared" si="642"/>
        <v>1282</v>
      </c>
      <c r="GF28" s="43">
        <f t="shared" ref="GF28:GG28" si="643">+GF27</f>
        <v>1282</v>
      </c>
      <c r="GG28" s="43">
        <f t="shared" si="643"/>
        <v>1219</v>
      </c>
      <c r="GH28" s="43">
        <f t="shared" ref="GH28:GI28" si="644">+GH27</f>
        <v>1219</v>
      </c>
      <c r="GI28" s="43">
        <f t="shared" si="644"/>
        <v>1219</v>
      </c>
      <c r="GJ28" s="43">
        <f t="shared" ref="GJ28:GK28" si="645">+GJ27</f>
        <v>1219</v>
      </c>
      <c r="GK28" s="43">
        <f t="shared" si="645"/>
        <v>1251</v>
      </c>
      <c r="GL28" s="43">
        <f t="shared" ref="GL28:GM28" si="646">+GL27</f>
        <v>1251</v>
      </c>
      <c r="GM28" s="43">
        <f t="shared" si="646"/>
        <v>1251</v>
      </c>
      <c r="GN28" s="43">
        <f t="shared" ref="GN28:GO28" si="647">+GN27</f>
        <v>1251</v>
      </c>
      <c r="GO28" s="43">
        <f t="shared" si="647"/>
        <v>1251</v>
      </c>
      <c r="GP28" s="43">
        <f t="shared" ref="GP28:GQ28" si="648">+GP27</f>
        <v>1251</v>
      </c>
      <c r="GQ28" s="43">
        <f t="shared" si="648"/>
        <v>1251</v>
      </c>
      <c r="GR28" s="43">
        <f t="shared" ref="GR28:GS28" si="649">+GR27</f>
        <v>1251</v>
      </c>
      <c r="GS28" s="43">
        <f t="shared" si="649"/>
        <v>1251</v>
      </c>
      <c r="GT28" s="43">
        <f t="shared" ref="GT28:GU28" si="650">+GT27</f>
        <v>1260.3186476770372</v>
      </c>
      <c r="GU28" s="43">
        <f t="shared" si="650"/>
        <v>1260.3186476770372</v>
      </c>
      <c r="GV28" s="43">
        <f t="shared" ref="GV28:GW28" si="651">+GV27</f>
        <v>1260.3186476770372</v>
      </c>
      <c r="GW28" s="43">
        <f t="shared" si="651"/>
        <v>1260.3186476770372</v>
      </c>
      <c r="GX28" s="43">
        <f t="shared" ref="GX28:HB28" si="652">+GX27</f>
        <v>1260.9721935296795</v>
      </c>
      <c r="GY28" s="43">
        <f t="shared" si="652"/>
        <v>1260.9721935296795</v>
      </c>
      <c r="GZ28" s="43">
        <f t="shared" si="652"/>
        <v>1260.9721935296795</v>
      </c>
      <c r="HA28" s="43">
        <f t="shared" si="652"/>
        <v>1260.9721935296795</v>
      </c>
      <c r="HB28" s="43">
        <f t="shared" si="652"/>
        <v>1260.9721935296795</v>
      </c>
      <c r="HC28" s="43">
        <f t="shared" ref="HC28:HF28" si="653">+HC27</f>
        <v>1214.0815770933086</v>
      </c>
      <c r="HD28" s="43">
        <f t="shared" si="653"/>
        <v>1214.0815770933086</v>
      </c>
      <c r="HE28" s="43">
        <f t="shared" si="653"/>
        <v>1214.0815770933086</v>
      </c>
      <c r="HF28" s="43">
        <f t="shared" si="653"/>
        <v>1214.0815770933086</v>
      </c>
      <c r="HG28" s="43">
        <f t="shared" ref="HG28:HH28" si="654">+HG27</f>
        <v>1224.4122855454673</v>
      </c>
      <c r="HH28" s="43">
        <f t="shared" si="654"/>
        <v>1224.4122855454673</v>
      </c>
      <c r="HI28" s="43">
        <f t="shared" ref="HI28:HJ28" si="655">+HI27</f>
        <v>1224.4122855454673</v>
      </c>
      <c r="HJ28" s="43">
        <f t="shared" si="655"/>
        <v>1224.4122855454673</v>
      </c>
      <c r="HK28" s="43">
        <f t="shared" ref="HK28:HL28" si="656">+HK27</f>
        <v>1224.8943631432089</v>
      </c>
      <c r="HL28" s="43">
        <f t="shared" si="656"/>
        <v>1224.8943631432089</v>
      </c>
      <c r="HM28" s="43">
        <f t="shared" ref="HM28:HN28" si="657">+HM27</f>
        <v>1224.8943631432089</v>
      </c>
      <c r="HN28" s="43">
        <f t="shared" si="657"/>
        <v>1224.8943631432089</v>
      </c>
      <c r="HO28" s="43">
        <f t="shared" ref="HO28:HR28" si="658">+HO27</f>
        <v>1220.8389764175517</v>
      </c>
      <c r="HP28" s="43">
        <f t="shared" si="658"/>
        <v>1220.8389764175517</v>
      </c>
      <c r="HQ28" s="43">
        <f t="shared" si="658"/>
        <v>1220.8389764175517</v>
      </c>
      <c r="HR28" s="43">
        <f t="shared" si="658"/>
        <v>1220.8389764175517</v>
      </c>
      <c r="HS28" s="43">
        <f t="shared" ref="HS28:HV28" si="659">+HS27</f>
        <v>1201.5512157788862</v>
      </c>
      <c r="HT28" s="43">
        <f t="shared" si="659"/>
        <v>1201.5512157788862</v>
      </c>
      <c r="HU28" s="43">
        <f t="shared" si="659"/>
        <v>1201.5512157788862</v>
      </c>
      <c r="HV28" s="43">
        <f t="shared" si="659"/>
        <v>1201.5512157788862</v>
      </c>
      <c r="HW28" s="43">
        <f t="shared" ref="HW28:IA28" si="660">+HW27</f>
        <v>1215.0616168681211</v>
      </c>
      <c r="HX28" s="43">
        <f t="shared" si="660"/>
        <v>1215.0616168681211</v>
      </c>
      <c r="HY28" s="43">
        <f t="shared" si="660"/>
        <v>1215.0616168681211</v>
      </c>
      <c r="HZ28" s="43">
        <f t="shared" si="660"/>
        <v>1215.0616168681211</v>
      </c>
      <c r="IA28" s="43">
        <f t="shared" si="660"/>
        <v>1215.0616168681211</v>
      </c>
      <c r="IB28" s="43">
        <f t="shared" ref="IB28:IE28" si="661">+IB27</f>
        <v>1218.0838169008853</v>
      </c>
      <c r="IC28" s="43">
        <f t="shared" si="661"/>
        <v>1218.0838169008853</v>
      </c>
      <c r="ID28" s="43">
        <f t="shared" si="661"/>
        <v>1218.0838169008853</v>
      </c>
      <c r="IE28" s="43">
        <f t="shared" si="661"/>
        <v>1218.0838169008853</v>
      </c>
      <c r="IF28" s="43">
        <f t="shared" ref="IF28:IJ28" si="662">+IF27</f>
        <v>1217.9396141401003</v>
      </c>
      <c r="IG28" s="43">
        <f t="shared" si="662"/>
        <v>1217.9396141401003</v>
      </c>
      <c r="IH28" s="43">
        <f t="shared" si="662"/>
        <v>1217.9396141401003</v>
      </c>
      <c r="II28" s="43">
        <f t="shared" si="662"/>
        <v>1217.9396141401003</v>
      </c>
      <c r="IJ28" s="43">
        <f t="shared" si="662"/>
        <v>1217.9396141401003</v>
      </c>
      <c r="IK28" s="43">
        <f t="shared" ref="IK28:IN28" si="663">+IK27</f>
        <v>1221.1766254679269</v>
      </c>
      <c r="IL28" s="43">
        <f t="shared" si="663"/>
        <v>1221.1766254679269</v>
      </c>
      <c r="IM28" s="43">
        <f t="shared" si="663"/>
        <v>1221.1766254679269</v>
      </c>
      <c r="IN28" s="43">
        <f t="shared" si="663"/>
        <v>1221.1766254679269</v>
      </c>
      <c r="IO28" s="43">
        <f t="shared" ref="IO28:IR28" si="664">+IO27</f>
        <v>1118.5151926825677</v>
      </c>
      <c r="IP28" s="43">
        <f t="shared" si="664"/>
        <v>1118.5151926825677</v>
      </c>
      <c r="IQ28" s="43">
        <f t="shared" si="664"/>
        <v>1118.5151926825677</v>
      </c>
      <c r="IR28" s="43">
        <f t="shared" si="664"/>
        <v>1118.5151926825677</v>
      </c>
      <c r="IS28" s="43">
        <f t="shared" ref="IS28:IW28" si="665">+IS27</f>
        <v>1095.5642423065681</v>
      </c>
      <c r="IT28" s="43">
        <f t="shared" si="665"/>
        <v>1095.5642423065681</v>
      </c>
      <c r="IU28" s="43">
        <f t="shared" si="665"/>
        <v>1095.5642423065681</v>
      </c>
      <c r="IV28" s="43">
        <f t="shared" si="665"/>
        <v>1095.5642423065681</v>
      </c>
      <c r="IW28" s="43">
        <f t="shared" si="665"/>
        <v>1095.5642423065681</v>
      </c>
      <c r="IX28" s="43">
        <f t="shared" ref="IX28:JA28" si="666">+IX27</f>
        <v>1120.145512661127</v>
      </c>
      <c r="IY28" s="43">
        <f t="shared" si="666"/>
        <v>1120.145512661127</v>
      </c>
      <c r="IZ28" s="43">
        <f t="shared" si="666"/>
        <v>1120.145512661127</v>
      </c>
      <c r="JA28" s="43">
        <f t="shared" si="666"/>
        <v>1120.145512661127</v>
      </c>
      <c r="JB28" s="43">
        <f t="shared" ref="JB28:JE28" si="667">+JB27</f>
        <v>1076.7141229774484</v>
      </c>
      <c r="JC28" s="43">
        <f t="shared" si="667"/>
        <v>1076.7141229774484</v>
      </c>
      <c r="JD28" s="43">
        <f t="shared" si="667"/>
        <v>1076.7141229774484</v>
      </c>
      <c r="JE28" s="43">
        <f t="shared" si="667"/>
        <v>1076.7141229774484</v>
      </c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</row>
    <row r="29" spans="1:296" ht="15" hidden="1">
      <c r="F29" s="62"/>
      <c r="H29" s="1" t="s">
        <v>89</v>
      </c>
      <c r="U29" s="135">
        <f t="shared" ref="U29:AK29" si="668">U28+210</f>
        <v>1587</v>
      </c>
      <c r="V29" s="135">
        <f t="shared" si="668"/>
        <v>1587</v>
      </c>
      <c r="W29" s="135">
        <f t="shared" si="668"/>
        <v>1587</v>
      </c>
      <c r="X29" s="135">
        <f t="shared" si="668"/>
        <v>1587</v>
      </c>
      <c r="Y29" s="135">
        <f t="shared" si="668"/>
        <v>1587</v>
      </c>
      <c r="Z29" s="135">
        <f t="shared" si="668"/>
        <v>1587</v>
      </c>
      <c r="AA29" s="135">
        <f t="shared" si="668"/>
        <v>1587</v>
      </c>
      <c r="AB29" s="135">
        <f t="shared" si="668"/>
        <v>1587</v>
      </c>
      <c r="AC29" s="135">
        <f t="shared" si="668"/>
        <v>1587</v>
      </c>
      <c r="AD29" s="135">
        <f t="shared" si="668"/>
        <v>1587</v>
      </c>
      <c r="AE29" s="135">
        <f t="shared" si="668"/>
        <v>1587</v>
      </c>
      <c r="AF29" s="135">
        <f t="shared" si="668"/>
        <v>1587</v>
      </c>
      <c r="AG29" s="135">
        <f t="shared" si="668"/>
        <v>1587</v>
      </c>
      <c r="AH29" s="135">
        <f t="shared" si="668"/>
        <v>1587</v>
      </c>
      <c r="AI29" s="135">
        <f t="shared" si="668"/>
        <v>1587</v>
      </c>
      <c r="AJ29" s="135">
        <f t="shared" si="668"/>
        <v>1587</v>
      </c>
      <c r="AK29" s="135">
        <f t="shared" si="668"/>
        <v>1587</v>
      </c>
      <c r="AL29" s="135">
        <f t="shared" ref="AL29:AT29" si="669">AL28+210</f>
        <v>1587</v>
      </c>
      <c r="AM29" s="135">
        <f t="shared" si="669"/>
        <v>1587</v>
      </c>
      <c r="AN29" s="135">
        <f t="shared" si="669"/>
        <v>1587</v>
      </c>
      <c r="AO29" s="135">
        <f t="shared" si="669"/>
        <v>1587</v>
      </c>
      <c r="AP29" s="135">
        <f t="shared" si="669"/>
        <v>1587</v>
      </c>
      <c r="AQ29" s="135">
        <f t="shared" si="669"/>
        <v>1587</v>
      </c>
      <c r="AR29" s="135">
        <f t="shared" si="669"/>
        <v>1525</v>
      </c>
      <c r="AS29" s="135">
        <f t="shared" si="669"/>
        <v>1516</v>
      </c>
      <c r="AT29" s="135">
        <f t="shared" si="669"/>
        <v>1520</v>
      </c>
      <c r="AU29" s="83">
        <f t="shared" ref="AU29:AZ29" si="670">AU28</f>
        <v>1310</v>
      </c>
      <c r="AV29" s="83">
        <f t="shared" si="670"/>
        <v>1268</v>
      </c>
      <c r="AW29" s="83">
        <f t="shared" si="670"/>
        <v>1261</v>
      </c>
      <c r="AX29" s="83">
        <f t="shared" si="670"/>
        <v>1323</v>
      </c>
      <c r="AY29" s="83">
        <f t="shared" si="670"/>
        <v>1323</v>
      </c>
      <c r="AZ29" s="83">
        <f t="shared" si="670"/>
        <v>1306</v>
      </c>
      <c r="BA29" s="83">
        <f t="shared" ref="BA29:BB29" si="671">BA28</f>
        <v>1291</v>
      </c>
      <c r="BB29" s="83">
        <f t="shared" si="671"/>
        <v>1282</v>
      </c>
      <c r="BC29" s="83">
        <f t="shared" ref="BC29:BD29" si="672">BC28</f>
        <v>1285</v>
      </c>
      <c r="BD29" s="83">
        <f t="shared" si="672"/>
        <v>1219</v>
      </c>
      <c r="BE29" s="83">
        <f t="shared" ref="BE29:BF29" si="673">BE28</f>
        <v>1251</v>
      </c>
      <c r="BF29" s="83">
        <f t="shared" si="673"/>
        <v>1251</v>
      </c>
      <c r="BG29" s="83">
        <f t="shared" ref="BG29:BH29" si="674">BG28</f>
        <v>1260.3186476770372</v>
      </c>
      <c r="BH29" s="83">
        <f t="shared" si="674"/>
        <v>1260.9721935296795</v>
      </c>
      <c r="BI29" s="83">
        <f t="shared" ref="BI29:BJ29" si="675">BI28</f>
        <v>1214.0815770933086</v>
      </c>
      <c r="BJ29" s="83">
        <f t="shared" si="675"/>
        <v>1224.4122855454673</v>
      </c>
      <c r="BK29" s="83">
        <f t="shared" ref="BK29:BL29" si="676">BK28</f>
        <v>1224.8943631432089</v>
      </c>
      <c r="BL29" s="83">
        <f t="shared" si="676"/>
        <v>1220.8389764175517</v>
      </c>
      <c r="BM29" s="83">
        <f t="shared" ref="BM29:BN29" si="677">BM28</f>
        <v>1201.5512157788862</v>
      </c>
      <c r="BN29" s="83">
        <f t="shared" si="677"/>
        <v>1215.0616168681211</v>
      </c>
      <c r="BO29" s="83">
        <f t="shared" ref="BO29:BP29" si="678">BO28</f>
        <v>1218.0838169008853</v>
      </c>
      <c r="BP29" s="83">
        <f t="shared" si="678"/>
        <v>1217.9396141401003</v>
      </c>
      <c r="BQ29" s="83">
        <f t="shared" ref="BQ29:BR29" si="679">BQ28</f>
        <v>1221.1766254679269</v>
      </c>
      <c r="BR29" s="83">
        <f t="shared" si="679"/>
        <v>1118.5151926825677</v>
      </c>
      <c r="BS29" s="83">
        <f t="shared" ref="BS29:BT29" si="680">BS28</f>
        <v>1095.5642423065681</v>
      </c>
      <c r="BT29" s="83">
        <f t="shared" si="680"/>
        <v>1120.145512661127</v>
      </c>
      <c r="BU29" s="83">
        <f t="shared" ref="BU29:BV29" si="681">BU28</f>
        <v>1076.7141229774484</v>
      </c>
      <c r="BV29" s="83">
        <f t="shared" si="681"/>
        <v>1111.3107354114027</v>
      </c>
      <c r="BW29" s="83">
        <f t="shared" ref="BW29:BX29" si="682">BW28</f>
        <v>1083.9521515147321</v>
      </c>
      <c r="BX29" s="83">
        <f t="shared" si="682"/>
        <v>1076.0361329975726</v>
      </c>
      <c r="BY29" s="83">
        <f t="shared" ref="BY29:BZ29" si="683">BY28</f>
        <v>1112.8727537918917</v>
      </c>
      <c r="BZ29" s="83">
        <f t="shared" si="683"/>
        <v>1201.4147371660317</v>
      </c>
      <c r="CA29" s="83">
        <f t="shared" ref="CA29:CB29" si="684">CA28</f>
        <v>1249.0497498836351</v>
      </c>
      <c r="CB29" s="83">
        <f t="shared" si="684"/>
        <v>1251.622546187341</v>
      </c>
      <c r="CF29" s="1" t="s">
        <v>99</v>
      </c>
      <c r="DJ29" s="43">
        <v>1575</v>
      </c>
      <c r="DK29" s="43">
        <v>1575</v>
      </c>
      <c r="DL29" s="43">
        <v>1575</v>
      </c>
      <c r="DM29" s="43">
        <v>1575</v>
      </c>
      <c r="DN29" s="43">
        <v>1575</v>
      </c>
      <c r="DO29" s="43">
        <v>1575</v>
      </c>
      <c r="DP29" s="43">
        <v>1575</v>
      </c>
      <c r="DQ29" s="43">
        <v>1575</v>
      </c>
      <c r="DR29" s="43">
        <v>1575</v>
      </c>
      <c r="DS29" s="43">
        <v>1575</v>
      </c>
      <c r="DT29" s="43">
        <v>1575</v>
      </c>
      <c r="DU29" s="43">
        <v>1575</v>
      </c>
      <c r="DV29" s="43">
        <v>1575</v>
      </c>
      <c r="DW29" s="43">
        <v>1530</v>
      </c>
      <c r="DX29" s="43">
        <v>1530</v>
      </c>
      <c r="DY29" s="43">
        <v>1530</v>
      </c>
      <c r="DZ29" s="43">
        <v>1530</v>
      </c>
      <c r="EA29" s="43">
        <v>1530</v>
      </c>
      <c r="EB29" s="43">
        <v>1530</v>
      </c>
      <c r="EC29" s="43">
        <v>1530</v>
      </c>
      <c r="ED29" s="43">
        <v>1530</v>
      </c>
      <c r="EE29" s="43">
        <v>1530</v>
      </c>
      <c r="EF29" s="43">
        <v>1530</v>
      </c>
      <c r="EG29" s="43">
        <v>1530</v>
      </c>
      <c r="EH29" s="43">
        <v>1530</v>
      </c>
      <c r="EI29" s="43">
        <v>1530</v>
      </c>
      <c r="EJ29" s="43">
        <v>1530</v>
      </c>
      <c r="EK29" s="43">
        <v>1530</v>
      </c>
      <c r="EL29" s="43">
        <v>1530</v>
      </c>
      <c r="EM29" s="43">
        <v>1530</v>
      </c>
      <c r="EN29" s="43">
        <v>1530</v>
      </c>
      <c r="EO29" s="43">
        <v>1530</v>
      </c>
      <c r="EP29" s="134">
        <v>1530</v>
      </c>
      <c r="EQ29" s="134">
        <v>1530</v>
      </c>
      <c r="ER29" s="134">
        <v>1530</v>
      </c>
      <c r="ES29" s="134">
        <v>1530</v>
      </c>
      <c r="ET29" s="134">
        <v>1530</v>
      </c>
      <c r="EU29" s="134">
        <v>1530</v>
      </c>
      <c r="EV29" s="134">
        <v>1530</v>
      </c>
      <c r="EW29" s="134">
        <v>1530</v>
      </c>
      <c r="EX29" s="134">
        <v>1530</v>
      </c>
      <c r="EY29" s="134">
        <v>1530</v>
      </c>
      <c r="EZ29" s="134">
        <v>1530</v>
      </c>
      <c r="FA29" s="134">
        <v>1530</v>
      </c>
      <c r="FB29" s="134">
        <v>1530</v>
      </c>
      <c r="FC29" s="134">
        <v>1530</v>
      </c>
      <c r="FD29" s="134">
        <v>1530</v>
      </c>
      <c r="FE29" s="134">
        <v>1530</v>
      </c>
      <c r="FF29" s="134">
        <v>1530</v>
      </c>
      <c r="FG29" s="134">
        <v>1530</v>
      </c>
      <c r="FH29" s="134">
        <v>1530</v>
      </c>
      <c r="FI29" s="134">
        <v>1530</v>
      </c>
      <c r="FJ29" s="134">
        <v>1500</v>
      </c>
      <c r="FK29" s="134">
        <v>1500</v>
      </c>
      <c r="FL29" s="134">
        <v>1500</v>
      </c>
      <c r="FM29" s="134">
        <v>1500</v>
      </c>
      <c r="FN29" s="134">
        <v>1500</v>
      </c>
      <c r="FO29" s="134">
        <v>1500</v>
      </c>
      <c r="FP29" s="134">
        <v>1500</v>
      </c>
      <c r="FQ29" s="134">
        <v>1500</v>
      </c>
      <c r="FR29" s="134">
        <v>1500</v>
      </c>
      <c r="FS29" s="134">
        <v>1500</v>
      </c>
      <c r="FT29" s="134">
        <v>1430</v>
      </c>
      <c r="FU29" s="134">
        <v>1430</v>
      </c>
      <c r="FV29" s="134">
        <v>1430</v>
      </c>
      <c r="FW29" s="134">
        <v>1430</v>
      </c>
      <c r="FX29" s="134">
        <v>1430</v>
      </c>
      <c r="FY29" s="134">
        <v>1430</v>
      </c>
      <c r="FZ29" s="134">
        <v>1430</v>
      </c>
      <c r="GA29" s="134">
        <v>1430</v>
      </c>
    </row>
    <row r="30" spans="1:296">
      <c r="AQ30" s="3">
        <f t="shared" ref="AQ30:AU30" si="685">AQ28*0.3*0.29%+AQ28</f>
        <v>1378.1979899999999</v>
      </c>
      <c r="AR30" s="3">
        <f t="shared" si="685"/>
        <v>1316.1440500000001</v>
      </c>
      <c r="AS30" s="3">
        <f t="shared" si="685"/>
        <v>1307.1362200000001</v>
      </c>
      <c r="AT30" s="3">
        <f t="shared" si="685"/>
        <v>1311.1396999999999</v>
      </c>
      <c r="AU30" s="3">
        <f t="shared" si="685"/>
        <v>1311.1396999999999</v>
      </c>
      <c r="AV30" s="3">
        <f t="shared" ref="AV30:BA30" si="686">AV28</f>
        <v>1268</v>
      </c>
      <c r="AW30" s="3">
        <f t="shared" si="686"/>
        <v>1261</v>
      </c>
      <c r="AX30" s="3">
        <f t="shared" si="686"/>
        <v>1323</v>
      </c>
      <c r="AY30" s="3">
        <f t="shared" si="686"/>
        <v>1323</v>
      </c>
      <c r="AZ30" s="3">
        <f t="shared" si="686"/>
        <v>1306</v>
      </c>
      <c r="BA30" s="3">
        <f t="shared" si="686"/>
        <v>1291</v>
      </c>
      <c r="BB30" s="3">
        <f t="shared" ref="BB30:BC30" si="687">BB28</f>
        <v>1282</v>
      </c>
      <c r="BC30" s="3">
        <f t="shared" si="687"/>
        <v>1285</v>
      </c>
      <c r="BD30" s="3">
        <f t="shared" ref="BD30:BI30" si="688">BD28</f>
        <v>1219</v>
      </c>
      <c r="BE30" s="3">
        <f t="shared" si="688"/>
        <v>1251</v>
      </c>
      <c r="BF30" s="3">
        <f t="shared" si="688"/>
        <v>1251</v>
      </c>
      <c r="BG30" s="3">
        <f t="shared" si="688"/>
        <v>1260.3186476770372</v>
      </c>
      <c r="BH30" s="3">
        <f t="shared" si="688"/>
        <v>1260.9721935296795</v>
      </c>
      <c r="BI30" s="3">
        <f t="shared" si="688"/>
        <v>1214.0815770933086</v>
      </c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</row>
    <row r="31" spans="1:296" ht="14" hidden="1">
      <c r="H31" s="1" t="s">
        <v>116</v>
      </c>
      <c r="AL31" s="3">
        <v>1422</v>
      </c>
      <c r="AM31" s="3">
        <v>1422</v>
      </c>
      <c r="AN31" s="3">
        <v>1422</v>
      </c>
      <c r="AO31" s="3">
        <v>1422</v>
      </c>
      <c r="AP31" s="3">
        <v>1422</v>
      </c>
      <c r="AQ31" s="3">
        <v>1396</v>
      </c>
      <c r="AR31" s="3">
        <v>1396</v>
      </c>
      <c r="AS31" s="3">
        <v>1396</v>
      </c>
      <c r="AT31" s="3">
        <v>1396</v>
      </c>
      <c r="AU31" s="3">
        <v>1371</v>
      </c>
      <c r="AV31" s="3">
        <v>1371</v>
      </c>
      <c r="AW31" s="3">
        <v>1358</v>
      </c>
      <c r="AX31" s="3">
        <v>1358</v>
      </c>
      <c r="AY31" s="3">
        <v>1358</v>
      </c>
      <c r="AZ31" s="3">
        <v>1358</v>
      </c>
      <c r="BA31" s="3">
        <v>1358</v>
      </c>
      <c r="BB31" s="3">
        <v>1359</v>
      </c>
      <c r="BC31" s="3">
        <v>1359</v>
      </c>
      <c r="BD31" s="3">
        <v>1359</v>
      </c>
      <c r="BE31" s="3">
        <v>1359</v>
      </c>
      <c r="BF31" s="3">
        <v>1359</v>
      </c>
      <c r="BG31" s="3">
        <v>1359</v>
      </c>
      <c r="BH31" s="3">
        <v>1359</v>
      </c>
      <c r="BI31" s="3">
        <v>1359</v>
      </c>
      <c r="BJ31" s="3">
        <v>1359</v>
      </c>
      <c r="BK31" s="3">
        <v>1359</v>
      </c>
      <c r="BL31" s="3">
        <v>1359</v>
      </c>
      <c r="BM31" s="3">
        <v>1359</v>
      </c>
      <c r="BN31" s="3">
        <v>1359</v>
      </c>
      <c r="BO31" s="3">
        <v>1359</v>
      </c>
      <c r="BP31" s="3">
        <v>1359</v>
      </c>
      <c r="BQ31" s="3">
        <v>1359</v>
      </c>
      <c r="BR31" s="3">
        <v>1359</v>
      </c>
      <c r="BS31" s="3">
        <v>1359</v>
      </c>
      <c r="BT31" s="3">
        <v>1359</v>
      </c>
      <c r="BU31" s="3">
        <v>1359</v>
      </c>
      <c r="BV31" s="3">
        <v>1359</v>
      </c>
      <c r="BW31" s="3">
        <v>1359</v>
      </c>
      <c r="BX31" s="3">
        <v>1359</v>
      </c>
      <c r="BY31" s="3">
        <v>1359</v>
      </c>
      <c r="BZ31" s="3">
        <v>1359</v>
      </c>
      <c r="CA31" s="3">
        <v>1359</v>
      </c>
      <c r="CB31" s="3">
        <v>1359</v>
      </c>
      <c r="DJ31" s="134"/>
      <c r="DK31" s="134"/>
      <c r="EF31" s="41"/>
    </row>
    <row r="32" spans="1:296">
      <c r="DJ32" s="41"/>
    </row>
    <row r="45" spans="6:80" ht="14">
      <c r="F45" s="60" t="s">
        <v>69</v>
      </c>
      <c r="G45" s="54" t="s">
        <v>24</v>
      </c>
      <c r="H45" s="60"/>
      <c r="U45" s="41">
        <f>U22</f>
        <v>1185</v>
      </c>
      <c r="V45" s="41">
        <f t="shared" ref="V45:AC45" si="689">V22</f>
        <v>1297.5</v>
      </c>
      <c r="W45" s="41">
        <f t="shared" si="689"/>
        <v>1386</v>
      </c>
      <c r="X45" s="41">
        <f t="shared" si="689"/>
        <v>1390</v>
      </c>
      <c r="Y45" s="41">
        <f t="shared" si="689"/>
        <v>1320</v>
      </c>
      <c r="Z45" s="41">
        <f t="shared" si="689"/>
        <v>1327</v>
      </c>
      <c r="AA45" s="41">
        <f t="shared" si="689"/>
        <v>1248</v>
      </c>
      <c r="AB45" s="41">
        <f t="shared" si="689"/>
        <v>1230</v>
      </c>
      <c r="AC45" s="41">
        <f t="shared" si="689"/>
        <v>1130</v>
      </c>
      <c r="AD45" s="41">
        <f t="shared" ref="AD45:AI45" si="690">AD22</f>
        <v>1130</v>
      </c>
      <c r="AE45" s="41">
        <f t="shared" si="690"/>
        <v>1105</v>
      </c>
      <c r="AF45" s="41">
        <f t="shared" si="690"/>
        <v>1105</v>
      </c>
      <c r="AG45" s="41">
        <f t="shared" si="690"/>
        <v>1105</v>
      </c>
      <c r="AH45" s="41">
        <f t="shared" si="690"/>
        <v>1105</v>
      </c>
      <c r="AI45" s="41">
        <f t="shared" si="690"/>
        <v>1065</v>
      </c>
      <c r="AJ45" s="41">
        <v>1065</v>
      </c>
      <c r="AK45" s="41"/>
      <c r="AL45" s="41"/>
      <c r="AM45" s="41">
        <f>AM22</f>
        <v>1092.5</v>
      </c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</row>
    <row r="46" spans="6:80" ht="14">
      <c r="F46" s="60" t="s">
        <v>59</v>
      </c>
      <c r="G46" s="54" t="s">
        <v>24</v>
      </c>
      <c r="H46" s="60"/>
      <c r="Q46" s="2"/>
      <c r="U46" s="66">
        <f t="shared" ref="U46:AC46" si="691">U22*1.15</f>
        <v>1362.75</v>
      </c>
      <c r="V46" s="66">
        <f t="shared" si="691"/>
        <v>1492.1249999999998</v>
      </c>
      <c r="W46" s="66">
        <f t="shared" si="691"/>
        <v>1593.8999999999999</v>
      </c>
      <c r="X46" s="66">
        <f t="shared" si="691"/>
        <v>1598.4999999999998</v>
      </c>
      <c r="Y46" s="66">
        <f t="shared" si="691"/>
        <v>1517.9999999999998</v>
      </c>
      <c r="Z46" s="66">
        <f t="shared" si="691"/>
        <v>1526.05</v>
      </c>
      <c r="AA46" s="66">
        <f t="shared" si="691"/>
        <v>1435.1999999999998</v>
      </c>
      <c r="AB46" s="66">
        <f t="shared" si="691"/>
        <v>1414.5</v>
      </c>
      <c r="AC46" s="66">
        <f t="shared" si="691"/>
        <v>1299.5</v>
      </c>
      <c r="AD46" s="66">
        <f t="shared" ref="AD46:AI46" si="692">AD22*1.15</f>
        <v>1299.5</v>
      </c>
      <c r="AE46" s="66">
        <f t="shared" si="692"/>
        <v>1270.75</v>
      </c>
      <c r="AF46" s="66">
        <f t="shared" si="692"/>
        <v>1270.75</v>
      </c>
      <c r="AG46" s="66">
        <f t="shared" si="692"/>
        <v>1270.75</v>
      </c>
      <c r="AH46" s="66">
        <f t="shared" si="692"/>
        <v>1270.75</v>
      </c>
      <c r="AI46" s="66">
        <f t="shared" si="692"/>
        <v>1224.75</v>
      </c>
      <c r="AJ46" s="66"/>
      <c r="AK46" s="66"/>
      <c r="AL46" s="66"/>
      <c r="AM46" s="66">
        <f>AM22*1.15</f>
        <v>1256.375</v>
      </c>
      <c r="AN46" s="119"/>
      <c r="AO46" s="119"/>
      <c r="AP46" s="119"/>
      <c r="AQ46" s="119"/>
      <c r="AR46" s="119"/>
      <c r="AS46" s="119"/>
      <c r="AT46" s="119"/>
      <c r="AU46" s="119"/>
      <c r="AV46" s="159"/>
      <c r="AW46" s="159"/>
      <c r="AX46" s="159"/>
      <c r="AY46" s="159"/>
      <c r="AZ46" s="159"/>
      <c r="BA46" s="159"/>
      <c r="BB46" s="159"/>
      <c r="BC46" s="159"/>
      <c r="BD46" s="159"/>
      <c r="BE46" s="159"/>
      <c r="BF46" s="159"/>
      <c r="BG46" s="159"/>
      <c r="BH46" s="159"/>
      <c r="BI46" s="159"/>
      <c r="BJ46" s="159"/>
      <c r="BK46" s="159"/>
      <c r="BL46" s="159"/>
      <c r="BM46" s="159"/>
      <c r="BN46" s="159"/>
      <c r="BO46" s="159"/>
      <c r="BP46" s="159"/>
      <c r="BQ46" s="159"/>
      <c r="BR46" s="159"/>
      <c r="BS46" s="159"/>
      <c r="BT46" s="159"/>
      <c r="BU46" s="159"/>
      <c r="BV46" s="159"/>
      <c r="BW46" s="159"/>
      <c r="BX46" s="159"/>
      <c r="BY46" s="159"/>
      <c r="BZ46" s="159"/>
      <c r="CA46" s="159"/>
      <c r="CB46" s="159"/>
    </row>
    <row r="47" spans="6:80" ht="14">
      <c r="F47" s="60" t="s">
        <v>60</v>
      </c>
      <c r="G47" s="54" t="s">
        <v>24</v>
      </c>
      <c r="H47" s="60"/>
      <c r="I47" s="32"/>
      <c r="J47" s="32"/>
      <c r="K47" s="32"/>
      <c r="L47" s="32"/>
      <c r="M47" s="32"/>
      <c r="N47" s="32"/>
      <c r="O47" s="32"/>
      <c r="P47" s="32"/>
      <c r="Q47" s="31"/>
      <c r="R47" s="32"/>
      <c r="S47" s="32"/>
      <c r="T47" s="32"/>
      <c r="U47" s="67">
        <f>U16</f>
        <v>1313</v>
      </c>
      <c r="V47" s="67">
        <f t="shared" ref="V47:AB47" si="693">V16</f>
        <v>1302</v>
      </c>
      <c r="W47" s="67">
        <f t="shared" si="693"/>
        <v>1360</v>
      </c>
      <c r="X47" s="67">
        <f t="shared" si="693"/>
        <v>1397</v>
      </c>
      <c r="Y47" s="67">
        <f t="shared" si="693"/>
        <v>1425</v>
      </c>
      <c r="Z47" s="67">
        <f t="shared" si="693"/>
        <v>1493</v>
      </c>
      <c r="AA47" s="67">
        <f t="shared" si="693"/>
        <v>1473</v>
      </c>
      <c r="AB47" s="67">
        <f t="shared" si="693"/>
        <v>1474</v>
      </c>
      <c r="AC47" s="67">
        <f t="shared" ref="AC47:AH47" si="694">AC16</f>
        <v>1486</v>
      </c>
      <c r="AD47" s="67">
        <f t="shared" si="694"/>
        <v>1478.5</v>
      </c>
      <c r="AE47" s="67">
        <f t="shared" si="694"/>
        <v>1480</v>
      </c>
      <c r="AF47" s="67">
        <f t="shared" si="694"/>
        <v>1461</v>
      </c>
      <c r="AG47" s="67">
        <f t="shared" si="694"/>
        <v>1461</v>
      </c>
      <c r="AH47" s="67">
        <f t="shared" si="694"/>
        <v>1444</v>
      </c>
      <c r="AI47" s="67">
        <f>AI16</f>
        <v>1431.5</v>
      </c>
      <c r="AJ47" s="67"/>
      <c r="AK47" s="67"/>
      <c r="AL47" s="67"/>
      <c r="AM47" s="67">
        <f>AM16</f>
        <v>1247.5</v>
      </c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</row>
    <row r="48" spans="6:80" ht="14">
      <c r="F48" s="60" t="s">
        <v>56</v>
      </c>
      <c r="G48" s="54" t="s">
        <v>24</v>
      </c>
      <c r="H48" s="60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68">
        <f>U19</f>
        <v>1475</v>
      </c>
      <c r="V48" s="68">
        <f t="shared" ref="V48:AC48" si="695">V19</f>
        <v>1475</v>
      </c>
      <c r="W48" s="68">
        <f t="shared" si="695"/>
        <v>1475</v>
      </c>
      <c r="X48" s="68">
        <f t="shared" si="695"/>
        <v>1475</v>
      </c>
      <c r="Y48" s="68">
        <f t="shared" si="695"/>
        <v>1460</v>
      </c>
      <c r="Z48" s="68">
        <f t="shared" si="695"/>
        <v>1555</v>
      </c>
      <c r="AA48" s="68">
        <f t="shared" si="695"/>
        <v>1555</v>
      </c>
      <c r="AB48" s="68">
        <f t="shared" si="695"/>
        <v>1555</v>
      </c>
      <c r="AC48" s="68">
        <f t="shared" si="695"/>
        <v>1545</v>
      </c>
      <c r="AD48" s="68">
        <f t="shared" ref="AD48:AI48" si="696">AD19</f>
        <v>1545</v>
      </c>
      <c r="AE48" s="68">
        <f t="shared" si="696"/>
        <v>1555</v>
      </c>
      <c r="AF48" s="68">
        <f t="shared" si="696"/>
        <v>1524</v>
      </c>
      <c r="AG48" s="68">
        <f t="shared" si="696"/>
        <v>1524</v>
      </c>
      <c r="AH48" s="68">
        <f t="shared" si="696"/>
        <v>1524</v>
      </c>
      <c r="AI48" s="68">
        <f t="shared" si="696"/>
        <v>1524</v>
      </c>
      <c r="AJ48" s="68"/>
      <c r="AK48" s="68"/>
      <c r="AL48" s="68"/>
      <c r="AM48" s="68">
        <f>AM19</f>
        <v>1422</v>
      </c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0228-EB1B-479F-BB3E-AC27AC0405F2}">
  <sheetPr>
    <tabColor rgb="FFFF9999"/>
  </sheetPr>
  <dimension ref="A1"/>
  <sheetViews>
    <sheetView tabSelected="1" zoomScale="80" zoomScaleNormal="80" workbookViewId="0">
      <selection activeCell="G33" sqref="G33"/>
    </sheetView>
  </sheetViews>
  <sheetFormatPr defaultColWidth="8.81640625" defaultRowHeight="14.5"/>
  <cols>
    <col min="1" max="16384" width="8.81640625" style="122"/>
  </cols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8E3C-5FA0-457A-B74E-2C308FCA7760}">
  <sheetPr>
    <tabColor rgb="FFFF9999"/>
  </sheetPr>
  <dimension ref="R35:S77"/>
  <sheetViews>
    <sheetView topLeftCell="A16" zoomScale="80" zoomScaleNormal="80" workbookViewId="0">
      <selection activeCell="Q36" sqref="Q36"/>
    </sheetView>
  </sheetViews>
  <sheetFormatPr defaultColWidth="8.81640625" defaultRowHeight="14.5"/>
  <cols>
    <col min="1" max="18" width="8.81640625" style="122"/>
    <col min="19" max="19" width="10.1796875" style="122" bestFit="1" customWidth="1"/>
    <col min="20" max="16384" width="8.81640625" style="122"/>
  </cols>
  <sheetData>
    <row r="35" spans="19:19">
      <c r="S35" s="123"/>
    </row>
    <row r="36" spans="19:19">
      <c r="S36" s="123"/>
    </row>
    <row r="77" spans="18:18">
      <c r="R77" s="1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8956-D652-4E41-986B-5B09D75DA276}">
  <dimension ref="A1:IE35"/>
  <sheetViews>
    <sheetView showGridLines="0" topLeftCell="D3" zoomScale="90" zoomScaleNormal="90" workbookViewId="0">
      <pane xSplit="5" ySplit="4" topLeftCell="HM7" activePane="bottomRight" state="frozen"/>
      <selection activeCell="CC32" sqref="CC32"/>
      <selection pane="topRight" activeCell="CC32" sqref="CC32"/>
      <selection pane="bottomLeft" activeCell="CC32" sqref="CC32"/>
      <selection pane="bottomRight" activeCell="IA24" sqref="IA24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customWidth="1"/>
    <col min="5" max="5" width="33.1796875" style="1" hidden="1" customWidth="1"/>
    <col min="6" max="6" width="40.453125" style="1" hidden="1" customWidth="1"/>
    <col min="7" max="7" width="10.54296875" style="1" hidden="1" customWidth="1"/>
    <col min="8" max="8" width="30.81640625" style="1" customWidth="1"/>
    <col min="9" max="12" width="9" style="1" hidden="1" customWidth="1"/>
    <col min="13" max="24" width="7.1796875" style="1" hidden="1" customWidth="1"/>
    <col min="25" max="32" width="7.81640625" style="1" hidden="1" customWidth="1"/>
    <col min="33" max="51" width="7.81640625" style="1" customWidth="1"/>
    <col min="52" max="52" width="3.90625" style="1" customWidth="1"/>
    <col min="53" max="53" width="9.1796875" style="1"/>
    <col min="54" max="54" width="0" style="1" hidden="1" customWidth="1"/>
    <col min="55" max="55" width="23.54296875" style="1" customWidth="1"/>
    <col min="56" max="56" width="3.54296875" style="1" hidden="1" customWidth="1"/>
    <col min="57" max="57" width="8.1796875" style="1" hidden="1" customWidth="1"/>
    <col min="58" max="58" width="9.1796875" style="1" hidden="1" customWidth="1"/>
    <col min="59" max="80" width="10.1796875" style="1" hidden="1" customWidth="1"/>
    <col min="81" max="115" width="9.1796875" style="1" hidden="1" customWidth="1"/>
    <col min="116" max="208" width="7.81640625" style="1" hidden="1" customWidth="1"/>
    <col min="209" max="210" width="7.81640625" style="1" customWidth="1"/>
    <col min="211" max="220" width="7.54296875" style="1" customWidth="1"/>
    <col min="221" max="225" width="7" style="1" customWidth="1"/>
    <col min="226" max="239" width="7.54296875" style="1" customWidth="1"/>
    <col min="240" max="16384" width="9.1796875" style="1"/>
  </cols>
  <sheetData>
    <row r="1" spans="1:239" hidden="1"/>
    <row r="2" spans="1:239" hidden="1"/>
    <row r="3" spans="1:239" ht="19.399999999999999" customHeight="1">
      <c r="F3" s="15" t="s">
        <v>102</v>
      </c>
      <c r="H3" s="15" t="s">
        <v>102</v>
      </c>
      <c r="BE3" s="170">
        <v>2023</v>
      </c>
      <c r="BI3" s="116" t="s">
        <v>76</v>
      </c>
      <c r="BJ3" s="116" t="s">
        <v>79</v>
      </c>
      <c r="BK3" s="116" t="s">
        <v>80</v>
      </c>
      <c r="BL3" s="116" t="s">
        <v>86</v>
      </c>
      <c r="BM3" s="116">
        <v>7.03</v>
      </c>
      <c r="BN3" s="116">
        <v>14.03</v>
      </c>
      <c r="BO3" s="116">
        <v>21.03</v>
      </c>
      <c r="BP3" s="116">
        <v>28.03</v>
      </c>
      <c r="BQ3" s="116">
        <v>30.03</v>
      </c>
      <c r="BR3" s="116">
        <v>6.04</v>
      </c>
      <c r="BS3" s="116">
        <v>13.04</v>
      </c>
      <c r="BT3" s="116">
        <v>20.04</v>
      </c>
      <c r="BU3" s="1">
        <v>27.04</v>
      </c>
      <c r="BV3" s="1">
        <v>4.05</v>
      </c>
      <c r="BX3" s="1">
        <v>23.05</v>
      </c>
      <c r="BY3" s="1">
        <v>30.05</v>
      </c>
      <c r="BZ3" s="1">
        <v>6.06</v>
      </c>
      <c r="CA3" s="1">
        <v>12.06</v>
      </c>
      <c r="CB3" s="1">
        <v>20.059999999999999</v>
      </c>
      <c r="DD3" s="170">
        <v>2024</v>
      </c>
      <c r="FB3" s="170">
        <v>2025</v>
      </c>
    </row>
    <row r="4" spans="1:239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24000</v>
      </c>
      <c r="J4" s="74">
        <v>24000</v>
      </c>
      <c r="K4" s="74">
        <v>24000</v>
      </c>
      <c r="L4" s="74">
        <v>24000</v>
      </c>
      <c r="M4" s="74">
        <v>24000</v>
      </c>
      <c r="N4" s="74">
        <v>24000</v>
      </c>
      <c r="O4" s="74">
        <v>24000</v>
      </c>
      <c r="P4" s="74">
        <v>24000</v>
      </c>
      <c r="Q4" s="74">
        <v>24000</v>
      </c>
      <c r="R4" s="74">
        <v>24000</v>
      </c>
      <c r="S4" s="74">
        <v>24000</v>
      </c>
      <c r="T4" s="74">
        <v>24000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BD4" s="74">
        <v>24000</v>
      </c>
      <c r="BE4" s="74">
        <v>24000</v>
      </c>
      <c r="BF4" s="74">
        <v>24000</v>
      </c>
      <c r="BG4" s="74">
        <v>24000</v>
      </c>
      <c r="BH4" s="74">
        <v>24000</v>
      </c>
      <c r="BI4" s="74">
        <v>24000</v>
      </c>
      <c r="BJ4" s="74">
        <v>24000</v>
      </c>
      <c r="BK4" s="74">
        <v>24000</v>
      </c>
      <c r="BL4" s="74">
        <v>24000</v>
      </c>
      <c r="BM4" s="74">
        <v>24000</v>
      </c>
      <c r="BN4" s="74">
        <v>24000</v>
      </c>
      <c r="BO4" s="74">
        <v>24000</v>
      </c>
      <c r="BP4" s="74">
        <v>24000</v>
      </c>
      <c r="BQ4" s="74">
        <v>24000</v>
      </c>
      <c r="BR4" s="74">
        <v>24000</v>
      </c>
      <c r="BS4" s="74">
        <v>24000</v>
      </c>
      <c r="BT4" s="74">
        <v>24000</v>
      </c>
      <c r="BU4" s="74">
        <v>24000</v>
      </c>
      <c r="BV4" s="74">
        <v>24000</v>
      </c>
      <c r="BW4" s="74">
        <v>24000</v>
      </c>
      <c r="BX4" s="74">
        <v>24000</v>
      </c>
      <c r="BY4" s="74">
        <v>24000</v>
      </c>
      <c r="BZ4" s="74">
        <v>24000</v>
      </c>
      <c r="CA4" s="74">
        <v>24000</v>
      </c>
      <c r="CB4" s="74">
        <v>24000</v>
      </c>
      <c r="CC4" s="74">
        <v>24000</v>
      </c>
      <c r="CD4" s="74">
        <v>24000</v>
      </c>
      <c r="CE4" s="74">
        <v>24000</v>
      </c>
      <c r="CF4" s="74">
        <v>24000</v>
      </c>
      <c r="CG4" s="74">
        <v>24000</v>
      </c>
      <c r="CH4" s="74">
        <v>24000</v>
      </c>
      <c r="CI4" s="74">
        <v>24000</v>
      </c>
      <c r="CJ4" s="74">
        <v>24000</v>
      </c>
      <c r="CK4" s="74">
        <v>24000</v>
      </c>
      <c r="CL4" s="74">
        <v>24000</v>
      </c>
      <c r="CM4" s="74">
        <v>24000</v>
      </c>
      <c r="CN4" s="74">
        <v>24000</v>
      </c>
      <c r="CO4" s="74">
        <v>24000</v>
      </c>
      <c r="CP4" s="74">
        <v>24000</v>
      </c>
      <c r="CQ4" s="74">
        <v>24000</v>
      </c>
      <c r="CR4" s="74">
        <v>24000</v>
      </c>
      <c r="CS4" s="74">
        <v>24000</v>
      </c>
      <c r="CT4" s="74">
        <v>24000</v>
      </c>
      <c r="CU4" s="74">
        <v>24000</v>
      </c>
      <c r="CV4" s="74">
        <v>24000</v>
      </c>
      <c r="CW4" s="74">
        <v>24000</v>
      </c>
      <c r="CX4" s="74">
        <v>24000</v>
      </c>
      <c r="CY4" s="74">
        <v>24000</v>
      </c>
      <c r="CZ4" s="74">
        <v>24000</v>
      </c>
      <c r="DA4" s="74">
        <v>24000</v>
      </c>
      <c r="DB4" s="74">
        <v>24000</v>
      </c>
      <c r="DC4" s="74">
        <v>24000</v>
      </c>
      <c r="DD4" s="74">
        <v>24000</v>
      </c>
      <c r="DE4" s="74">
        <v>24000</v>
      </c>
      <c r="DF4" s="74">
        <v>24000</v>
      </c>
      <c r="DG4" s="74">
        <v>24000</v>
      </c>
      <c r="DH4" s="74"/>
      <c r="DI4" s="74"/>
      <c r="DJ4" s="74"/>
      <c r="DK4" s="74"/>
      <c r="DL4" s="74"/>
      <c r="DM4" s="74"/>
      <c r="DN4" s="74"/>
      <c r="HA4" s="178">
        <v>2026</v>
      </c>
    </row>
    <row r="5" spans="1:239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86" t="s">
        <v>75</v>
      </c>
      <c r="J5" s="86">
        <v>2</v>
      </c>
      <c r="K5" s="86">
        <v>3</v>
      </c>
      <c r="L5" s="86">
        <v>4</v>
      </c>
      <c r="M5" s="86">
        <v>5</v>
      </c>
      <c r="N5" s="86">
        <v>6</v>
      </c>
      <c r="O5" s="86">
        <v>7</v>
      </c>
      <c r="P5" s="86">
        <v>8</v>
      </c>
      <c r="Q5" s="86">
        <v>9</v>
      </c>
      <c r="R5" s="86">
        <v>10</v>
      </c>
      <c r="S5" s="33">
        <v>11</v>
      </c>
      <c r="T5" s="33">
        <v>12</v>
      </c>
      <c r="U5" s="33" t="s">
        <v>122</v>
      </c>
      <c r="V5" s="33">
        <v>2</v>
      </c>
      <c r="W5" s="33">
        <v>3</v>
      </c>
      <c r="X5" s="33">
        <v>4</v>
      </c>
      <c r="Y5" s="33">
        <v>5</v>
      </c>
      <c r="Z5" s="33">
        <v>6</v>
      </c>
      <c r="AA5" s="33">
        <v>7</v>
      </c>
      <c r="AB5" s="33">
        <v>8</v>
      </c>
      <c r="AC5" s="33">
        <v>9</v>
      </c>
      <c r="AD5" s="33">
        <v>10</v>
      </c>
      <c r="AE5" s="33">
        <v>11</v>
      </c>
      <c r="AF5" s="33">
        <v>12</v>
      </c>
      <c r="AG5" s="33" t="s">
        <v>169</v>
      </c>
      <c r="AH5" s="33">
        <v>2</v>
      </c>
      <c r="AI5" s="33">
        <v>3</v>
      </c>
      <c r="AJ5" s="33">
        <v>4</v>
      </c>
      <c r="AK5" s="33">
        <v>5</v>
      </c>
      <c r="AL5" s="33">
        <v>6</v>
      </c>
      <c r="AM5" s="33">
        <v>7</v>
      </c>
      <c r="AN5" s="33">
        <v>8</v>
      </c>
      <c r="AO5" s="33">
        <v>9</v>
      </c>
      <c r="AP5" s="33">
        <v>10</v>
      </c>
      <c r="AQ5" s="33">
        <v>11</v>
      </c>
      <c r="AR5" s="33">
        <v>12</v>
      </c>
      <c r="AS5" s="33" t="s">
        <v>193</v>
      </c>
      <c r="AT5" s="33">
        <v>2</v>
      </c>
      <c r="AU5" s="33">
        <v>3</v>
      </c>
      <c r="AV5" s="33">
        <v>4</v>
      </c>
      <c r="AW5" s="33">
        <v>5</v>
      </c>
      <c r="AX5" s="33">
        <v>6</v>
      </c>
      <c r="AY5" s="33">
        <v>7</v>
      </c>
      <c r="BA5" s="34" t="s">
        <v>5</v>
      </c>
      <c r="BB5" s="33" t="s">
        <v>6</v>
      </c>
      <c r="BC5" s="33" t="s">
        <v>2</v>
      </c>
      <c r="BD5" s="101">
        <v>52</v>
      </c>
      <c r="BE5" s="90" t="s">
        <v>97</v>
      </c>
      <c r="BF5" s="90">
        <v>2</v>
      </c>
      <c r="BG5" s="90">
        <v>3</v>
      </c>
      <c r="BH5" s="90">
        <v>5</v>
      </c>
      <c r="BI5" s="90">
        <v>6</v>
      </c>
      <c r="BJ5" s="90">
        <v>7</v>
      </c>
      <c r="BK5" s="90">
        <v>8</v>
      </c>
      <c r="BL5" s="90">
        <v>9</v>
      </c>
      <c r="BM5" s="90">
        <v>10</v>
      </c>
      <c r="BN5" s="90">
        <v>11</v>
      </c>
      <c r="BO5" s="90">
        <v>12</v>
      </c>
      <c r="BP5" s="90">
        <v>13</v>
      </c>
      <c r="BQ5" s="90">
        <v>14</v>
      </c>
      <c r="BR5" s="90">
        <v>15</v>
      </c>
      <c r="BS5" s="90">
        <v>16</v>
      </c>
      <c r="BT5" s="90">
        <v>17</v>
      </c>
      <c r="BU5" s="101">
        <v>18</v>
      </c>
      <c r="BV5" s="101">
        <v>19</v>
      </c>
      <c r="BW5" s="101">
        <v>20</v>
      </c>
      <c r="BX5" s="101">
        <v>21</v>
      </c>
      <c r="BY5" s="101">
        <v>22</v>
      </c>
      <c r="BZ5" s="101">
        <v>23</v>
      </c>
      <c r="CA5" s="101">
        <v>24</v>
      </c>
      <c r="CB5" s="101">
        <v>25</v>
      </c>
      <c r="CC5" s="101">
        <v>26</v>
      </c>
      <c r="CD5" s="101">
        <v>27</v>
      </c>
      <c r="CE5" s="101">
        <v>28</v>
      </c>
      <c r="CF5" s="101">
        <v>29</v>
      </c>
      <c r="CG5" s="101">
        <v>30</v>
      </c>
      <c r="CH5" s="101">
        <v>31</v>
      </c>
      <c r="CI5" s="101">
        <v>32</v>
      </c>
      <c r="CJ5" s="101">
        <v>33</v>
      </c>
      <c r="CK5" s="101">
        <v>34</v>
      </c>
      <c r="CL5" s="101">
        <v>35</v>
      </c>
      <c r="CM5" s="101">
        <v>36</v>
      </c>
      <c r="CN5" s="101">
        <v>37</v>
      </c>
      <c r="CO5" s="101">
        <v>38</v>
      </c>
      <c r="CP5" s="101">
        <v>39</v>
      </c>
      <c r="CQ5" s="101">
        <v>40</v>
      </c>
      <c r="CR5" s="101">
        <v>41</v>
      </c>
      <c r="CS5" s="101">
        <v>42</v>
      </c>
      <c r="CT5" s="101">
        <v>43</v>
      </c>
      <c r="CU5" s="101">
        <v>44</v>
      </c>
      <c r="CV5" s="101">
        <v>45</v>
      </c>
      <c r="CW5" s="101">
        <v>46</v>
      </c>
      <c r="CX5" s="101">
        <v>47</v>
      </c>
      <c r="CY5" s="101">
        <v>48</v>
      </c>
      <c r="CZ5" s="101">
        <v>49</v>
      </c>
      <c r="DA5" s="101">
        <v>50</v>
      </c>
      <c r="DB5" s="101">
        <v>51</v>
      </c>
      <c r="DC5" s="101">
        <v>52</v>
      </c>
      <c r="DD5" s="101" t="s">
        <v>117</v>
      </c>
      <c r="DE5" s="90" t="s">
        <v>123</v>
      </c>
      <c r="DF5" s="90" t="s">
        <v>124</v>
      </c>
      <c r="DG5" s="90" t="s">
        <v>125</v>
      </c>
      <c r="DH5" s="90" t="s">
        <v>126</v>
      </c>
      <c r="DI5" s="90" t="s">
        <v>142</v>
      </c>
      <c r="DJ5" s="90" t="s">
        <v>143</v>
      </c>
      <c r="DK5" s="90" t="s">
        <v>144</v>
      </c>
      <c r="DL5" s="90" t="s">
        <v>145</v>
      </c>
      <c r="DM5" s="90" t="s">
        <v>146</v>
      </c>
      <c r="DN5" s="90" t="s">
        <v>147</v>
      </c>
      <c r="DO5" s="90" t="s">
        <v>148</v>
      </c>
      <c r="DP5" s="90" t="s">
        <v>149</v>
      </c>
      <c r="DQ5" s="90" t="s">
        <v>150</v>
      </c>
      <c r="DR5" s="90" t="s">
        <v>151</v>
      </c>
      <c r="DS5" s="90" t="s">
        <v>152</v>
      </c>
      <c r="DT5" s="90" t="s">
        <v>153</v>
      </c>
      <c r="DU5" s="90" t="s">
        <v>154</v>
      </c>
      <c r="DV5" s="90" t="s">
        <v>155</v>
      </c>
      <c r="DW5" s="90" t="s">
        <v>157</v>
      </c>
      <c r="DX5" s="90" t="s">
        <v>158</v>
      </c>
      <c r="DY5" s="90" t="s">
        <v>159</v>
      </c>
      <c r="DZ5" s="90" t="s">
        <v>160</v>
      </c>
      <c r="EA5" s="90" t="s">
        <v>161</v>
      </c>
      <c r="EB5" s="90" t="s">
        <v>162</v>
      </c>
      <c r="EC5" s="90" t="s">
        <v>163</v>
      </c>
      <c r="ED5" s="90" t="s">
        <v>164</v>
      </c>
      <c r="EE5" s="90" t="s">
        <v>165</v>
      </c>
      <c r="EF5" s="90" t="s">
        <v>166</v>
      </c>
      <c r="EG5" s="90" t="s">
        <v>167</v>
      </c>
      <c r="EH5" s="90" t="s">
        <v>168</v>
      </c>
      <c r="EI5" s="90">
        <v>34</v>
      </c>
      <c r="EJ5" s="90">
        <v>35</v>
      </c>
      <c r="EK5" s="90">
        <v>36</v>
      </c>
      <c r="EL5" s="90">
        <v>37</v>
      </c>
      <c r="EM5" s="90">
        <v>38</v>
      </c>
      <c r="EN5" s="90">
        <v>39</v>
      </c>
      <c r="EO5" s="90">
        <v>40</v>
      </c>
      <c r="EP5" s="90">
        <v>41</v>
      </c>
      <c r="EQ5" s="90">
        <v>42</v>
      </c>
      <c r="ER5" s="90">
        <v>43</v>
      </c>
      <c r="ES5" s="90">
        <v>44</v>
      </c>
      <c r="ET5" s="90">
        <v>45</v>
      </c>
      <c r="EU5" s="90">
        <v>46</v>
      </c>
      <c r="EV5" s="90">
        <v>47</v>
      </c>
      <c r="EW5" s="90">
        <v>48</v>
      </c>
      <c r="EX5" s="90">
        <v>49</v>
      </c>
      <c r="EY5" s="90">
        <v>50</v>
      </c>
      <c r="EZ5" s="90">
        <v>51</v>
      </c>
      <c r="FA5" s="90">
        <v>52</v>
      </c>
      <c r="FB5" s="90" t="s">
        <v>121</v>
      </c>
      <c r="FC5" s="90" t="s">
        <v>123</v>
      </c>
      <c r="FD5" s="90" t="s">
        <v>124</v>
      </c>
      <c r="FE5" s="90" t="s">
        <v>125</v>
      </c>
      <c r="FF5" s="90" t="s">
        <v>170</v>
      </c>
      <c r="FG5" s="90" t="s">
        <v>172</v>
      </c>
      <c r="FH5" s="90" t="s">
        <v>142</v>
      </c>
      <c r="FI5" s="90" t="s">
        <v>143</v>
      </c>
      <c r="FJ5" s="90" t="s">
        <v>144</v>
      </c>
      <c r="FK5" s="90" t="s">
        <v>145</v>
      </c>
      <c r="FL5" s="90" t="s">
        <v>146</v>
      </c>
      <c r="FM5" s="90" t="s">
        <v>147</v>
      </c>
      <c r="FN5" s="90" t="s">
        <v>148</v>
      </c>
      <c r="FO5" s="90" t="s">
        <v>149</v>
      </c>
      <c r="FP5" s="90" t="s">
        <v>150</v>
      </c>
      <c r="FQ5" s="90" t="s">
        <v>151</v>
      </c>
      <c r="FR5" s="90" t="s">
        <v>152</v>
      </c>
      <c r="FS5" s="90" t="s">
        <v>153</v>
      </c>
      <c r="FT5" s="90" t="s">
        <v>154</v>
      </c>
      <c r="FU5" s="90" t="s">
        <v>155</v>
      </c>
      <c r="FV5" s="90" t="s">
        <v>157</v>
      </c>
      <c r="FW5" s="90" t="s">
        <v>158</v>
      </c>
      <c r="FX5" s="90" t="s">
        <v>159</v>
      </c>
      <c r="FY5" s="90" t="s">
        <v>160</v>
      </c>
      <c r="FZ5" s="90" t="s">
        <v>161</v>
      </c>
      <c r="GA5" s="90" t="s">
        <v>162</v>
      </c>
      <c r="GB5" s="90" t="s">
        <v>163</v>
      </c>
      <c r="GC5" s="90" t="s">
        <v>164</v>
      </c>
      <c r="GD5" s="90" t="s">
        <v>165</v>
      </c>
      <c r="GE5" s="90" t="s">
        <v>166</v>
      </c>
      <c r="GF5" s="90" t="s">
        <v>167</v>
      </c>
      <c r="GG5" s="90" t="s">
        <v>168</v>
      </c>
      <c r="GH5" s="90" t="s">
        <v>174</v>
      </c>
      <c r="GI5" s="90" t="s">
        <v>175</v>
      </c>
      <c r="GJ5" s="90" t="s">
        <v>176</v>
      </c>
      <c r="GK5" s="90" t="s">
        <v>177</v>
      </c>
      <c r="GL5" s="90" t="s">
        <v>178</v>
      </c>
      <c r="GM5" s="90" t="s">
        <v>179</v>
      </c>
      <c r="GN5" s="90">
        <v>40</v>
      </c>
      <c r="GO5" s="90">
        <v>41</v>
      </c>
      <c r="GP5" s="90">
        <v>42</v>
      </c>
      <c r="GQ5" s="90">
        <v>43</v>
      </c>
      <c r="GR5" s="90">
        <v>44</v>
      </c>
      <c r="GS5" s="90">
        <v>45</v>
      </c>
      <c r="GT5" s="90">
        <v>46</v>
      </c>
      <c r="GU5" s="90">
        <v>47</v>
      </c>
      <c r="GV5" s="90">
        <v>48</v>
      </c>
      <c r="GW5" s="90">
        <v>49</v>
      </c>
      <c r="GX5" s="90">
        <v>50</v>
      </c>
      <c r="GY5" s="90">
        <v>51</v>
      </c>
      <c r="GZ5" s="90">
        <v>52</v>
      </c>
      <c r="HA5" s="90" t="s">
        <v>121</v>
      </c>
      <c r="HB5" s="90" t="s">
        <v>123</v>
      </c>
      <c r="HC5" s="90" t="s">
        <v>124</v>
      </c>
      <c r="HD5" s="90" t="s">
        <v>125</v>
      </c>
      <c r="HE5" s="90" t="s">
        <v>126</v>
      </c>
      <c r="HF5" s="90" t="s">
        <v>170</v>
      </c>
      <c r="HG5" s="90" t="s">
        <v>172</v>
      </c>
      <c r="HH5" s="90" t="s">
        <v>142</v>
      </c>
      <c r="HI5" s="90" t="s">
        <v>143</v>
      </c>
      <c r="HJ5" s="90">
        <v>10</v>
      </c>
      <c r="HK5" s="90">
        <v>11</v>
      </c>
      <c r="HL5" s="90">
        <v>12</v>
      </c>
      <c r="HM5" s="90">
        <v>13</v>
      </c>
      <c r="HN5" s="186">
        <v>14</v>
      </c>
      <c r="HO5" s="186">
        <v>15</v>
      </c>
      <c r="HP5" s="186">
        <v>16</v>
      </c>
      <c r="HQ5" s="186">
        <v>17</v>
      </c>
      <c r="HR5" s="186">
        <v>18</v>
      </c>
      <c r="HS5" s="186">
        <v>19</v>
      </c>
      <c r="HT5" s="186">
        <v>20</v>
      </c>
      <c r="HU5" s="186">
        <v>21</v>
      </c>
      <c r="HV5" s="186">
        <v>22</v>
      </c>
      <c r="HW5" s="186">
        <v>23</v>
      </c>
      <c r="HX5" s="186">
        <v>24</v>
      </c>
      <c r="HY5" s="186">
        <v>25</v>
      </c>
      <c r="HZ5" s="186">
        <v>26</v>
      </c>
      <c r="IA5" s="186">
        <v>27</v>
      </c>
      <c r="IB5" s="186">
        <v>28</v>
      </c>
      <c r="IC5" s="186">
        <v>29</v>
      </c>
      <c r="ID5" s="186">
        <v>30</v>
      </c>
      <c r="IE5" s="186">
        <v>31</v>
      </c>
    </row>
    <row r="6" spans="1:239" ht="18" hidden="1" customHeight="1">
      <c r="A6" s="4"/>
      <c r="B6" s="8"/>
      <c r="C6" s="8"/>
      <c r="D6" s="105" t="s">
        <v>21</v>
      </c>
      <c r="E6" s="5" t="s">
        <v>22</v>
      </c>
      <c r="F6" s="7" t="s">
        <v>92</v>
      </c>
      <c r="G6" s="4" t="s">
        <v>24</v>
      </c>
      <c r="H6" s="7" t="str">
        <f>F6</f>
        <v>Vảy PP tuyển mua ngoài - ICIS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BA6" s="4"/>
      <c r="BB6" s="5" t="s">
        <v>22</v>
      </c>
      <c r="BC6" s="7" t="str">
        <f>F6</f>
        <v>Vảy PP tuyển mua ngoài - ICIS</v>
      </c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140"/>
      <c r="CE6" s="140"/>
      <c r="CF6" s="140"/>
      <c r="CG6" s="140"/>
      <c r="CH6" s="140"/>
      <c r="CI6" s="140"/>
      <c r="CJ6" s="140"/>
      <c r="CK6" s="140"/>
      <c r="CL6" s="134"/>
      <c r="CM6" s="134"/>
      <c r="CN6" s="134"/>
      <c r="CO6" s="134"/>
      <c r="CP6" s="134"/>
      <c r="CQ6" s="134"/>
      <c r="CR6" s="134"/>
      <c r="CS6" s="134"/>
      <c r="CT6" s="134"/>
      <c r="CU6" s="134"/>
      <c r="CV6" s="134"/>
      <c r="CW6" s="134"/>
      <c r="CX6" s="134"/>
      <c r="CY6" s="134"/>
      <c r="CZ6" s="134"/>
      <c r="DA6" s="134"/>
      <c r="DB6" s="134"/>
      <c r="DC6" s="134"/>
      <c r="DD6" s="134"/>
      <c r="DE6" s="134"/>
      <c r="DF6" s="134"/>
      <c r="DG6" s="134"/>
      <c r="DH6" s="134"/>
      <c r="DI6" s="134"/>
      <c r="DJ6" s="134"/>
      <c r="DK6" s="134"/>
      <c r="DL6" s="134"/>
      <c r="DM6" s="134"/>
      <c r="DN6" s="134"/>
      <c r="HN6" s="185"/>
      <c r="HO6" s="185"/>
      <c r="HP6" s="185"/>
      <c r="HQ6" s="185"/>
      <c r="HR6" s="185"/>
      <c r="HS6" s="185"/>
      <c r="HT6" s="185"/>
      <c r="HU6" s="185"/>
      <c r="HV6" s="185"/>
      <c r="HW6" s="185"/>
      <c r="HX6" s="185"/>
      <c r="HY6" s="185"/>
      <c r="HZ6" s="185"/>
      <c r="IA6" s="185"/>
      <c r="IB6" s="185"/>
      <c r="IC6" s="185"/>
      <c r="ID6" s="185"/>
      <c r="IE6" s="185"/>
    </row>
    <row r="7" spans="1:239" ht="14">
      <c r="A7" s="4">
        <v>5</v>
      </c>
      <c r="B7" s="8" t="s">
        <v>25</v>
      </c>
      <c r="C7" s="8" t="s">
        <v>26</v>
      </c>
      <c r="D7" s="4"/>
      <c r="E7" s="8" t="s">
        <v>28</v>
      </c>
      <c r="F7" s="8" t="s">
        <v>138</v>
      </c>
      <c r="G7" s="4" t="s">
        <v>24</v>
      </c>
      <c r="H7" s="8" t="s">
        <v>173</v>
      </c>
      <c r="I7" s="24">
        <f>+SUM(BE7:BH7)/COUNT(BE7:BH7)</f>
        <v>1250</v>
      </c>
      <c r="J7" s="10">
        <f>+SUM(BI7:BL7)/COUNT(BI7:BL7)</f>
        <v>1250</v>
      </c>
      <c r="K7" s="95">
        <v>1250</v>
      </c>
      <c r="L7" s="95">
        <v>1250</v>
      </c>
      <c r="M7" s="95">
        <v>1250</v>
      </c>
      <c r="N7" s="95">
        <v>1250</v>
      </c>
      <c r="O7" s="95">
        <f t="shared" ref="O7:Q11" si="0">CD7</f>
        <v>1250</v>
      </c>
      <c r="P7" s="95">
        <f t="shared" si="0"/>
        <v>1250</v>
      </c>
      <c r="Q7" s="95">
        <f t="shared" si="0"/>
        <v>1250</v>
      </c>
      <c r="R7" s="95">
        <v>1250</v>
      </c>
      <c r="S7" s="160">
        <v>1250</v>
      </c>
      <c r="T7" s="160">
        <v>1250</v>
      </c>
      <c r="U7" s="160">
        <v>1250</v>
      </c>
      <c r="V7" s="160">
        <v>1250</v>
      </c>
      <c r="W7" s="160">
        <v>1250</v>
      </c>
      <c r="X7" s="160">
        <v>1250</v>
      </c>
      <c r="Y7" s="160">
        <v>1250</v>
      </c>
      <c r="Z7" s="160">
        <v>1250</v>
      </c>
      <c r="AA7" s="160">
        <v>1250</v>
      </c>
      <c r="AB7" s="160">
        <v>1250</v>
      </c>
      <c r="AC7" s="160">
        <v>1250</v>
      </c>
      <c r="AD7" s="160">
        <f t="shared" ref="AD7:AD11" si="1">+SUM(EP7:ER7)/COUNT(EP7:ER7)</f>
        <v>1250</v>
      </c>
      <c r="AE7" s="160">
        <f>+SUM(ES7:EW7)/COUNT(ES7:EW7)</f>
        <v>1250</v>
      </c>
      <c r="AF7" s="160">
        <f t="shared" ref="AF7:AF11" si="2">+SUM(EX7:FA7)/COUNT(EX7:FA7)</f>
        <v>1250</v>
      </c>
      <c r="AG7" s="160">
        <f>+SUM(FB7:FE7)/COUNT(FB7:FE7)</f>
        <v>1250</v>
      </c>
      <c r="AH7" s="160">
        <v>1250</v>
      </c>
      <c r="AI7" s="160">
        <v>1045</v>
      </c>
      <c r="AJ7" s="160">
        <v>1045</v>
      </c>
      <c r="AK7" s="160">
        <v>990.00000000000011</v>
      </c>
      <c r="AL7" s="160">
        <v>990.00000000000011</v>
      </c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BA7" s="4"/>
      <c r="BB7" s="8" t="s">
        <v>28</v>
      </c>
      <c r="BC7" s="8" t="s">
        <v>173</v>
      </c>
      <c r="BD7" s="24">
        <v>1250</v>
      </c>
      <c r="BE7" s="137">
        <v>1250</v>
      </c>
      <c r="BF7" s="137">
        <v>1250</v>
      </c>
      <c r="BG7" s="137">
        <v>1250</v>
      </c>
      <c r="BH7" s="137">
        <v>1250</v>
      </c>
      <c r="BI7" s="137">
        <v>1250</v>
      </c>
      <c r="BJ7" s="137">
        <v>1250</v>
      </c>
      <c r="BK7" s="137">
        <v>1250</v>
      </c>
      <c r="BL7" s="137">
        <v>1250</v>
      </c>
      <c r="BM7" s="137">
        <v>1250</v>
      </c>
      <c r="BN7" s="137">
        <v>1250</v>
      </c>
      <c r="BO7" s="137">
        <v>1250</v>
      </c>
      <c r="BP7" s="137">
        <v>1250</v>
      </c>
      <c r="BQ7" s="137">
        <v>1250</v>
      </c>
      <c r="BR7" s="137">
        <v>1250</v>
      </c>
      <c r="BS7" s="24">
        <v>1250</v>
      </c>
      <c r="BT7" s="24">
        <v>1250</v>
      </c>
      <c r="BU7" s="24">
        <v>1250</v>
      </c>
      <c r="BV7" s="24">
        <v>1250</v>
      </c>
      <c r="BW7" s="24">
        <v>1250</v>
      </c>
      <c r="BX7" s="24">
        <v>1250</v>
      </c>
      <c r="BY7" s="24">
        <v>1250</v>
      </c>
      <c r="BZ7" s="24">
        <v>1250</v>
      </c>
      <c r="CA7" s="24">
        <v>1250</v>
      </c>
      <c r="CB7" s="24">
        <v>1250</v>
      </c>
      <c r="CC7" s="24">
        <v>1250</v>
      </c>
      <c r="CD7" s="24">
        <v>1250</v>
      </c>
      <c r="CE7" s="24">
        <v>1250</v>
      </c>
      <c r="CF7" s="24">
        <v>1250</v>
      </c>
      <c r="CG7" s="24">
        <v>1250</v>
      </c>
      <c r="CH7" s="24">
        <v>1250</v>
      </c>
      <c r="CI7" s="24">
        <v>1250</v>
      </c>
      <c r="CJ7" s="24">
        <v>1250</v>
      </c>
      <c r="CK7" s="24">
        <v>1250</v>
      </c>
      <c r="CL7" s="49">
        <v>1250</v>
      </c>
      <c r="CM7" s="49">
        <v>1250</v>
      </c>
      <c r="CN7" s="49">
        <v>1250</v>
      </c>
      <c r="CO7" s="49">
        <v>1250</v>
      </c>
      <c r="CP7" s="49">
        <v>1250</v>
      </c>
      <c r="CQ7" s="49">
        <v>1250</v>
      </c>
      <c r="CR7" s="49">
        <v>1250</v>
      </c>
      <c r="CS7" s="49">
        <v>1250</v>
      </c>
      <c r="CT7" s="49">
        <v>1250</v>
      </c>
      <c r="CU7" s="49">
        <v>1250</v>
      </c>
      <c r="CV7" s="49">
        <v>1250</v>
      </c>
      <c r="CW7" s="49">
        <v>1250</v>
      </c>
      <c r="CX7" s="49">
        <v>1250</v>
      </c>
      <c r="CY7" s="49">
        <v>1250</v>
      </c>
      <c r="CZ7" s="49">
        <v>1250</v>
      </c>
      <c r="DA7" s="49">
        <v>1250</v>
      </c>
      <c r="DB7" s="49">
        <v>1250</v>
      </c>
      <c r="DC7" s="49">
        <v>1250</v>
      </c>
      <c r="DD7" s="49">
        <v>1250</v>
      </c>
      <c r="DE7" s="49">
        <v>1250</v>
      </c>
      <c r="DF7" s="49">
        <v>1250</v>
      </c>
      <c r="DG7" s="49">
        <v>1250</v>
      </c>
      <c r="DH7" s="49">
        <v>1250</v>
      </c>
      <c r="DI7" s="49">
        <v>1250</v>
      </c>
      <c r="DJ7" s="49">
        <v>1250</v>
      </c>
      <c r="DK7" s="49">
        <v>1250</v>
      </c>
      <c r="DL7" s="49">
        <v>1250</v>
      </c>
      <c r="DM7" s="49">
        <v>1250</v>
      </c>
      <c r="DN7" s="49">
        <v>1250</v>
      </c>
      <c r="DO7" s="49">
        <v>1250</v>
      </c>
      <c r="DP7" s="49">
        <v>1250</v>
      </c>
      <c r="DQ7" s="49">
        <v>1250</v>
      </c>
      <c r="DR7" s="49">
        <v>1250</v>
      </c>
      <c r="DS7" s="49">
        <v>1250</v>
      </c>
      <c r="DT7" s="49">
        <v>1250</v>
      </c>
      <c r="DU7" s="49">
        <v>1250</v>
      </c>
      <c r="DV7" s="49">
        <v>1250</v>
      </c>
      <c r="DW7" s="49">
        <v>1250</v>
      </c>
      <c r="DX7" s="49">
        <v>1250</v>
      </c>
      <c r="DY7" s="49">
        <v>1250</v>
      </c>
      <c r="DZ7" s="49">
        <v>1250</v>
      </c>
      <c r="EA7" s="49">
        <v>1250</v>
      </c>
      <c r="EB7" s="49">
        <v>1250</v>
      </c>
      <c r="EC7" s="49">
        <v>1250</v>
      </c>
      <c r="ED7" s="49">
        <v>1250</v>
      </c>
      <c r="EE7" s="49">
        <v>1250</v>
      </c>
      <c r="EF7" s="49">
        <v>1250</v>
      </c>
      <c r="EG7" s="49">
        <v>1250</v>
      </c>
      <c r="EH7" s="49">
        <v>1250</v>
      </c>
      <c r="EI7" s="49">
        <v>1250</v>
      </c>
      <c r="EJ7" s="49">
        <v>1250</v>
      </c>
      <c r="EK7" s="49">
        <v>1250</v>
      </c>
      <c r="EL7" s="49">
        <v>1250</v>
      </c>
      <c r="EM7" s="49">
        <v>1250</v>
      </c>
      <c r="EN7" s="49">
        <v>1250</v>
      </c>
      <c r="EO7" s="49">
        <v>1250</v>
      </c>
      <c r="EP7" s="49">
        <v>1250</v>
      </c>
      <c r="EQ7" s="49">
        <v>1250</v>
      </c>
      <c r="ER7" s="49">
        <v>1250</v>
      </c>
      <c r="ES7" s="49">
        <v>1250</v>
      </c>
      <c r="ET7" s="49">
        <v>1250</v>
      </c>
      <c r="EU7" s="49">
        <v>1250</v>
      </c>
      <c r="EV7" s="49">
        <v>1250</v>
      </c>
      <c r="EW7" s="49">
        <v>1250</v>
      </c>
      <c r="EX7" s="49">
        <v>1250</v>
      </c>
      <c r="EY7" s="49">
        <v>1250</v>
      </c>
      <c r="EZ7" s="49">
        <v>1250</v>
      </c>
      <c r="FA7" s="49">
        <v>1250</v>
      </c>
      <c r="FB7" s="49">
        <v>1250</v>
      </c>
      <c r="FC7" s="49">
        <v>1250</v>
      </c>
      <c r="FD7" s="49">
        <v>1250</v>
      </c>
      <c r="FE7" s="49">
        <v>1250</v>
      </c>
      <c r="FF7" s="49">
        <v>1250</v>
      </c>
      <c r="FG7" s="49">
        <v>1250</v>
      </c>
      <c r="FH7" s="49">
        <v>1250</v>
      </c>
      <c r="FI7" s="49">
        <v>1250</v>
      </c>
      <c r="FJ7" s="49">
        <v>1045</v>
      </c>
      <c r="FK7" s="49">
        <v>1045</v>
      </c>
      <c r="FL7" s="49">
        <v>1045</v>
      </c>
      <c r="FM7" s="49">
        <v>1045</v>
      </c>
      <c r="FN7" s="49">
        <v>1045</v>
      </c>
      <c r="FO7" s="49">
        <v>1045</v>
      </c>
      <c r="FP7" s="49">
        <v>1045</v>
      </c>
      <c r="FQ7" s="49">
        <v>1045</v>
      </c>
      <c r="FR7" s="49">
        <v>990.00000000000011</v>
      </c>
      <c r="FS7" s="49">
        <v>990.00000000000011</v>
      </c>
      <c r="FT7" s="49">
        <v>990.00000000000011</v>
      </c>
      <c r="FU7" s="49">
        <v>990.00000000000011</v>
      </c>
      <c r="FV7" s="49">
        <v>990.00000000000011</v>
      </c>
      <c r="FW7" s="49">
        <v>990.00000000000011</v>
      </c>
      <c r="FX7" s="49">
        <v>990.00000000000011</v>
      </c>
      <c r="FY7" s="49">
        <v>990.00000000000011</v>
      </c>
      <c r="FZ7" s="49">
        <v>990.00000000000011</v>
      </c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N7" s="185"/>
      <c r="HO7" s="185"/>
      <c r="HP7" s="185"/>
      <c r="HQ7" s="185"/>
      <c r="HR7" s="185"/>
      <c r="HS7" s="185"/>
      <c r="HT7" s="185"/>
      <c r="HU7" s="185"/>
      <c r="HV7" s="185"/>
      <c r="HW7" s="185"/>
      <c r="HX7" s="185"/>
      <c r="HY7" s="185"/>
      <c r="HZ7" s="185"/>
      <c r="IA7" s="185"/>
      <c r="IB7" s="185"/>
      <c r="IC7" s="185"/>
      <c r="ID7" s="185"/>
      <c r="IE7" s="185"/>
    </row>
    <row r="8" spans="1:239" ht="14">
      <c r="A8" s="4"/>
      <c r="B8" s="8"/>
      <c r="C8" s="8"/>
      <c r="D8" s="4"/>
      <c r="E8" s="8"/>
      <c r="F8" s="8" t="s">
        <v>156</v>
      </c>
      <c r="G8" s="4"/>
      <c r="H8" s="8" t="s">
        <v>156</v>
      </c>
      <c r="I8" s="24"/>
      <c r="J8" s="10"/>
      <c r="K8" s="95"/>
      <c r="L8" s="95"/>
      <c r="M8" s="95"/>
      <c r="N8" s="95"/>
      <c r="O8" s="95"/>
      <c r="P8" s="95"/>
      <c r="Q8" s="95"/>
      <c r="R8" s="95"/>
      <c r="S8" s="160"/>
      <c r="T8" s="160"/>
      <c r="U8" s="160">
        <v>950</v>
      </c>
      <c r="V8" s="160">
        <v>950</v>
      </c>
      <c r="W8" s="160">
        <v>950</v>
      </c>
      <c r="X8" s="160">
        <v>950</v>
      </c>
      <c r="Y8" s="160">
        <v>920</v>
      </c>
      <c r="Z8" s="160">
        <v>920</v>
      </c>
      <c r="AA8" s="160">
        <v>920</v>
      </c>
      <c r="AB8" s="160">
        <v>920</v>
      </c>
      <c r="AC8" s="160">
        <v>890</v>
      </c>
      <c r="AD8" s="160">
        <f t="shared" si="1"/>
        <v>880</v>
      </c>
      <c r="AE8" s="160">
        <f>+SUM(ES8:EW8)/COUNT(ES8:EW8)</f>
        <v>870</v>
      </c>
      <c r="AF8" s="160">
        <f t="shared" si="2"/>
        <v>870</v>
      </c>
      <c r="AG8" s="160">
        <f t="shared" ref="AG8:AG10" si="3">+SUM(FB8:FE8)/COUNT(FB8:FE8)</f>
        <v>870</v>
      </c>
      <c r="AH8" s="160">
        <v>800</v>
      </c>
      <c r="AI8" s="160">
        <v>805</v>
      </c>
      <c r="AJ8" s="160">
        <v>805</v>
      </c>
      <c r="AK8" s="160">
        <v>765</v>
      </c>
      <c r="AL8" s="160">
        <v>765</v>
      </c>
      <c r="AM8" s="160">
        <v>780</v>
      </c>
      <c r="AN8" s="160">
        <f>780-20</f>
        <v>760</v>
      </c>
      <c r="AO8" s="160">
        <f>780-20</f>
        <v>760</v>
      </c>
      <c r="AP8" s="160">
        <f>780-20</f>
        <v>760</v>
      </c>
      <c r="AQ8" s="160">
        <v>740</v>
      </c>
      <c r="AR8" s="160">
        <v>740</v>
      </c>
      <c r="AS8" s="160">
        <v>740</v>
      </c>
      <c r="AT8" s="160">
        <v>740</v>
      </c>
      <c r="AU8" s="160">
        <v>740</v>
      </c>
      <c r="AV8" s="160">
        <v>1230</v>
      </c>
      <c r="AW8" s="160">
        <v>1230</v>
      </c>
      <c r="AX8" s="160">
        <v>1130</v>
      </c>
      <c r="AY8" s="160">
        <v>1040</v>
      </c>
      <c r="BA8" s="4"/>
      <c r="BB8" s="8"/>
      <c r="BC8" s="8" t="s">
        <v>156</v>
      </c>
      <c r="BD8" s="24"/>
      <c r="BE8" s="24">
        <v>950</v>
      </c>
      <c r="BF8" s="24">
        <v>950</v>
      </c>
      <c r="BG8" s="24">
        <v>950</v>
      </c>
      <c r="BH8" s="24">
        <v>950</v>
      </c>
      <c r="BI8" s="24">
        <v>950</v>
      </c>
      <c r="BJ8" s="24">
        <v>950</v>
      </c>
      <c r="BK8" s="24">
        <v>950</v>
      </c>
      <c r="BL8" s="24">
        <v>950</v>
      </c>
      <c r="BM8" s="24">
        <v>950</v>
      </c>
      <c r="BN8" s="24">
        <v>950</v>
      </c>
      <c r="BO8" s="24">
        <v>950</v>
      </c>
      <c r="BP8" s="24">
        <v>950</v>
      </c>
      <c r="BQ8" s="24">
        <v>950</v>
      </c>
      <c r="BR8" s="24">
        <v>950</v>
      </c>
      <c r="BS8" s="24">
        <v>950</v>
      </c>
      <c r="BT8" s="24">
        <v>950</v>
      </c>
      <c r="BU8" s="24">
        <v>950</v>
      </c>
      <c r="BV8" s="24">
        <v>950</v>
      </c>
      <c r="BW8" s="24">
        <v>950</v>
      </c>
      <c r="BX8" s="24">
        <v>950</v>
      </c>
      <c r="BY8" s="24">
        <v>950</v>
      </c>
      <c r="BZ8" s="24">
        <v>950</v>
      </c>
      <c r="CA8" s="24">
        <v>950</v>
      </c>
      <c r="CB8" s="24">
        <v>950</v>
      </c>
      <c r="CC8" s="24">
        <v>950</v>
      </c>
      <c r="CD8" s="24">
        <v>950</v>
      </c>
      <c r="CE8" s="24">
        <v>950</v>
      </c>
      <c r="CF8" s="24">
        <v>950</v>
      </c>
      <c r="CG8" s="24">
        <v>950</v>
      </c>
      <c r="CH8" s="24">
        <v>950</v>
      </c>
      <c r="CI8" s="24">
        <v>950</v>
      </c>
      <c r="CJ8" s="24">
        <v>950</v>
      </c>
      <c r="CK8" s="24">
        <v>950</v>
      </c>
      <c r="CL8" s="49">
        <v>950</v>
      </c>
      <c r="CM8" s="49">
        <v>950</v>
      </c>
      <c r="CN8" s="49">
        <v>950</v>
      </c>
      <c r="CO8" s="49">
        <v>950</v>
      </c>
      <c r="CP8" s="49">
        <v>950</v>
      </c>
      <c r="CQ8" s="49">
        <v>950</v>
      </c>
      <c r="CR8" s="49">
        <v>950</v>
      </c>
      <c r="CS8" s="49">
        <v>950</v>
      </c>
      <c r="CT8" s="49">
        <v>950</v>
      </c>
      <c r="CU8" s="49">
        <v>950</v>
      </c>
      <c r="CV8" s="49">
        <v>950</v>
      </c>
      <c r="CW8" s="49">
        <v>950</v>
      </c>
      <c r="CX8" s="49">
        <v>950</v>
      </c>
      <c r="CY8" s="49">
        <v>950</v>
      </c>
      <c r="CZ8" s="49">
        <v>950</v>
      </c>
      <c r="DA8" s="49">
        <v>950</v>
      </c>
      <c r="DB8" s="49">
        <v>950</v>
      </c>
      <c r="DC8" s="49">
        <v>950</v>
      </c>
      <c r="DD8" s="49">
        <v>950</v>
      </c>
      <c r="DE8" s="49">
        <v>950</v>
      </c>
      <c r="DF8" s="49">
        <v>950</v>
      </c>
      <c r="DG8" s="49">
        <v>950</v>
      </c>
      <c r="DH8" s="49">
        <v>950</v>
      </c>
      <c r="DI8" s="49">
        <v>950</v>
      </c>
      <c r="DJ8" s="49">
        <v>950</v>
      </c>
      <c r="DK8" s="49">
        <v>950</v>
      </c>
      <c r="DL8" s="49">
        <v>950</v>
      </c>
      <c r="DM8" s="49">
        <v>950</v>
      </c>
      <c r="DN8" s="49">
        <v>950</v>
      </c>
      <c r="DO8" s="49">
        <v>950</v>
      </c>
      <c r="DP8" s="49">
        <v>950</v>
      </c>
      <c r="DQ8" s="49">
        <v>950</v>
      </c>
      <c r="DR8" s="49">
        <v>950</v>
      </c>
      <c r="DS8" s="49">
        <v>920</v>
      </c>
      <c r="DT8" s="49">
        <v>920</v>
      </c>
      <c r="DU8" s="49">
        <v>920</v>
      </c>
      <c r="DV8" s="49">
        <v>920</v>
      </c>
      <c r="DW8" s="49">
        <v>920</v>
      </c>
      <c r="DX8" s="49">
        <v>920</v>
      </c>
      <c r="DY8" s="49">
        <v>920</v>
      </c>
      <c r="DZ8" s="49">
        <v>920</v>
      </c>
      <c r="EA8" s="49">
        <v>920</v>
      </c>
      <c r="EB8" s="49">
        <v>920</v>
      </c>
      <c r="EC8" s="49">
        <v>920</v>
      </c>
      <c r="ED8" s="49">
        <v>920</v>
      </c>
      <c r="EE8" s="49">
        <v>920</v>
      </c>
      <c r="EF8" s="49">
        <v>920</v>
      </c>
      <c r="EG8" s="49">
        <v>920</v>
      </c>
      <c r="EH8" s="49">
        <v>920</v>
      </c>
      <c r="EI8" s="49">
        <v>920</v>
      </c>
      <c r="EJ8" s="49">
        <v>920</v>
      </c>
      <c r="EK8" s="49">
        <v>890</v>
      </c>
      <c r="EL8" s="49">
        <v>890</v>
      </c>
      <c r="EM8" s="49">
        <v>890</v>
      </c>
      <c r="EN8" s="49">
        <v>890</v>
      </c>
      <c r="EO8" s="49">
        <v>880</v>
      </c>
      <c r="EP8" s="49">
        <v>880</v>
      </c>
      <c r="EQ8" s="49">
        <v>880</v>
      </c>
      <c r="ER8" s="49">
        <v>880</v>
      </c>
      <c r="ES8" s="49">
        <v>870</v>
      </c>
      <c r="ET8" s="49">
        <v>870</v>
      </c>
      <c r="EU8" s="49">
        <v>870</v>
      </c>
      <c r="EV8" s="49">
        <v>870</v>
      </c>
      <c r="EW8" s="49">
        <v>870</v>
      </c>
      <c r="EX8" s="49">
        <v>870</v>
      </c>
      <c r="EY8" s="49">
        <v>870</v>
      </c>
      <c r="EZ8" s="49">
        <v>870</v>
      </c>
      <c r="FA8" s="49">
        <v>870</v>
      </c>
      <c r="FB8" s="49">
        <v>870</v>
      </c>
      <c r="FC8" s="49">
        <v>870</v>
      </c>
      <c r="FD8" s="49">
        <v>870</v>
      </c>
      <c r="FE8" s="49">
        <v>870</v>
      </c>
      <c r="FF8" s="49">
        <v>870</v>
      </c>
      <c r="FG8" s="49">
        <v>870</v>
      </c>
      <c r="FH8" s="49">
        <v>870</v>
      </c>
      <c r="FI8" s="49">
        <v>870</v>
      </c>
      <c r="FJ8" s="49">
        <v>805</v>
      </c>
      <c r="FK8" s="49">
        <v>805</v>
      </c>
      <c r="FL8" s="49">
        <v>805</v>
      </c>
      <c r="FM8" s="49">
        <v>805</v>
      </c>
      <c r="FN8" s="49">
        <v>805</v>
      </c>
      <c r="FO8" s="49">
        <v>805</v>
      </c>
      <c r="FP8" s="49">
        <v>805</v>
      </c>
      <c r="FQ8" s="49">
        <v>805</v>
      </c>
      <c r="FR8" s="49">
        <v>765</v>
      </c>
      <c r="FS8" s="49">
        <v>765</v>
      </c>
      <c r="FT8" s="49">
        <v>765</v>
      </c>
      <c r="FU8" s="49">
        <v>765</v>
      </c>
      <c r="FV8" s="49">
        <v>765</v>
      </c>
      <c r="FW8" s="49">
        <v>765</v>
      </c>
      <c r="FX8" s="49">
        <v>765</v>
      </c>
      <c r="FY8" s="49">
        <v>765</v>
      </c>
      <c r="FZ8" s="49">
        <v>765</v>
      </c>
      <c r="GA8" s="49">
        <v>780</v>
      </c>
      <c r="GB8" s="49">
        <v>780</v>
      </c>
      <c r="GC8" s="49">
        <v>780</v>
      </c>
      <c r="GD8" s="49">
        <v>780</v>
      </c>
      <c r="GE8" s="49">
        <v>780</v>
      </c>
      <c r="GF8" s="49">
        <f>780-20</f>
        <v>760</v>
      </c>
      <c r="GG8" s="49">
        <f t="shared" ref="GG8:GR8" si="4">780-20</f>
        <v>760</v>
      </c>
      <c r="GH8" s="49">
        <f t="shared" si="4"/>
        <v>760</v>
      </c>
      <c r="GI8" s="49">
        <f t="shared" si="4"/>
        <v>760</v>
      </c>
      <c r="GJ8" s="49">
        <f t="shared" si="4"/>
        <v>760</v>
      </c>
      <c r="GK8" s="49">
        <f t="shared" si="4"/>
        <v>760</v>
      </c>
      <c r="GL8" s="49">
        <f t="shared" si="4"/>
        <v>760</v>
      </c>
      <c r="GM8" s="49">
        <f t="shared" si="4"/>
        <v>760</v>
      </c>
      <c r="GN8" s="49">
        <f t="shared" si="4"/>
        <v>760</v>
      </c>
      <c r="GO8" s="49">
        <f t="shared" si="4"/>
        <v>760</v>
      </c>
      <c r="GP8" s="49">
        <f t="shared" si="4"/>
        <v>760</v>
      </c>
      <c r="GQ8" s="49">
        <f t="shared" si="4"/>
        <v>760</v>
      </c>
      <c r="GR8" s="49">
        <f t="shared" si="4"/>
        <v>760</v>
      </c>
      <c r="GS8" s="49">
        <v>740</v>
      </c>
      <c r="GT8" s="49">
        <v>740</v>
      </c>
      <c r="GU8" s="49">
        <v>740</v>
      </c>
      <c r="GV8" s="49">
        <v>740</v>
      </c>
      <c r="GW8" s="49">
        <v>740</v>
      </c>
      <c r="GX8" s="49">
        <v>740</v>
      </c>
      <c r="GY8" s="49">
        <v>740</v>
      </c>
      <c r="GZ8" s="49">
        <v>740</v>
      </c>
      <c r="HA8" s="49">
        <v>740</v>
      </c>
      <c r="HB8" s="49">
        <v>740</v>
      </c>
      <c r="HC8" s="49">
        <v>740</v>
      </c>
      <c r="HD8" s="49">
        <v>740</v>
      </c>
      <c r="HE8" s="49">
        <v>740</v>
      </c>
      <c r="HF8" s="49">
        <v>740</v>
      </c>
      <c r="HG8" s="49">
        <v>740</v>
      </c>
      <c r="HH8" s="49">
        <v>740</v>
      </c>
      <c r="HI8" s="49">
        <v>740</v>
      </c>
      <c r="HJ8" s="49">
        <v>740</v>
      </c>
      <c r="HK8" s="49">
        <v>740</v>
      </c>
      <c r="HL8" s="49">
        <f>740+50</f>
        <v>790</v>
      </c>
      <c r="HM8" s="49">
        <f>740+50</f>
        <v>790</v>
      </c>
      <c r="HN8" s="187">
        <v>1229.5</v>
      </c>
      <c r="HO8" s="187">
        <v>1229.5</v>
      </c>
      <c r="HP8" s="187">
        <v>1229.5</v>
      </c>
      <c r="HQ8" s="187">
        <v>1229.5</v>
      </c>
      <c r="HR8" s="187">
        <v>1229.5</v>
      </c>
      <c r="HS8" s="187">
        <v>1229.5</v>
      </c>
      <c r="HT8" s="187">
        <v>1229.5</v>
      </c>
      <c r="HU8" s="187">
        <v>1190</v>
      </c>
      <c r="HV8" s="187">
        <v>1150</v>
      </c>
      <c r="HW8" s="187">
        <v>1130</v>
      </c>
      <c r="HX8" s="187">
        <v>1110</v>
      </c>
      <c r="HY8" s="187">
        <v>1060</v>
      </c>
      <c r="HZ8" s="187">
        <v>1040</v>
      </c>
      <c r="IA8" s="187">
        <v>1040</v>
      </c>
      <c r="IB8" s="187">
        <v>940</v>
      </c>
      <c r="IC8" s="187"/>
      <c r="ID8" s="187"/>
      <c r="IE8" s="187"/>
    </row>
    <row r="9" spans="1:239" ht="14" hidden="1">
      <c r="A9" s="4"/>
      <c r="B9" s="8"/>
      <c r="C9" s="8"/>
      <c r="D9" s="4"/>
      <c r="E9" s="8"/>
      <c r="F9" s="8" t="s">
        <v>104</v>
      </c>
      <c r="G9" s="4"/>
      <c r="H9" s="136" t="s">
        <v>104</v>
      </c>
      <c r="I9" s="24">
        <f>+SUM(BE9:BH9)/COUNT(BE9:BH9)</f>
        <v>1290</v>
      </c>
      <c r="J9" s="10">
        <f>+SUM(BI9:BL9)/COUNT(BI9:BL9)</f>
        <v>1290</v>
      </c>
      <c r="K9" s="95">
        <f>K7+40</f>
        <v>1290</v>
      </c>
      <c r="L9" s="95">
        <f>L7+40</f>
        <v>1290</v>
      </c>
      <c r="M9" s="95">
        <f>M7+40</f>
        <v>1290</v>
      </c>
      <c r="N9" s="95">
        <f>N7+40</f>
        <v>1290</v>
      </c>
      <c r="O9" s="95">
        <f t="shared" si="0"/>
        <v>1290</v>
      </c>
      <c r="P9" s="95">
        <f t="shared" si="0"/>
        <v>1290</v>
      </c>
      <c r="Q9" s="95">
        <f t="shared" si="0"/>
        <v>1290</v>
      </c>
      <c r="R9" s="95">
        <f>R7+40</f>
        <v>1290</v>
      </c>
      <c r="S9" s="160">
        <f t="shared" ref="S9:W9" si="5">S7+40</f>
        <v>1290</v>
      </c>
      <c r="T9" s="160">
        <f t="shared" si="5"/>
        <v>1290</v>
      </c>
      <c r="U9" s="160">
        <f t="shared" si="5"/>
        <v>1290</v>
      </c>
      <c r="V9" s="160">
        <f t="shared" si="5"/>
        <v>1290</v>
      </c>
      <c r="W9" s="160">
        <f t="shared" si="5"/>
        <v>1290</v>
      </c>
      <c r="X9" s="160">
        <f t="shared" ref="X9:Y9" si="6">X7+40</f>
        <v>1290</v>
      </c>
      <c r="Y9" s="160">
        <f t="shared" si="6"/>
        <v>1290</v>
      </c>
      <c r="Z9" s="160">
        <f t="shared" ref="Z9:AA9" si="7">Z7+40</f>
        <v>1290</v>
      </c>
      <c r="AA9" s="160">
        <f t="shared" si="7"/>
        <v>1290</v>
      </c>
      <c r="AB9" s="160">
        <f t="shared" ref="AB9:AC9" si="8">AB7+40</f>
        <v>1290</v>
      </c>
      <c r="AC9" s="160">
        <f t="shared" si="8"/>
        <v>1290</v>
      </c>
      <c r="AD9" s="160">
        <f t="shared" si="1"/>
        <v>1290</v>
      </c>
      <c r="AE9" s="160">
        <f t="shared" ref="AE9:AE13" si="9">+SUM(ES9:EW9)/COUNT(ES9:EW9)</f>
        <v>1290</v>
      </c>
      <c r="AF9" s="160">
        <f t="shared" si="2"/>
        <v>1290</v>
      </c>
      <c r="AG9" s="160">
        <f t="shared" si="3"/>
        <v>1290</v>
      </c>
      <c r="AH9" s="160">
        <f>AH7+20</f>
        <v>1270</v>
      </c>
      <c r="AI9" s="160">
        <f t="shared" ref="AI9:AN9" si="10">AI7+22</f>
        <v>1067</v>
      </c>
      <c r="AJ9" s="160">
        <f t="shared" si="10"/>
        <v>1067</v>
      </c>
      <c r="AK9" s="160">
        <f t="shared" si="10"/>
        <v>1012.0000000000001</v>
      </c>
      <c r="AL9" s="160">
        <f t="shared" si="10"/>
        <v>1012.0000000000001</v>
      </c>
      <c r="AM9" s="160">
        <f t="shared" si="10"/>
        <v>22</v>
      </c>
      <c r="AN9" s="160">
        <f t="shared" si="10"/>
        <v>22</v>
      </c>
      <c r="AO9" s="160">
        <f t="shared" ref="AO9:AP9" si="11">AO7+22</f>
        <v>22</v>
      </c>
      <c r="AP9" s="160">
        <f t="shared" si="11"/>
        <v>22</v>
      </c>
      <c r="AQ9" s="160">
        <f t="shared" ref="AQ9:AR9" si="12">AQ7+22</f>
        <v>22</v>
      </c>
      <c r="AR9" s="160">
        <f t="shared" si="12"/>
        <v>22</v>
      </c>
      <c r="AS9" s="160">
        <f t="shared" ref="AS9:AT9" si="13">AS7+22</f>
        <v>22</v>
      </c>
      <c r="AT9" s="160">
        <f t="shared" si="13"/>
        <v>22</v>
      </c>
      <c r="AU9" s="160">
        <f t="shared" ref="AU9" si="14">AU7+22</f>
        <v>22</v>
      </c>
      <c r="AV9" s="160"/>
      <c r="AW9" s="160"/>
      <c r="AX9" s="160"/>
      <c r="AY9" s="160"/>
      <c r="BA9" s="4"/>
      <c r="BB9" s="8"/>
      <c r="BC9" s="8" t="s">
        <v>104</v>
      </c>
      <c r="BD9" s="24">
        <f t="shared" ref="BD9:BY9" si="15">+BD7+40</f>
        <v>1290</v>
      </c>
      <c r="BE9" s="137">
        <f t="shared" si="15"/>
        <v>1290</v>
      </c>
      <c r="BF9" s="137">
        <f t="shared" si="15"/>
        <v>1290</v>
      </c>
      <c r="BG9" s="137">
        <f t="shared" si="15"/>
        <v>1290</v>
      </c>
      <c r="BH9" s="138">
        <f t="shared" si="15"/>
        <v>1290</v>
      </c>
      <c r="BI9" s="138">
        <f t="shared" si="15"/>
        <v>1290</v>
      </c>
      <c r="BJ9" s="138">
        <f t="shared" si="15"/>
        <v>1290</v>
      </c>
      <c r="BK9" s="138">
        <f t="shared" si="15"/>
        <v>1290</v>
      </c>
      <c r="BL9" s="138">
        <f t="shared" si="15"/>
        <v>1290</v>
      </c>
      <c r="BM9" s="138">
        <f t="shared" si="15"/>
        <v>1290</v>
      </c>
      <c r="BN9" s="138">
        <f t="shared" si="15"/>
        <v>1290</v>
      </c>
      <c r="BO9" s="138">
        <f t="shared" si="15"/>
        <v>1290</v>
      </c>
      <c r="BP9" s="138">
        <f t="shared" si="15"/>
        <v>1290</v>
      </c>
      <c r="BQ9" s="138">
        <f t="shared" si="15"/>
        <v>1290</v>
      </c>
      <c r="BR9" s="138">
        <f t="shared" si="15"/>
        <v>1290</v>
      </c>
      <c r="BS9" s="92">
        <f t="shared" si="15"/>
        <v>1290</v>
      </c>
      <c r="BT9" s="92">
        <f t="shared" si="15"/>
        <v>1290</v>
      </c>
      <c r="BU9" s="92">
        <f t="shared" si="15"/>
        <v>1290</v>
      </c>
      <c r="BV9" s="92">
        <f t="shared" si="15"/>
        <v>1290</v>
      </c>
      <c r="BW9" s="92">
        <f t="shared" si="15"/>
        <v>1290</v>
      </c>
      <c r="BX9" s="92">
        <f t="shared" si="15"/>
        <v>1290</v>
      </c>
      <c r="BY9" s="92">
        <f t="shared" si="15"/>
        <v>1290</v>
      </c>
      <c r="BZ9" s="92">
        <f t="shared" ref="BZ9:CE9" si="16">+BZ7+40</f>
        <v>1290</v>
      </c>
      <c r="CA9" s="92">
        <f t="shared" si="16"/>
        <v>1290</v>
      </c>
      <c r="CB9" s="92">
        <f t="shared" si="16"/>
        <v>1290</v>
      </c>
      <c r="CC9" s="92">
        <f t="shared" si="16"/>
        <v>1290</v>
      </c>
      <c r="CD9" s="92">
        <f t="shared" si="16"/>
        <v>1290</v>
      </c>
      <c r="CE9" s="92">
        <f t="shared" si="16"/>
        <v>1290</v>
      </c>
      <c r="CF9" s="92">
        <f t="shared" ref="CF9:CK9" si="17">+CF7+40</f>
        <v>1290</v>
      </c>
      <c r="CG9" s="92">
        <f t="shared" si="17"/>
        <v>1290</v>
      </c>
      <c r="CH9" s="92">
        <f t="shared" si="17"/>
        <v>1290</v>
      </c>
      <c r="CI9" s="92">
        <f t="shared" si="17"/>
        <v>1290</v>
      </c>
      <c r="CJ9" s="92">
        <f t="shared" si="17"/>
        <v>1290</v>
      </c>
      <c r="CK9" s="92">
        <f t="shared" si="17"/>
        <v>1290</v>
      </c>
      <c r="CL9" s="92">
        <f t="shared" ref="CL9:CT9" si="18">+CL7+40</f>
        <v>1290</v>
      </c>
      <c r="CM9" s="92">
        <f t="shared" si="18"/>
        <v>1290</v>
      </c>
      <c r="CN9" s="92">
        <f t="shared" si="18"/>
        <v>1290</v>
      </c>
      <c r="CO9" s="92">
        <f t="shared" si="18"/>
        <v>1290</v>
      </c>
      <c r="CP9" s="92">
        <f t="shared" si="18"/>
        <v>1290</v>
      </c>
      <c r="CQ9" s="92">
        <f t="shared" si="18"/>
        <v>1290</v>
      </c>
      <c r="CR9" s="92">
        <f t="shared" si="18"/>
        <v>1290</v>
      </c>
      <c r="CS9" s="92">
        <f t="shared" si="18"/>
        <v>1290</v>
      </c>
      <c r="CT9" s="92">
        <f t="shared" si="18"/>
        <v>1290</v>
      </c>
      <c r="CU9" s="92">
        <f t="shared" ref="CU9:CV9" si="19">+CU7+40</f>
        <v>1290</v>
      </c>
      <c r="CV9" s="92">
        <f t="shared" si="19"/>
        <v>1290</v>
      </c>
      <c r="CW9" s="92">
        <f t="shared" ref="CW9:CX9" si="20">+CW7+40</f>
        <v>1290</v>
      </c>
      <c r="CX9" s="92">
        <f t="shared" si="20"/>
        <v>1290</v>
      </c>
      <c r="CY9" s="92">
        <f t="shared" ref="CY9:CZ9" si="21">+CY7+40</f>
        <v>1290</v>
      </c>
      <c r="CZ9" s="92">
        <f t="shared" si="21"/>
        <v>1290</v>
      </c>
      <c r="DA9" s="92">
        <f t="shared" ref="DA9:DC9" si="22">+DA7+40</f>
        <v>1290</v>
      </c>
      <c r="DB9" s="92">
        <f t="shared" si="22"/>
        <v>1290</v>
      </c>
      <c r="DC9" s="92">
        <f t="shared" si="22"/>
        <v>1290</v>
      </c>
      <c r="DD9" s="92">
        <f t="shared" ref="DD9:DE9" si="23">+DD7+40</f>
        <v>1290</v>
      </c>
      <c r="DE9" s="92">
        <f t="shared" si="23"/>
        <v>1290</v>
      </c>
      <c r="DF9" s="92">
        <f t="shared" ref="DF9:DG9" si="24">+DF7+40</f>
        <v>1290</v>
      </c>
      <c r="DG9" s="92">
        <f t="shared" si="24"/>
        <v>1290</v>
      </c>
      <c r="DH9" s="92">
        <f t="shared" ref="DH9:DI9" si="25">+DH7+40</f>
        <v>1290</v>
      </c>
      <c r="DI9" s="92">
        <f t="shared" si="25"/>
        <v>1290</v>
      </c>
      <c r="DJ9" s="92">
        <f t="shared" ref="DJ9:DK9" si="26">+DJ7+40</f>
        <v>1290</v>
      </c>
      <c r="DK9" s="92">
        <f t="shared" si="26"/>
        <v>1290</v>
      </c>
      <c r="DL9" s="92">
        <f t="shared" ref="DL9:DM9" si="27">+DL7+40</f>
        <v>1290</v>
      </c>
      <c r="DM9" s="92">
        <f t="shared" si="27"/>
        <v>1290</v>
      </c>
      <c r="DN9" s="92">
        <f t="shared" ref="DN9:DO9" si="28">+DN7+40</f>
        <v>1290</v>
      </c>
      <c r="DO9" s="92">
        <f t="shared" si="28"/>
        <v>1290</v>
      </c>
      <c r="DP9" s="92">
        <f t="shared" ref="DP9:DR9" si="29">+DP7+40</f>
        <v>1290</v>
      </c>
      <c r="DQ9" s="92">
        <f t="shared" si="29"/>
        <v>1290</v>
      </c>
      <c r="DR9" s="92">
        <f t="shared" si="29"/>
        <v>1290</v>
      </c>
      <c r="DS9" s="92">
        <f t="shared" ref="DS9:DT9" si="30">+DS7+40</f>
        <v>1290</v>
      </c>
      <c r="DT9" s="92">
        <f t="shared" si="30"/>
        <v>1290</v>
      </c>
      <c r="DU9" s="92">
        <f t="shared" ref="DU9:DV9" si="31">+DU7+40</f>
        <v>1290</v>
      </c>
      <c r="DV9" s="92">
        <f t="shared" si="31"/>
        <v>1290</v>
      </c>
      <c r="DW9" s="92">
        <f t="shared" ref="DW9:DX9" si="32">+DW7+40</f>
        <v>1290</v>
      </c>
      <c r="DX9" s="92">
        <f t="shared" si="32"/>
        <v>1290</v>
      </c>
      <c r="DY9" s="92">
        <f t="shared" ref="DY9:DZ9" si="33">+DY7+40</f>
        <v>1290</v>
      </c>
      <c r="DZ9" s="92">
        <f t="shared" si="33"/>
        <v>1290</v>
      </c>
      <c r="EA9" s="92">
        <f t="shared" ref="EA9:EB9" si="34">+EA7+40</f>
        <v>1290</v>
      </c>
      <c r="EB9" s="92">
        <f t="shared" si="34"/>
        <v>1290</v>
      </c>
      <c r="EC9" s="92">
        <f t="shared" ref="EC9:ED9" si="35">+EC7+40</f>
        <v>1290</v>
      </c>
      <c r="ED9" s="92">
        <f t="shared" si="35"/>
        <v>1290</v>
      </c>
      <c r="EE9" s="92">
        <f t="shared" ref="EE9:EF9" si="36">+EE7+40</f>
        <v>1290</v>
      </c>
      <c r="EF9" s="92">
        <f t="shared" si="36"/>
        <v>1290</v>
      </c>
      <c r="EG9" s="92">
        <f t="shared" ref="EG9:EH9" si="37">+EG7+40</f>
        <v>1290</v>
      </c>
      <c r="EH9" s="92">
        <f t="shared" si="37"/>
        <v>1290</v>
      </c>
      <c r="EI9" s="92">
        <f t="shared" ref="EI9:EJ9" si="38">+EI7+40</f>
        <v>1290</v>
      </c>
      <c r="EJ9" s="92">
        <f t="shared" si="38"/>
        <v>1290</v>
      </c>
      <c r="EK9" s="92">
        <f t="shared" ref="EK9:EL9" si="39">+EK7+40</f>
        <v>1290</v>
      </c>
      <c r="EL9" s="92">
        <f t="shared" si="39"/>
        <v>1290</v>
      </c>
      <c r="EM9" s="92">
        <f t="shared" ref="EM9:EN9" si="40">+EM7+40</f>
        <v>1290</v>
      </c>
      <c r="EN9" s="92">
        <f t="shared" si="40"/>
        <v>1290</v>
      </c>
      <c r="EO9" s="92">
        <f t="shared" ref="EO9:EP9" si="41">+EO7+40</f>
        <v>1290</v>
      </c>
      <c r="EP9" s="92">
        <f t="shared" si="41"/>
        <v>1290</v>
      </c>
      <c r="EQ9" s="92">
        <f t="shared" ref="EQ9:ER9" si="42">+EQ7+40</f>
        <v>1290</v>
      </c>
      <c r="ER9" s="92">
        <f t="shared" si="42"/>
        <v>1290</v>
      </c>
      <c r="ES9" s="92">
        <f>+ES7+40</f>
        <v>1290</v>
      </c>
      <c r="ET9" s="92">
        <f t="shared" ref="ET9:EW9" si="43">+ET7+40</f>
        <v>1290</v>
      </c>
      <c r="EU9" s="92">
        <f t="shared" si="43"/>
        <v>1290</v>
      </c>
      <c r="EV9" s="92">
        <f t="shared" si="43"/>
        <v>1290</v>
      </c>
      <c r="EW9" s="92">
        <f t="shared" si="43"/>
        <v>1290</v>
      </c>
      <c r="EX9" s="92">
        <f t="shared" ref="EX9:FA9" si="44">+EX7+40</f>
        <v>1290</v>
      </c>
      <c r="EY9" s="92">
        <f t="shared" si="44"/>
        <v>1290</v>
      </c>
      <c r="EZ9" s="92">
        <f t="shared" si="44"/>
        <v>1290</v>
      </c>
      <c r="FA9" s="92">
        <f t="shared" si="44"/>
        <v>1290</v>
      </c>
      <c r="FB9" s="92">
        <f t="shared" ref="FB9:FC9" si="45">+FB7+40</f>
        <v>1290</v>
      </c>
      <c r="FC9" s="92">
        <f t="shared" si="45"/>
        <v>1290</v>
      </c>
      <c r="FD9" s="92">
        <f t="shared" ref="FD9:FE9" si="46">+FD7+40</f>
        <v>1290</v>
      </c>
      <c r="FE9" s="92">
        <f t="shared" si="46"/>
        <v>1290</v>
      </c>
      <c r="FF9" s="92">
        <f t="shared" ref="FF9:FG9" si="47">+FF7+40</f>
        <v>1290</v>
      </c>
      <c r="FG9" s="92">
        <f t="shared" si="47"/>
        <v>1290</v>
      </c>
      <c r="FH9" s="92">
        <f t="shared" ref="FH9:FI9" si="48">+FH7+40</f>
        <v>1290</v>
      </c>
      <c r="FI9" s="92">
        <f t="shared" si="48"/>
        <v>1290</v>
      </c>
      <c r="FJ9" s="92">
        <f t="shared" ref="FJ9:FM9" si="49">+FJ7+40</f>
        <v>1085</v>
      </c>
      <c r="FK9" s="92">
        <f t="shared" si="49"/>
        <v>1085</v>
      </c>
      <c r="FL9" s="92">
        <f t="shared" si="49"/>
        <v>1085</v>
      </c>
      <c r="FM9" s="92">
        <f t="shared" si="49"/>
        <v>1085</v>
      </c>
      <c r="FN9" s="92">
        <f t="shared" ref="FN9:FQ9" si="50">+FN7+40</f>
        <v>1085</v>
      </c>
      <c r="FO9" s="92">
        <f t="shared" si="50"/>
        <v>1085</v>
      </c>
      <c r="FP9" s="92">
        <f t="shared" si="50"/>
        <v>1085</v>
      </c>
      <c r="FQ9" s="92">
        <f t="shared" si="50"/>
        <v>1085</v>
      </c>
      <c r="FR9" s="92">
        <f t="shared" ref="FR9:FV9" si="51">+FR7+40</f>
        <v>1030</v>
      </c>
      <c r="FS9" s="92">
        <f t="shared" si="51"/>
        <v>1030</v>
      </c>
      <c r="FT9" s="92">
        <f t="shared" si="51"/>
        <v>1030</v>
      </c>
      <c r="FU9" s="92">
        <f t="shared" si="51"/>
        <v>1030</v>
      </c>
      <c r="FV9" s="92">
        <f t="shared" si="51"/>
        <v>1030</v>
      </c>
      <c r="FW9" s="92">
        <f t="shared" ref="FW9:FZ9" si="52">+FW7+40</f>
        <v>1030</v>
      </c>
      <c r="FX9" s="92">
        <f t="shared" si="52"/>
        <v>1030</v>
      </c>
      <c r="FY9" s="92">
        <f t="shared" si="52"/>
        <v>1030</v>
      </c>
      <c r="FZ9" s="92">
        <f t="shared" si="52"/>
        <v>1030</v>
      </c>
      <c r="GA9" s="92">
        <f t="shared" ref="GA9:GE9" si="53">+GA7+40</f>
        <v>40</v>
      </c>
      <c r="GB9" s="92">
        <f t="shared" si="53"/>
        <v>40</v>
      </c>
      <c r="GC9" s="92">
        <f t="shared" si="53"/>
        <v>40</v>
      </c>
      <c r="GD9" s="92">
        <f t="shared" si="53"/>
        <v>40</v>
      </c>
      <c r="GE9" s="92">
        <f t="shared" si="53"/>
        <v>40</v>
      </c>
      <c r="GF9" s="92">
        <f t="shared" ref="GF9:GI9" si="54">+GF7+40</f>
        <v>40</v>
      </c>
      <c r="GG9" s="92">
        <f t="shared" si="54"/>
        <v>40</v>
      </c>
      <c r="GH9" s="92">
        <f t="shared" si="54"/>
        <v>40</v>
      </c>
      <c r="GI9" s="92">
        <f t="shared" si="54"/>
        <v>40</v>
      </c>
      <c r="GJ9" s="92">
        <f t="shared" ref="GJ9:GL9" si="55">+GJ7+40</f>
        <v>40</v>
      </c>
      <c r="GK9" s="92">
        <f t="shared" si="55"/>
        <v>40</v>
      </c>
      <c r="GL9" s="92">
        <f t="shared" si="55"/>
        <v>40</v>
      </c>
      <c r="GM9" s="92">
        <f t="shared" ref="GM9:GR9" si="56">+GM7+40</f>
        <v>40</v>
      </c>
      <c r="GN9" s="92">
        <f t="shared" si="56"/>
        <v>40</v>
      </c>
      <c r="GO9" s="92">
        <f t="shared" si="56"/>
        <v>40</v>
      </c>
      <c r="GP9" s="92">
        <f t="shared" si="56"/>
        <v>40</v>
      </c>
      <c r="GQ9" s="92">
        <f t="shared" si="56"/>
        <v>40</v>
      </c>
      <c r="GR9" s="92">
        <f t="shared" si="56"/>
        <v>40</v>
      </c>
      <c r="GS9" s="92">
        <f t="shared" ref="GS9:GV9" si="57">+GS7+40</f>
        <v>40</v>
      </c>
      <c r="GT9" s="92">
        <f t="shared" si="57"/>
        <v>40</v>
      </c>
      <c r="GU9" s="92">
        <f t="shared" si="57"/>
        <v>40</v>
      </c>
      <c r="GV9" s="92">
        <f t="shared" si="57"/>
        <v>40</v>
      </c>
      <c r="GW9" s="92">
        <f t="shared" ref="GW9:GZ9" si="58">+GW7+40</f>
        <v>40</v>
      </c>
      <c r="GX9" s="92">
        <f t="shared" si="58"/>
        <v>40</v>
      </c>
      <c r="GY9" s="92">
        <f t="shared" si="58"/>
        <v>40</v>
      </c>
      <c r="GZ9" s="92">
        <f t="shared" si="58"/>
        <v>40</v>
      </c>
      <c r="HA9" s="92">
        <f t="shared" ref="HA9:HE9" si="59">+HA7+40</f>
        <v>40</v>
      </c>
      <c r="HB9" s="92">
        <f t="shared" si="59"/>
        <v>40</v>
      </c>
      <c r="HC9" s="92">
        <f t="shared" si="59"/>
        <v>40</v>
      </c>
      <c r="HD9" s="92">
        <f t="shared" si="59"/>
        <v>40</v>
      </c>
      <c r="HE9" s="92">
        <f t="shared" si="59"/>
        <v>40</v>
      </c>
      <c r="HN9" s="185"/>
      <c r="HO9" s="185"/>
      <c r="HP9" s="185"/>
      <c r="HQ9" s="185"/>
      <c r="HR9" s="185"/>
      <c r="HS9" s="185"/>
      <c r="HT9" s="185"/>
      <c r="HU9" s="185"/>
      <c r="HV9" s="185"/>
      <c r="HW9" s="185"/>
      <c r="HX9" s="185"/>
      <c r="HY9" s="185"/>
      <c r="HZ9" s="185"/>
      <c r="IA9" s="185"/>
      <c r="IB9" s="185"/>
      <c r="IC9" s="185"/>
      <c r="ID9" s="185"/>
      <c r="IE9" s="185"/>
    </row>
    <row r="10" spans="1:239" ht="14" hidden="1">
      <c r="A10" s="4"/>
      <c r="B10" s="8"/>
      <c r="C10" s="8"/>
      <c r="D10" s="4"/>
      <c r="E10" s="8"/>
      <c r="F10" s="8" t="s">
        <v>139</v>
      </c>
      <c r="G10" s="4"/>
      <c r="H10" s="8" t="s">
        <v>139</v>
      </c>
      <c r="I10" s="24"/>
      <c r="J10" s="10"/>
      <c r="K10" s="95">
        <v>1310</v>
      </c>
      <c r="L10" s="95">
        <v>1310</v>
      </c>
      <c r="M10" s="95">
        <v>1310</v>
      </c>
      <c r="N10" s="95">
        <v>1310</v>
      </c>
      <c r="O10" s="95">
        <f t="shared" si="0"/>
        <v>1310</v>
      </c>
      <c r="P10" s="95">
        <f t="shared" si="0"/>
        <v>1310</v>
      </c>
      <c r="Q10" s="95">
        <f t="shared" si="0"/>
        <v>1310</v>
      </c>
      <c r="R10" s="95">
        <v>1310</v>
      </c>
      <c r="S10" s="160">
        <v>1310</v>
      </c>
      <c r="T10" s="160">
        <v>1310</v>
      </c>
      <c r="U10" s="160">
        <v>1310</v>
      </c>
      <c r="V10" s="160">
        <v>1310</v>
      </c>
      <c r="W10" s="160">
        <v>1310</v>
      </c>
      <c r="X10" s="160">
        <v>1310</v>
      </c>
      <c r="Y10" s="160">
        <v>1310</v>
      </c>
      <c r="Z10" s="160">
        <v>1310</v>
      </c>
      <c r="AA10" s="160">
        <v>1310</v>
      </c>
      <c r="AB10" s="160">
        <v>1310</v>
      </c>
      <c r="AC10" s="160">
        <v>1310</v>
      </c>
      <c r="AD10" s="160">
        <f t="shared" si="1"/>
        <v>1310</v>
      </c>
      <c r="AE10" s="160">
        <f t="shared" si="9"/>
        <v>1310</v>
      </c>
      <c r="AF10" s="160">
        <f t="shared" si="2"/>
        <v>1310</v>
      </c>
      <c r="AG10" s="160">
        <f t="shared" si="3"/>
        <v>1310</v>
      </c>
      <c r="AH10" s="160">
        <f t="shared" ref="AH10:AU11" si="60">+SUM(FF10:FJ10)/COUNT(FF10:FJ10)</f>
        <v>1310</v>
      </c>
      <c r="AI10" s="160">
        <f t="shared" si="60"/>
        <v>1310</v>
      </c>
      <c r="AJ10" s="160">
        <f t="shared" si="60"/>
        <v>1310</v>
      </c>
      <c r="AK10" s="160">
        <f t="shared" si="60"/>
        <v>1310</v>
      </c>
      <c r="AL10" s="160">
        <f t="shared" si="60"/>
        <v>1310</v>
      </c>
      <c r="AM10" s="160">
        <f t="shared" si="60"/>
        <v>1310</v>
      </c>
      <c r="AN10" s="160">
        <f t="shared" si="60"/>
        <v>1310</v>
      </c>
      <c r="AO10" s="160">
        <f t="shared" si="60"/>
        <v>1310</v>
      </c>
      <c r="AP10" s="160">
        <f t="shared" si="60"/>
        <v>1310</v>
      </c>
      <c r="AQ10" s="160">
        <f t="shared" si="60"/>
        <v>1310</v>
      </c>
      <c r="AR10" s="160">
        <f t="shared" si="60"/>
        <v>1310</v>
      </c>
      <c r="AS10" s="160">
        <f t="shared" si="60"/>
        <v>1310</v>
      </c>
      <c r="AT10" s="160">
        <f t="shared" si="60"/>
        <v>1310</v>
      </c>
      <c r="AU10" s="160">
        <f t="shared" si="60"/>
        <v>1310</v>
      </c>
      <c r="AV10" s="160"/>
      <c r="AW10" s="160"/>
      <c r="AX10" s="160"/>
      <c r="AY10" s="160"/>
      <c r="BA10" s="4"/>
      <c r="BB10" s="8"/>
      <c r="BC10" s="8" t="s">
        <v>105</v>
      </c>
      <c r="BD10" s="24"/>
      <c r="BE10" s="139">
        <v>1310</v>
      </c>
      <c r="BF10" s="139">
        <v>1310</v>
      </c>
      <c r="BG10" s="139">
        <v>1310</v>
      </c>
      <c r="BH10" s="139">
        <v>1310</v>
      </c>
      <c r="BI10" s="139">
        <v>1310</v>
      </c>
      <c r="BJ10" s="139">
        <v>1310</v>
      </c>
      <c r="BK10" s="139">
        <v>1310</v>
      </c>
      <c r="BL10" s="139">
        <v>1310</v>
      </c>
      <c r="BM10" s="139">
        <v>1310</v>
      </c>
      <c r="BN10" s="139">
        <v>1310</v>
      </c>
      <c r="BO10" s="139">
        <v>1310</v>
      </c>
      <c r="BP10" s="139">
        <v>1310</v>
      </c>
      <c r="BQ10" s="139">
        <v>1310</v>
      </c>
      <c r="BR10" s="139">
        <v>1310</v>
      </c>
      <c r="BS10" s="95">
        <v>1310</v>
      </c>
      <c r="BT10" s="95">
        <v>1310</v>
      </c>
      <c r="BU10" s="95">
        <v>1310</v>
      </c>
      <c r="BV10" s="95">
        <v>1310</v>
      </c>
      <c r="BW10" s="95">
        <v>1310</v>
      </c>
      <c r="BX10" s="95">
        <v>1310</v>
      </c>
      <c r="BY10" s="95">
        <v>1310</v>
      </c>
      <c r="BZ10" s="95">
        <v>1310</v>
      </c>
      <c r="CA10" s="95">
        <v>1310</v>
      </c>
      <c r="CB10" s="95">
        <v>1310</v>
      </c>
      <c r="CC10" s="95">
        <v>1310</v>
      </c>
      <c r="CD10" s="95">
        <v>1310</v>
      </c>
      <c r="CE10" s="95">
        <v>1310</v>
      </c>
      <c r="CF10" s="95">
        <v>1310</v>
      </c>
      <c r="CG10" s="95">
        <v>1310</v>
      </c>
      <c r="CH10" s="95">
        <v>1310</v>
      </c>
      <c r="CI10" s="95">
        <v>1310</v>
      </c>
      <c r="CJ10" s="95">
        <v>1310</v>
      </c>
      <c r="CK10" s="95">
        <v>1310</v>
      </c>
      <c r="CL10" s="95">
        <v>1310</v>
      </c>
      <c r="CM10" s="95">
        <v>1310</v>
      </c>
      <c r="CN10" s="95">
        <v>1310</v>
      </c>
      <c r="CO10" s="95">
        <v>1310</v>
      </c>
      <c r="CP10" s="95">
        <v>1310</v>
      </c>
      <c r="CQ10" s="95">
        <v>1310</v>
      </c>
      <c r="CR10" s="95">
        <v>1310</v>
      </c>
      <c r="CS10" s="95">
        <v>1310</v>
      </c>
      <c r="CT10" s="95">
        <v>1310</v>
      </c>
      <c r="CU10" s="95">
        <v>1310</v>
      </c>
      <c r="CV10" s="95">
        <v>1310</v>
      </c>
      <c r="CW10" s="95">
        <v>1310</v>
      </c>
      <c r="CX10" s="95">
        <v>1310</v>
      </c>
      <c r="CY10" s="95">
        <v>1310</v>
      </c>
      <c r="CZ10" s="95">
        <v>1310</v>
      </c>
      <c r="DA10" s="95">
        <v>1310</v>
      </c>
      <c r="DB10" s="95">
        <v>1310</v>
      </c>
      <c r="DC10" s="95">
        <v>1310</v>
      </c>
      <c r="DD10" s="95">
        <v>1310</v>
      </c>
      <c r="DE10" s="95">
        <v>1310</v>
      </c>
      <c r="DF10" s="95">
        <v>1310</v>
      </c>
      <c r="DG10" s="95">
        <v>1310</v>
      </c>
      <c r="DH10" s="95">
        <v>1310</v>
      </c>
      <c r="DI10" s="95">
        <v>1310</v>
      </c>
      <c r="DJ10" s="95">
        <v>1310</v>
      </c>
      <c r="DK10" s="95">
        <v>1310</v>
      </c>
      <c r="DL10" s="95">
        <v>1310</v>
      </c>
      <c r="DM10" s="95">
        <v>1310</v>
      </c>
      <c r="DN10" s="95">
        <v>1310</v>
      </c>
      <c r="DO10" s="95">
        <v>1310</v>
      </c>
      <c r="DP10" s="95">
        <v>1310</v>
      </c>
      <c r="DQ10" s="95">
        <v>1310</v>
      </c>
      <c r="DR10" s="95">
        <v>1310</v>
      </c>
      <c r="DS10" s="95">
        <v>1310</v>
      </c>
      <c r="DT10" s="95">
        <v>1310</v>
      </c>
      <c r="DU10" s="95">
        <v>1310</v>
      </c>
      <c r="DV10" s="95">
        <v>1310</v>
      </c>
      <c r="DW10" s="95">
        <v>1310</v>
      </c>
      <c r="DX10" s="95">
        <v>1310</v>
      </c>
      <c r="DY10" s="95">
        <v>1310</v>
      </c>
      <c r="DZ10" s="95">
        <v>1310</v>
      </c>
      <c r="EA10" s="95">
        <v>1310</v>
      </c>
      <c r="EB10" s="95">
        <v>1310</v>
      </c>
      <c r="EC10" s="95">
        <v>1310</v>
      </c>
      <c r="ED10" s="95">
        <v>1310</v>
      </c>
      <c r="EE10" s="95">
        <v>1310</v>
      </c>
      <c r="EF10" s="95">
        <v>1310</v>
      </c>
      <c r="EG10" s="95">
        <v>1310</v>
      </c>
      <c r="EH10" s="95">
        <v>1310</v>
      </c>
      <c r="EI10" s="95">
        <v>1310</v>
      </c>
      <c r="EJ10" s="95">
        <v>1310</v>
      </c>
      <c r="EK10" s="95">
        <v>1310</v>
      </c>
      <c r="EL10" s="95">
        <v>1310</v>
      </c>
      <c r="EM10" s="95">
        <v>1310</v>
      </c>
      <c r="EN10" s="95">
        <v>1310</v>
      </c>
      <c r="EO10" s="95">
        <v>1310</v>
      </c>
      <c r="EP10" s="95">
        <v>1310</v>
      </c>
      <c r="EQ10" s="95">
        <v>1310</v>
      </c>
      <c r="ER10" s="95">
        <v>1310</v>
      </c>
      <c r="ES10" s="95">
        <v>1310</v>
      </c>
      <c r="ET10" s="95">
        <v>1310</v>
      </c>
      <c r="EU10" s="95">
        <v>1310</v>
      </c>
      <c r="EV10" s="95">
        <v>1310</v>
      </c>
      <c r="EW10" s="95">
        <v>1310</v>
      </c>
      <c r="EX10" s="95">
        <v>1310</v>
      </c>
      <c r="EY10" s="95">
        <v>1310</v>
      </c>
      <c r="EZ10" s="95">
        <v>1310</v>
      </c>
      <c r="FA10" s="95">
        <v>1310</v>
      </c>
      <c r="FB10" s="95">
        <v>1310</v>
      </c>
      <c r="FC10" s="95">
        <v>1310</v>
      </c>
      <c r="FD10" s="95">
        <v>1310</v>
      </c>
      <c r="FE10" s="95">
        <v>1310</v>
      </c>
      <c r="FF10" s="95">
        <v>1310</v>
      </c>
      <c r="FG10" s="95">
        <v>1310</v>
      </c>
      <c r="FH10" s="95">
        <v>1310</v>
      </c>
      <c r="FI10" s="95">
        <v>1310</v>
      </c>
      <c r="FJ10" s="95">
        <v>1310</v>
      </c>
      <c r="FK10" s="95">
        <v>1310</v>
      </c>
      <c r="FL10" s="95">
        <v>1310</v>
      </c>
      <c r="FM10" s="95">
        <v>1310</v>
      </c>
      <c r="FN10" s="95">
        <v>1310</v>
      </c>
      <c r="FO10" s="95">
        <v>1310</v>
      </c>
      <c r="FP10" s="95">
        <v>1310</v>
      </c>
      <c r="FQ10" s="95">
        <v>1310</v>
      </c>
      <c r="FR10" s="95">
        <v>1310</v>
      </c>
      <c r="FS10" s="95">
        <v>1310</v>
      </c>
      <c r="FT10" s="95">
        <v>1310</v>
      </c>
      <c r="FU10" s="95">
        <v>1310</v>
      </c>
      <c r="FV10" s="95">
        <v>1310</v>
      </c>
      <c r="FW10" s="95">
        <v>1310</v>
      </c>
      <c r="FX10" s="95">
        <v>1310</v>
      </c>
      <c r="FY10" s="95">
        <v>1310</v>
      </c>
      <c r="FZ10" s="95">
        <v>1310</v>
      </c>
      <c r="GA10" s="95">
        <v>1310</v>
      </c>
      <c r="GB10" s="95">
        <v>1310</v>
      </c>
      <c r="GC10" s="95">
        <v>1310</v>
      </c>
      <c r="GD10" s="95">
        <v>1310</v>
      </c>
      <c r="GE10" s="95">
        <v>1310</v>
      </c>
      <c r="GF10" s="95">
        <v>1310</v>
      </c>
      <c r="GG10" s="95">
        <v>1310</v>
      </c>
      <c r="GH10" s="95">
        <v>1310</v>
      </c>
      <c r="GI10" s="95">
        <v>1310</v>
      </c>
      <c r="GJ10" s="95">
        <v>1310</v>
      </c>
      <c r="GK10" s="95">
        <v>1310</v>
      </c>
      <c r="GL10" s="95">
        <v>1310</v>
      </c>
      <c r="GM10" s="95">
        <v>1310</v>
      </c>
      <c r="GN10" s="95">
        <v>1310</v>
      </c>
      <c r="GO10" s="95">
        <v>1310</v>
      </c>
      <c r="GP10" s="95">
        <v>1310</v>
      </c>
      <c r="GQ10" s="95">
        <v>1310</v>
      </c>
      <c r="GR10" s="95">
        <v>1310</v>
      </c>
      <c r="GS10" s="95">
        <v>1310</v>
      </c>
      <c r="GT10" s="95">
        <v>1310</v>
      </c>
      <c r="GU10" s="95">
        <v>1310</v>
      </c>
      <c r="GV10" s="95">
        <v>1310</v>
      </c>
      <c r="GW10" s="95">
        <v>1310</v>
      </c>
      <c r="GX10" s="95">
        <v>1310</v>
      </c>
      <c r="GY10" s="95">
        <v>1310</v>
      </c>
      <c r="GZ10" s="95">
        <v>1310</v>
      </c>
      <c r="HA10" s="95">
        <v>1310</v>
      </c>
      <c r="HB10" s="95">
        <v>1310</v>
      </c>
      <c r="HC10" s="95">
        <v>1310</v>
      </c>
      <c r="HD10" s="95">
        <v>1310</v>
      </c>
      <c r="HE10" s="95">
        <v>1310</v>
      </c>
      <c r="HN10" s="185"/>
      <c r="HO10" s="185"/>
      <c r="HP10" s="185"/>
      <c r="HQ10" s="185"/>
      <c r="HR10" s="185"/>
      <c r="HS10" s="185"/>
      <c r="HT10" s="185"/>
      <c r="HU10" s="185"/>
      <c r="HV10" s="185"/>
      <c r="HW10" s="185"/>
      <c r="HX10" s="185"/>
      <c r="HY10" s="185"/>
      <c r="HZ10" s="185"/>
      <c r="IA10" s="185"/>
      <c r="IB10" s="185"/>
      <c r="IC10" s="185"/>
      <c r="ID10" s="185"/>
      <c r="IE10" s="185"/>
    </row>
    <row r="11" spans="1:239" ht="14" hidden="1">
      <c r="A11" s="4"/>
      <c r="B11" s="8"/>
      <c r="C11" s="8"/>
      <c r="D11" s="4"/>
      <c r="E11" s="8"/>
      <c r="F11" s="8" t="s">
        <v>103</v>
      </c>
      <c r="G11" s="4"/>
      <c r="H11" s="136" t="s">
        <v>103</v>
      </c>
      <c r="I11" s="24"/>
      <c r="J11" s="10"/>
      <c r="K11" s="95">
        <f>K10+40</f>
        <v>1350</v>
      </c>
      <c r="L11" s="95">
        <f>L10+40</f>
        <v>1350</v>
      </c>
      <c r="M11" s="95">
        <f>M10+40</f>
        <v>1350</v>
      </c>
      <c r="N11" s="95">
        <f>N10+40</f>
        <v>1350</v>
      </c>
      <c r="O11" s="95">
        <f t="shared" si="0"/>
        <v>1350</v>
      </c>
      <c r="P11" s="95">
        <f t="shared" si="0"/>
        <v>1350</v>
      </c>
      <c r="Q11" s="95">
        <f t="shared" si="0"/>
        <v>1350</v>
      </c>
      <c r="R11" s="95">
        <f t="shared" ref="R11:W11" si="61">R10+40</f>
        <v>1350</v>
      </c>
      <c r="S11" s="160">
        <f t="shared" si="61"/>
        <v>1350</v>
      </c>
      <c r="T11" s="160">
        <f t="shared" si="61"/>
        <v>1350</v>
      </c>
      <c r="U11" s="160">
        <f t="shared" si="61"/>
        <v>1350</v>
      </c>
      <c r="V11" s="160">
        <f t="shared" si="61"/>
        <v>1350</v>
      </c>
      <c r="W11" s="160">
        <f t="shared" si="61"/>
        <v>1350</v>
      </c>
      <c r="X11" s="160">
        <f t="shared" ref="X11:Y11" si="62">X10+40</f>
        <v>1350</v>
      </c>
      <c r="Y11" s="160">
        <f t="shared" si="62"/>
        <v>1350</v>
      </c>
      <c r="Z11" s="160">
        <f t="shared" ref="Z11:AA11" si="63">Z10+40</f>
        <v>1350</v>
      </c>
      <c r="AA11" s="160">
        <f t="shared" si="63"/>
        <v>1350</v>
      </c>
      <c r="AB11" s="160">
        <f t="shared" ref="AB11:AC11" si="64">AB10+40</f>
        <v>1350</v>
      </c>
      <c r="AC11" s="160">
        <f t="shared" si="64"/>
        <v>1350</v>
      </c>
      <c r="AD11" s="160">
        <f t="shared" si="1"/>
        <v>1350</v>
      </c>
      <c r="AE11" s="160">
        <f t="shared" si="9"/>
        <v>1350</v>
      </c>
      <c r="AF11" s="160">
        <f t="shared" si="2"/>
        <v>1350</v>
      </c>
      <c r="AG11" s="160">
        <f>+SUM(FB11:FE11)/COUNT(FB11:FE11)</f>
        <v>1350</v>
      </c>
      <c r="AH11" s="160">
        <f t="shared" si="60"/>
        <v>1350</v>
      </c>
      <c r="AI11" s="160">
        <f t="shared" si="60"/>
        <v>1350</v>
      </c>
      <c r="AJ11" s="160">
        <f t="shared" si="60"/>
        <v>1350</v>
      </c>
      <c r="AK11" s="160">
        <f t="shared" si="60"/>
        <v>1350</v>
      </c>
      <c r="AL11" s="160">
        <f t="shared" si="60"/>
        <v>1350</v>
      </c>
      <c r="AM11" s="160">
        <f t="shared" si="60"/>
        <v>1350</v>
      </c>
      <c r="AN11" s="160">
        <f t="shared" si="60"/>
        <v>1350</v>
      </c>
      <c r="AO11" s="160">
        <f t="shared" si="60"/>
        <v>1350</v>
      </c>
      <c r="AP11" s="160">
        <f t="shared" si="60"/>
        <v>1350</v>
      </c>
      <c r="AQ11" s="160">
        <f t="shared" si="60"/>
        <v>1350</v>
      </c>
      <c r="AR11" s="160">
        <f t="shared" si="60"/>
        <v>1350</v>
      </c>
      <c r="AS11" s="160">
        <f t="shared" si="60"/>
        <v>1350</v>
      </c>
      <c r="AT11" s="160">
        <f t="shared" si="60"/>
        <v>1350</v>
      </c>
      <c r="AU11" s="160">
        <f t="shared" si="60"/>
        <v>1350</v>
      </c>
      <c r="AV11" s="160"/>
      <c r="AW11" s="160"/>
      <c r="AX11" s="160"/>
      <c r="AY11" s="160"/>
      <c r="BA11" s="4"/>
      <c r="BB11" s="8"/>
      <c r="BC11" s="8" t="s">
        <v>103</v>
      </c>
      <c r="BD11" s="24"/>
      <c r="BE11" s="137">
        <f>BE10+40</f>
        <v>1350</v>
      </c>
      <c r="BF11" s="137">
        <f t="shared" ref="BF11:CB11" si="65">BF10+40</f>
        <v>1350</v>
      </c>
      <c r="BG11" s="137">
        <f t="shared" si="65"/>
        <v>1350</v>
      </c>
      <c r="BH11" s="137">
        <f t="shared" si="65"/>
        <v>1350</v>
      </c>
      <c r="BI11" s="137">
        <f t="shared" si="65"/>
        <v>1350</v>
      </c>
      <c r="BJ11" s="137">
        <f t="shared" si="65"/>
        <v>1350</v>
      </c>
      <c r="BK11" s="137">
        <f t="shared" si="65"/>
        <v>1350</v>
      </c>
      <c r="BL11" s="137">
        <f t="shared" si="65"/>
        <v>1350</v>
      </c>
      <c r="BM11" s="137">
        <f t="shared" si="65"/>
        <v>1350</v>
      </c>
      <c r="BN11" s="137">
        <f t="shared" si="65"/>
        <v>1350</v>
      </c>
      <c r="BO11" s="137">
        <f t="shared" si="65"/>
        <v>1350</v>
      </c>
      <c r="BP11" s="137">
        <f t="shared" si="65"/>
        <v>1350</v>
      </c>
      <c r="BQ11" s="137">
        <f t="shared" si="65"/>
        <v>1350</v>
      </c>
      <c r="BR11" s="137">
        <f t="shared" si="65"/>
        <v>1350</v>
      </c>
      <c r="BS11" s="24">
        <f t="shared" si="65"/>
        <v>1350</v>
      </c>
      <c r="BT11" s="24">
        <f t="shared" si="65"/>
        <v>1350</v>
      </c>
      <c r="BU11" s="24">
        <f t="shared" si="65"/>
        <v>1350</v>
      </c>
      <c r="BV11" s="24">
        <f t="shared" si="65"/>
        <v>1350</v>
      </c>
      <c r="BW11" s="24">
        <f t="shared" si="65"/>
        <v>1350</v>
      </c>
      <c r="BX11" s="24">
        <f t="shared" si="65"/>
        <v>1350</v>
      </c>
      <c r="BY11" s="24">
        <f t="shared" si="65"/>
        <v>1350</v>
      </c>
      <c r="BZ11" s="24">
        <f t="shared" si="65"/>
        <v>1350</v>
      </c>
      <c r="CA11" s="24">
        <f t="shared" si="65"/>
        <v>1350</v>
      </c>
      <c r="CB11" s="24">
        <f t="shared" si="65"/>
        <v>1350</v>
      </c>
      <c r="CC11" s="24">
        <f t="shared" ref="CC11:CH11" si="66">CC10+40</f>
        <v>1350</v>
      </c>
      <c r="CD11" s="24">
        <f t="shared" si="66"/>
        <v>1350</v>
      </c>
      <c r="CE11" s="24">
        <f t="shared" si="66"/>
        <v>1350</v>
      </c>
      <c r="CF11" s="24">
        <f t="shared" si="66"/>
        <v>1350</v>
      </c>
      <c r="CG11" s="24">
        <f t="shared" si="66"/>
        <v>1350</v>
      </c>
      <c r="CH11" s="24">
        <f t="shared" si="66"/>
        <v>1350</v>
      </c>
      <c r="CI11" s="24">
        <f t="shared" ref="CI11:CT11" si="67">CI10+40</f>
        <v>1350</v>
      </c>
      <c r="CJ11" s="24">
        <f t="shared" si="67"/>
        <v>1350</v>
      </c>
      <c r="CK11" s="24">
        <f t="shared" si="67"/>
        <v>1350</v>
      </c>
      <c r="CL11" s="24">
        <f t="shared" si="67"/>
        <v>1350</v>
      </c>
      <c r="CM11" s="24">
        <f t="shared" si="67"/>
        <v>1350</v>
      </c>
      <c r="CN11" s="24">
        <f t="shared" si="67"/>
        <v>1350</v>
      </c>
      <c r="CO11" s="24">
        <f t="shared" si="67"/>
        <v>1350</v>
      </c>
      <c r="CP11" s="24">
        <f t="shared" si="67"/>
        <v>1350</v>
      </c>
      <c r="CQ11" s="24">
        <f t="shared" si="67"/>
        <v>1350</v>
      </c>
      <c r="CR11" s="24">
        <f t="shared" si="67"/>
        <v>1350</v>
      </c>
      <c r="CS11" s="24">
        <f t="shared" si="67"/>
        <v>1350</v>
      </c>
      <c r="CT11" s="24">
        <f t="shared" si="67"/>
        <v>1350</v>
      </c>
      <c r="CU11" s="24">
        <f t="shared" ref="CU11:CV11" si="68">CU10+40</f>
        <v>1350</v>
      </c>
      <c r="CV11" s="24">
        <f t="shared" si="68"/>
        <v>1350</v>
      </c>
      <c r="CW11" s="24">
        <f t="shared" ref="CW11:CX11" si="69">CW10+40</f>
        <v>1350</v>
      </c>
      <c r="CX11" s="24">
        <f t="shared" si="69"/>
        <v>1350</v>
      </c>
      <c r="CY11" s="24">
        <f t="shared" ref="CY11:CZ11" si="70">CY10+40</f>
        <v>1350</v>
      </c>
      <c r="CZ11" s="24">
        <f t="shared" si="70"/>
        <v>1350</v>
      </c>
      <c r="DA11" s="24">
        <f t="shared" ref="DA11:DC11" si="71">DA10+40</f>
        <v>1350</v>
      </c>
      <c r="DB11" s="24">
        <f t="shared" si="71"/>
        <v>1350</v>
      </c>
      <c r="DC11" s="24">
        <f t="shared" si="71"/>
        <v>1350</v>
      </c>
      <c r="DD11" s="24">
        <f t="shared" ref="DD11:DE11" si="72">DD10+40</f>
        <v>1350</v>
      </c>
      <c r="DE11" s="24">
        <f t="shared" si="72"/>
        <v>1350</v>
      </c>
      <c r="DF11" s="24">
        <f t="shared" ref="DF11:DG11" si="73">DF10+40</f>
        <v>1350</v>
      </c>
      <c r="DG11" s="24">
        <f t="shared" si="73"/>
        <v>1350</v>
      </c>
      <c r="DH11" s="24">
        <f t="shared" ref="DH11:DI11" si="74">DH10+40</f>
        <v>1350</v>
      </c>
      <c r="DI11" s="24">
        <f t="shared" si="74"/>
        <v>1350</v>
      </c>
      <c r="DJ11" s="24">
        <f t="shared" ref="DJ11:DK11" si="75">DJ10+40</f>
        <v>1350</v>
      </c>
      <c r="DK11" s="24">
        <f t="shared" si="75"/>
        <v>1350</v>
      </c>
      <c r="DL11" s="24">
        <f t="shared" ref="DL11:DM11" si="76">DL10+40</f>
        <v>1350</v>
      </c>
      <c r="DM11" s="24">
        <f t="shared" si="76"/>
        <v>1350</v>
      </c>
      <c r="DN11" s="24">
        <f t="shared" ref="DN11:DO11" si="77">DN10+40</f>
        <v>1350</v>
      </c>
      <c r="DO11" s="24">
        <f t="shared" si="77"/>
        <v>1350</v>
      </c>
      <c r="DP11" s="24">
        <f t="shared" ref="DP11:DU11" si="78">DP10+40</f>
        <v>1350</v>
      </c>
      <c r="DQ11" s="24">
        <f t="shared" si="78"/>
        <v>1350</v>
      </c>
      <c r="DR11" s="24">
        <f t="shared" si="78"/>
        <v>1350</v>
      </c>
      <c r="DS11" s="24">
        <f t="shared" si="78"/>
        <v>1350</v>
      </c>
      <c r="DT11" s="24">
        <f t="shared" si="78"/>
        <v>1350</v>
      </c>
      <c r="DU11" s="24">
        <f t="shared" si="78"/>
        <v>1350</v>
      </c>
      <c r="DV11" s="24">
        <f t="shared" ref="DV11:DW11" si="79">DV10+40</f>
        <v>1350</v>
      </c>
      <c r="DW11" s="24">
        <f t="shared" si="79"/>
        <v>1350</v>
      </c>
      <c r="DX11" s="24">
        <f t="shared" ref="DX11:DY11" si="80">DX10+40</f>
        <v>1350</v>
      </c>
      <c r="DY11" s="24">
        <f t="shared" si="80"/>
        <v>1350</v>
      </c>
      <c r="DZ11" s="24">
        <f t="shared" ref="DZ11:EA11" si="81">DZ10+40</f>
        <v>1350</v>
      </c>
      <c r="EA11" s="24">
        <f t="shared" si="81"/>
        <v>1350</v>
      </c>
      <c r="EB11" s="24">
        <f t="shared" ref="EB11:ED11" si="82">EB10+40</f>
        <v>1350</v>
      </c>
      <c r="EC11" s="24">
        <f t="shared" si="82"/>
        <v>1350</v>
      </c>
      <c r="ED11" s="24">
        <f t="shared" si="82"/>
        <v>1350</v>
      </c>
      <c r="EE11" s="24">
        <f t="shared" ref="EE11:EF11" si="83">EE10+40</f>
        <v>1350</v>
      </c>
      <c r="EF11" s="24">
        <f t="shared" si="83"/>
        <v>1350</v>
      </c>
      <c r="EG11" s="24">
        <f t="shared" ref="EG11:EH11" si="84">EG10+40</f>
        <v>1350</v>
      </c>
      <c r="EH11" s="24">
        <f t="shared" si="84"/>
        <v>1350</v>
      </c>
      <c r="EI11" s="24">
        <f t="shared" ref="EI11:EJ11" si="85">EI10+40</f>
        <v>1350</v>
      </c>
      <c r="EJ11" s="24">
        <f t="shared" si="85"/>
        <v>1350</v>
      </c>
      <c r="EK11" s="24">
        <f t="shared" ref="EK11:EL11" si="86">EK10+40</f>
        <v>1350</v>
      </c>
      <c r="EL11" s="24">
        <f t="shared" si="86"/>
        <v>1350</v>
      </c>
      <c r="EM11" s="24">
        <f t="shared" ref="EM11:EN11" si="87">EM10+40</f>
        <v>1350</v>
      </c>
      <c r="EN11" s="24">
        <f t="shared" si="87"/>
        <v>1350</v>
      </c>
      <c r="EO11" s="24">
        <f t="shared" ref="EO11:EP11" si="88">EO10+40</f>
        <v>1350</v>
      </c>
      <c r="EP11" s="24">
        <f t="shared" si="88"/>
        <v>1350</v>
      </c>
      <c r="EQ11" s="24">
        <f t="shared" ref="EQ11:ER11" si="89">EQ10+40</f>
        <v>1350</v>
      </c>
      <c r="ER11" s="24">
        <f t="shared" si="89"/>
        <v>1350</v>
      </c>
      <c r="ES11" s="24">
        <f t="shared" ref="ES11:EW11" si="90">ES10+40</f>
        <v>1350</v>
      </c>
      <c r="ET11" s="24">
        <f t="shared" si="90"/>
        <v>1350</v>
      </c>
      <c r="EU11" s="24">
        <f t="shared" si="90"/>
        <v>1350</v>
      </c>
      <c r="EV11" s="24">
        <f t="shared" si="90"/>
        <v>1350</v>
      </c>
      <c r="EW11" s="24">
        <f t="shared" si="90"/>
        <v>1350</v>
      </c>
      <c r="EX11" s="24">
        <f t="shared" ref="EX11:FA11" si="91">EX10+40</f>
        <v>1350</v>
      </c>
      <c r="EY11" s="24">
        <f t="shared" si="91"/>
        <v>1350</v>
      </c>
      <c r="EZ11" s="24">
        <f t="shared" si="91"/>
        <v>1350</v>
      </c>
      <c r="FA11" s="24">
        <f t="shared" si="91"/>
        <v>1350</v>
      </c>
      <c r="FB11" s="24">
        <f t="shared" ref="FB11:FC11" si="92">FB10+40</f>
        <v>1350</v>
      </c>
      <c r="FC11" s="24">
        <f t="shared" si="92"/>
        <v>1350</v>
      </c>
      <c r="FD11" s="24">
        <f t="shared" ref="FD11:FE11" si="93">FD10+40</f>
        <v>1350</v>
      </c>
      <c r="FE11" s="24">
        <f t="shared" si="93"/>
        <v>1350</v>
      </c>
      <c r="FF11" s="24">
        <f t="shared" ref="FF11:FG11" si="94">FF10+40</f>
        <v>1350</v>
      </c>
      <c r="FG11" s="24">
        <f t="shared" si="94"/>
        <v>1350</v>
      </c>
      <c r="FH11" s="24">
        <f t="shared" ref="FH11:FI11" si="95">FH10+40</f>
        <v>1350</v>
      </c>
      <c r="FI11" s="24">
        <f t="shared" si="95"/>
        <v>1350</v>
      </c>
      <c r="FJ11" s="24">
        <f t="shared" ref="FJ11:FM11" si="96">FJ10+40</f>
        <v>1350</v>
      </c>
      <c r="FK11" s="24">
        <f t="shared" si="96"/>
        <v>1350</v>
      </c>
      <c r="FL11" s="24">
        <f t="shared" si="96"/>
        <v>1350</v>
      </c>
      <c r="FM11" s="24">
        <f t="shared" si="96"/>
        <v>1350</v>
      </c>
      <c r="FN11" s="24">
        <f t="shared" ref="FN11:FQ11" si="97">FN10+40</f>
        <v>1350</v>
      </c>
      <c r="FO11" s="24">
        <f t="shared" si="97"/>
        <v>1350</v>
      </c>
      <c r="FP11" s="24">
        <f t="shared" si="97"/>
        <v>1350</v>
      </c>
      <c r="FQ11" s="24">
        <f t="shared" si="97"/>
        <v>1350</v>
      </c>
      <c r="FR11" s="24">
        <f t="shared" ref="FR11:FV11" si="98">FR10+40</f>
        <v>1350</v>
      </c>
      <c r="FS11" s="24">
        <f t="shared" si="98"/>
        <v>1350</v>
      </c>
      <c r="FT11" s="24">
        <f t="shared" si="98"/>
        <v>1350</v>
      </c>
      <c r="FU11" s="24">
        <f t="shared" si="98"/>
        <v>1350</v>
      </c>
      <c r="FV11" s="24">
        <f t="shared" si="98"/>
        <v>1350</v>
      </c>
      <c r="FW11" s="24">
        <f t="shared" ref="FW11:FZ11" si="99">FW10+40</f>
        <v>1350</v>
      </c>
      <c r="FX11" s="24">
        <f t="shared" si="99"/>
        <v>1350</v>
      </c>
      <c r="FY11" s="24">
        <f t="shared" si="99"/>
        <v>1350</v>
      </c>
      <c r="FZ11" s="24">
        <f t="shared" si="99"/>
        <v>1350</v>
      </c>
      <c r="GA11" s="24">
        <f t="shared" ref="GA11:GE11" si="100">GA10+40</f>
        <v>1350</v>
      </c>
      <c r="GB11" s="24">
        <f t="shared" si="100"/>
        <v>1350</v>
      </c>
      <c r="GC11" s="24">
        <f t="shared" si="100"/>
        <v>1350</v>
      </c>
      <c r="GD11" s="24">
        <f t="shared" si="100"/>
        <v>1350</v>
      </c>
      <c r="GE11" s="24">
        <f t="shared" si="100"/>
        <v>1350</v>
      </c>
      <c r="GF11" s="24">
        <f t="shared" ref="GF11:GI11" si="101">GF10+40</f>
        <v>1350</v>
      </c>
      <c r="GG11" s="24">
        <f t="shared" si="101"/>
        <v>1350</v>
      </c>
      <c r="GH11" s="24">
        <f t="shared" si="101"/>
        <v>1350</v>
      </c>
      <c r="GI11" s="24">
        <f t="shared" si="101"/>
        <v>1350</v>
      </c>
      <c r="GJ11" s="24">
        <f t="shared" ref="GJ11:GL11" si="102">GJ10+40</f>
        <v>1350</v>
      </c>
      <c r="GK11" s="24">
        <f t="shared" si="102"/>
        <v>1350</v>
      </c>
      <c r="GL11" s="24">
        <f t="shared" si="102"/>
        <v>1350</v>
      </c>
      <c r="GM11" s="24">
        <f t="shared" ref="GM11:GR11" si="103">GM10+40</f>
        <v>1350</v>
      </c>
      <c r="GN11" s="24">
        <f t="shared" si="103"/>
        <v>1350</v>
      </c>
      <c r="GO11" s="24">
        <f t="shared" si="103"/>
        <v>1350</v>
      </c>
      <c r="GP11" s="24">
        <f t="shared" si="103"/>
        <v>1350</v>
      </c>
      <c r="GQ11" s="24">
        <f t="shared" si="103"/>
        <v>1350</v>
      </c>
      <c r="GR11" s="24">
        <f t="shared" si="103"/>
        <v>1350</v>
      </c>
      <c r="GS11" s="24">
        <f t="shared" ref="GS11:GV11" si="104">GS10+40</f>
        <v>1350</v>
      </c>
      <c r="GT11" s="24">
        <f t="shared" si="104"/>
        <v>1350</v>
      </c>
      <c r="GU11" s="24">
        <f t="shared" si="104"/>
        <v>1350</v>
      </c>
      <c r="GV11" s="24">
        <f t="shared" si="104"/>
        <v>1350</v>
      </c>
      <c r="GW11" s="24">
        <f t="shared" ref="GW11:GZ11" si="105">GW10+40</f>
        <v>1350</v>
      </c>
      <c r="GX11" s="24">
        <f t="shared" si="105"/>
        <v>1350</v>
      </c>
      <c r="GY11" s="24">
        <f t="shared" si="105"/>
        <v>1350</v>
      </c>
      <c r="GZ11" s="24">
        <f t="shared" si="105"/>
        <v>1350</v>
      </c>
      <c r="HA11" s="24">
        <f t="shared" ref="HA11:HE11" si="106">HA10+40</f>
        <v>1350</v>
      </c>
      <c r="HB11" s="24">
        <f t="shared" si="106"/>
        <v>1350</v>
      </c>
      <c r="HC11" s="24">
        <f t="shared" si="106"/>
        <v>1350</v>
      </c>
      <c r="HD11" s="24">
        <f t="shared" si="106"/>
        <v>1350</v>
      </c>
      <c r="HE11" s="24">
        <f t="shared" si="106"/>
        <v>1350</v>
      </c>
      <c r="HN11" s="185"/>
      <c r="HO11" s="185"/>
      <c r="HP11" s="185"/>
      <c r="HQ11" s="185"/>
      <c r="HR11" s="185"/>
      <c r="HS11" s="185"/>
      <c r="HT11" s="185"/>
      <c r="HU11" s="185"/>
      <c r="HV11" s="185"/>
      <c r="HW11" s="185"/>
      <c r="HX11" s="185"/>
      <c r="HY11" s="185"/>
      <c r="HZ11" s="185"/>
      <c r="IA11" s="185"/>
      <c r="IB11" s="185"/>
      <c r="IC11" s="185"/>
      <c r="ID11" s="185"/>
      <c r="IE11" s="185"/>
    </row>
    <row r="12" spans="1:239" s="13" customFormat="1" ht="14" hidden="1">
      <c r="A12" s="54">
        <v>9</v>
      </c>
      <c r="B12" s="55"/>
      <c r="C12" s="55"/>
      <c r="D12" s="106" t="s">
        <v>37</v>
      </c>
      <c r="E12" s="55" t="s">
        <v>38</v>
      </c>
      <c r="F12" s="55" t="s">
        <v>131</v>
      </c>
      <c r="G12" s="54" t="s">
        <v>24</v>
      </c>
      <c r="H12" s="111" t="str">
        <f>F12</f>
        <v>Hạt rHD ép (Châu Âu)-ICIS</v>
      </c>
      <c r="I12" s="129">
        <f>+SUM(BE12:BH12)/COUNT(BE12:BH12)</f>
        <v>1808.0749999999998</v>
      </c>
      <c r="J12" s="129">
        <f>+SUM(BI12:BL12)/COUNT(BI12:BL12)</f>
        <v>1790.9825000000001</v>
      </c>
      <c r="K12" s="129">
        <f>+SUM(BM12:BQ12)/COUNT(BM12:BQ12)</f>
        <v>1811.1759999999999</v>
      </c>
      <c r="L12" s="129">
        <f>+SUM(BR12:BU12)/COUNT(BR12:BU12)</f>
        <v>1850.0975000000001</v>
      </c>
      <c r="M12" s="129">
        <f>+SUM(BV12:BY12)/COUNT(BV12:BY12)</f>
        <v>1812.9749999999999</v>
      </c>
      <c r="N12" s="129">
        <f>+SUM(BZ12:CC12)/COUNT(BZ12:CC12)</f>
        <v>1828.0925</v>
      </c>
      <c r="O12" s="129">
        <f>+SUM(CD12:CG12)/COUNT(CD12:CG12)</f>
        <v>1851.3874999999998</v>
      </c>
      <c r="P12" s="129">
        <f>+SUM(CH12:CL12)/COUNT(CH12:CL12)</f>
        <v>1836.61</v>
      </c>
      <c r="Q12" s="129">
        <f>+SUM(CM12:CP12)/COUNT(CM12:CP12)</f>
        <v>1800.0174999999999</v>
      </c>
      <c r="R12" s="129">
        <f>+SUM(CQ12:CT12)/COUNT(CQ12:CT12)</f>
        <v>1790.5</v>
      </c>
      <c r="S12" s="161">
        <f>+SUM(CU12:CX12)/COUNT(CU12:CX12)</f>
        <v>1790.5</v>
      </c>
      <c r="T12" s="161">
        <f>+SUM(CY12:DC12)/COUNT(CY12:DC12)</f>
        <v>1790.5</v>
      </c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BA12" s="54" t="s">
        <v>37</v>
      </c>
      <c r="BB12" s="55" t="s">
        <v>38</v>
      </c>
      <c r="BC12" s="111" t="str">
        <f>H12</f>
        <v>Hạt rHD ép (Châu Âu)-ICIS</v>
      </c>
      <c r="BD12" s="114" t="e">
        <f>#REF!</f>
        <v>#REF!</v>
      </c>
      <c r="BE12" s="129">
        <v>1766.9</v>
      </c>
      <c r="BF12" s="129">
        <v>1815.71</v>
      </c>
      <c r="BG12" s="129">
        <v>1812.54</v>
      </c>
      <c r="BH12" s="129">
        <v>1837.15</v>
      </c>
      <c r="BI12" s="129">
        <v>1808.07</v>
      </c>
      <c r="BJ12" s="129">
        <v>1793.1</v>
      </c>
      <c r="BK12" s="129">
        <v>1780.19</v>
      </c>
      <c r="BL12" s="129">
        <v>1782.57</v>
      </c>
      <c r="BM12" s="129">
        <v>1775.65</v>
      </c>
      <c r="BN12" s="129">
        <v>1784.19</v>
      </c>
      <c r="BO12" s="129">
        <v>1829.54</v>
      </c>
      <c r="BP12" s="129">
        <v>1831.03</v>
      </c>
      <c r="BQ12" s="129">
        <v>1835.47</v>
      </c>
      <c r="BR12" s="129">
        <v>1857.14</v>
      </c>
      <c r="BS12" s="130">
        <v>1842.99</v>
      </c>
      <c r="BT12" s="130">
        <v>1850.83</v>
      </c>
      <c r="BU12" s="130">
        <v>1849.43</v>
      </c>
      <c r="BV12" s="130">
        <v>1833.85</v>
      </c>
      <c r="BW12" s="130">
        <v>1810.28</v>
      </c>
      <c r="BX12" s="130">
        <v>1801.57</v>
      </c>
      <c r="BY12" s="130">
        <v>1806.2</v>
      </c>
      <c r="BZ12" s="130">
        <v>1811.01</v>
      </c>
      <c r="CA12" s="130">
        <v>1836.62</v>
      </c>
      <c r="CB12" s="130">
        <v>1836.62</v>
      </c>
      <c r="CC12" s="58">
        <v>1828.12</v>
      </c>
      <c r="CD12" s="58">
        <v>1828.12</v>
      </c>
      <c r="CE12" s="58">
        <v>1826.4</v>
      </c>
      <c r="CF12" s="58">
        <v>1880.29</v>
      </c>
      <c r="CG12" s="58">
        <v>1870.74</v>
      </c>
      <c r="CH12" s="58">
        <v>1848.04</v>
      </c>
      <c r="CI12" s="58">
        <v>1838.9</v>
      </c>
      <c r="CJ12" s="58">
        <v>1850.63</v>
      </c>
      <c r="CK12" s="58">
        <v>1826.65</v>
      </c>
      <c r="CL12" s="102">
        <v>1818.83</v>
      </c>
      <c r="CM12" s="102">
        <v>1820.88</v>
      </c>
      <c r="CN12" s="102">
        <v>1798.19</v>
      </c>
      <c r="CO12" s="102">
        <v>1790.5</v>
      </c>
      <c r="CP12" s="102">
        <v>1790.5</v>
      </c>
      <c r="CQ12" s="102">
        <v>1790.5</v>
      </c>
      <c r="CR12" s="102">
        <v>1790.5</v>
      </c>
      <c r="CS12" s="102">
        <v>1790.5</v>
      </c>
      <c r="CT12" s="102">
        <v>1790.5</v>
      </c>
      <c r="CU12" s="102">
        <v>1790.5</v>
      </c>
      <c r="CV12" s="102">
        <v>1790.5</v>
      </c>
      <c r="CW12" s="102">
        <v>1790.5</v>
      </c>
      <c r="CX12" s="102">
        <v>1790.5</v>
      </c>
      <c r="CY12" s="102">
        <v>1790.5</v>
      </c>
      <c r="CZ12" s="102">
        <v>1790.5</v>
      </c>
      <c r="DA12" s="102">
        <v>1790.5</v>
      </c>
      <c r="DB12" s="102">
        <v>1790.5</v>
      </c>
      <c r="DC12" s="102">
        <v>1790.5</v>
      </c>
      <c r="DD12" s="102"/>
      <c r="DE12" s="102"/>
      <c r="DF12" s="102"/>
      <c r="DG12" s="102"/>
      <c r="DH12" s="102"/>
      <c r="DI12" s="102"/>
      <c r="DJ12" s="102"/>
      <c r="DK12" s="102"/>
      <c r="DL12" s="102"/>
      <c r="DM12" s="102"/>
      <c r="DN12" s="102"/>
      <c r="HN12" s="188"/>
      <c r="HO12" s="188"/>
      <c r="HP12" s="188"/>
      <c r="HQ12" s="188"/>
      <c r="HR12" s="188"/>
      <c r="HS12" s="188"/>
      <c r="HT12" s="188"/>
      <c r="HU12" s="188"/>
      <c r="HV12" s="188"/>
      <c r="HW12" s="188"/>
      <c r="HX12" s="188"/>
      <c r="HY12" s="188"/>
      <c r="HZ12" s="188"/>
      <c r="IA12" s="188"/>
      <c r="IB12" s="188"/>
      <c r="IC12" s="188"/>
      <c r="ID12" s="188"/>
      <c r="IE12" s="188"/>
    </row>
    <row r="13" spans="1:239" ht="14">
      <c r="D13" s="54" t="s">
        <v>41</v>
      </c>
      <c r="E13" s="25"/>
      <c r="F13" s="59" t="s">
        <v>130</v>
      </c>
      <c r="G13" s="54" t="s">
        <v>24</v>
      </c>
      <c r="H13" s="111" t="str">
        <f>F13</f>
        <v>RESIN</v>
      </c>
      <c r="I13" s="129">
        <f>+SUM(BE13:BH13)/COUNT(BE13:BH13)</f>
        <v>1017.5</v>
      </c>
      <c r="J13" s="129">
        <f>+SUM(BI13:BL13)/COUNT(BI13:BL13)</f>
        <v>1092.5</v>
      </c>
      <c r="K13" s="129">
        <f>+SUM(BM13:BQ13)/COUNT(BM13:BQ13)</f>
        <v>1068</v>
      </c>
      <c r="L13" s="129">
        <f>+SUM(BR13:BU13)/COUNT(BR13:BU13)</f>
        <v>1050</v>
      </c>
      <c r="M13" s="129">
        <f>+SUM(BV13:BY13)/COUNT(BV13:BY13)</f>
        <v>1042.5</v>
      </c>
      <c r="N13" s="129">
        <f>+SUM(BZ13:CC13)/COUNT(BZ13:CC13)</f>
        <v>970</v>
      </c>
      <c r="O13" s="129">
        <f>+SUM(CD13:CG13)/COUNT(CD13:CG13)</f>
        <v>960</v>
      </c>
      <c r="P13" s="129">
        <f>+SUM(CH13:CL13)/COUNT(CH13:CL13)</f>
        <v>1008</v>
      </c>
      <c r="Q13" s="129">
        <f>+SUM(CM13:CP13)/COUNT(CM13:CP13)</f>
        <v>1027.5</v>
      </c>
      <c r="R13" s="129">
        <f>+SUM(CQ13:CT13)/COUNT(CQ13:CT13)</f>
        <v>1020</v>
      </c>
      <c r="S13" s="161">
        <f>+SUM(CU13:CX13)/COUNT(CU13:CX13)</f>
        <v>955</v>
      </c>
      <c r="T13" s="161">
        <f>+SUM(CY13:DC13)/COUNT(CY13:DC13)</f>
        <v>900</v>
      </c>
      <c r="U13" s="161">
        <f>+SUM(DD13:DG13)/COUNT(DD13:DG13)</f>
        <v>947.5</v>
      </c>
      <c r="V13" s="161">
        <f>+SUM(DH13:DJ13)/COUNT(DH13:DJ13)</f>
        <v>1010</v>
      </c>
      <c r="W13" s="161">
        <f>+SUM(DK13:DN13)/COUNT(DK13:DN13)</f>
        <v>995</v>
      </c>
      <c r="X13" s="161">
        <f>+SUM(DO13:DR13)/COUNT(DO13:DR13)</f>
        <v>975</v>
      </c>
      <c r="Y13" s="169">
        <f>+SUM(DS13:DW13)/COUNT(DS13:DW13)</f>
        <v>956</v>
      </c>
      <c r="Z13" s="161">
        <f>+SUM(DX13:EA13)/COUNT(DX13:EA13)</f>
        <v>980</v>
      </c>
      <c r="AA13" s="161">
        <f>+SUM(EB13:EE13)/COUNT(EB13:EE13)</f>
        <v>975</v>
      </c>
      <c r="AB13" s="161">
        <f>+SUM(EF13:EJ13)/COUNT(EF13:EJ13)</f>
        <v>946</v>
      </c>
      <c r="AC13" s="161">
        <f>+SUM(EK13:EN13)/COUNT(EK13:EN13)</f>
        <v>932.5</v>
      </c>
      <c r="AD13" s="161">
        <f>+SUM(EP13:ER13)/COUNT(EP13:ER13)</f>
        <v>926.66666666666663</v>
      </c>
      <c r="AE13" s="161">
        <f t="shared" si="9"/>
        <v>940</v>
      </c>
      <c r="AF13" s="161">
        <f>+SUM(EX13:FA13)/COUNT(EX13:FA13)</f>
        <v>940</v>
      </c>
      <c r="AG13" s="161">
        <f>+SUM(FB13:FE13)/COUNT(FB13:FE13)</f>
        <v>940</v>
      </c>
      <c r="AH13" s="161">
        <f>+SUM(FF13:FJ13)/COUNT(FF13:FJ13)</f>
        <v>946</v>
      </c>
      <c r="AI13" s="161">
        <f>+SUM(FJ13:FM13)/COUNT(FJ13:FM13)</f>
        <v>940</v>
      </c>
      <c r="AJ13" s="169">
        <f>+SUM(FN13:FQ13)/COUNT(FN13:FQ13)</f>
        <v>905</v>
      </c>
      <c r="AK13" s="169">
        <f>+SUM(FR13:FV13)/COUNT(FR13:FV13)</f>
        <v>908</v>
      </c>
      <c r="AL13" s="169">
        <f>+SUM(FW13:FZ13)/COUNT(FW13:FZ13)</f>
        <v>915</v>
      </c>
      <c r="AM13" s="169">
        <f>+SUM(GA13:GE13)/COUNT(GA13:GE13)</f>
        <v>930</v>
      </c>
      <c r="AN13" s="169">
        <f>+SUM(GF13:GI13)/COUNT(GF13:GI13)</f>
        <v>930</v>
      </c>
      <c r="AO13" s="161">
        <f>+SUM(GJ13:GM13)/COUNT(GJ13:GM13)</f>
        <v>915</v>
      </c>
      <c r="AP13" s="169">
        <f>+SUM(GN13:GR13)/COUNT(GN13:GR13)</f>
        <v>870</v>
      </c>
      <c r="AQ13" s="161">
        <f>+SUM(GS13:GV13)/COUNT(GS13:GV13)</f>
        <v>840</v>
      </c>
      <c r="AR13" s="161">
        <f>+SUM(GW13:GZ13)/COUNT(GW13:GZ13)</f>
        <v>830</v>
      </c>
      <c r="AS13" s="161">
        <f>+SUM(HA13:HE13)/COUNT(HA13:HE13)</f>
        <v>830</v>
      </c>
      <c r="AT13" s="161">
        <f>+SUM(HF13:HI13)/COUNT(HF13:HI13)</f>
        <v>830</v>
      </c>
      <c r="AU13" s="161">
        <f>+SUM(HJ13:HM13)/COUNT(HJ13:HM13)</f>
        <v>1268.75</v>
      </c>
      <c r="AV13" s="161">
        <f>+SUM(HN13:HR13)/COUNT(HN13:HR13)</f>
        <v>1450</v>
      </c>
      <c r="AW13" s="161">
        <f>+SUM(HS13:HV13)/COUNT(HS13:HV13)</f>
        <v>1390</v>
      </c>
      <c r="AX13" s="161">
        <f>+SUM(HW13:HZ13)/COUNT(HW13:HZ13)</f>
        <v>1247.5</v>
      </c>
      <c r="AY13" s="161">
        <f>+SUM(IA13:IE13)/COUNT(IA13:IE13)</f>
        <v>1055</v>
      </c>
      <c r="AZ13" s="51"/>
      <c r="BA13" s="54" t="s">
        <v>41</v>
      </c>
      <c r="BB13" s="25"/>
      <c r="BC13" s="111" t="str">
        <f>H13</f>
        <v>RESIN</v>
      </c>
      <c r="BD13" s="56">
        <v>1000</v>
      </c>
      <c r="BE13" s="56">
        <v>940</v>
      </c>
      <c r="BF13" s="56">
        <v>1020</v>
      </c>
      <c r="BG13" s="56">
        <v>1030</v>
      </c>
      <c r="BH13" s="132">
        <v>1080</v>
      </c>
      <c r="BI13" s="132">
        <v>1100</v>
      </c>
      <c r="BJ13" s="132">
        <v>1100</v>
      </c>
      <c r="BK13" s="132">
        <v>1090</v>
      </c>
      <c r="BL13" s="132">
        <v>1080</v>
      </c>
      <c r="BM13" s="132">
        <v>1080</v>
      </c>
      <c r="BN13" s="132">
        <v>1070</v>
      </c>
      <c r="BO13" s="132">
        <v>1070</v>
      </c>
      <c r="BP13" s="132">
        <v>1070</v>
      </c>
      <c r="BQ13" s="132">
        <v>1050</v>
      </c>
      <c r="BR13" s="132">
        <v>1050</v>
      </c>
      <c r="BS13" s="132">
        <v>1050</v>
      </c>
      <c r="BT13" s="132">
        <v>1050</v>
      </c>
      <c r="BU13" s="132">
        <v>1050</v>
      </c>
      <c r="BV13" s="132">
        <v>1050</v>
      </c>
      <c r="BW13" s="132">
        <v>1050</v>
      </c>
      <c r="BX13" s="132">
        <v>1040</v>
      </c>
      <c r="BY13" s="132">
        <v>1030</v>
      </c>
      <c r="BZ13" s="132">
        <v>1030</v>
      </c>
      <c r="CA13" s="132">
        <v>950</v>
      </c>
      <c r="CB13" s="132">
        <v>950</v>
      </c>
      <c r="CC13" s="132">
        <v>950</v>
      </c>
      <c r="CD13" s="141">
        <v>950</v>
      </c>
      <c r="CE13" s="141">
        <v>950</v>
      </c>
      <c r="CF13" s="141">
        <v>970</v>
      </c>
      <c r="CG13" s="141">
        <v>970</v>
      </c>
      <c r="CH13" s="141">
        <v>1000</v>
      </c>
      <c r="CI13" s="141">
        <v>1000</v>
      </c>
      <c r="CJ13" s="141">
        <v>1000</v>
      </c>
      <c r="CK13" s="141">
        <v>1020</v>
      </c>
      <c r="CL13" s="147">
        <v>1020</v>
      </c>
      <c r="CM13" s="147">
        <v>1020</v>
      </c>
      <c r="CN13" s="147">
        <v>1030</v>
      </c>
      <c r="CO13" s="147">
        <v>1030</v>
      </c>
      <c r="CP13" s="147">
        <v>1030</v>
      </c>
      <c r="CQ13" s="147">
        <v>1030</v>
      </c>
      <c r="CR13" s="147">
        <v>1030</v>
      </c>
      <c r="CS13" s="147">
        <v>1020</v>
      </c>
      <c r="CT13" s="147">
        <v>1000</v>
      </c>
      <c r="CU13" s="147">
        <v>980</v>
      </c>
      <c r="CV13" s="147">
        <v>960</v>
      </c>
      <c r="CW13" s="147">
        <v>940</v>
      </c>
      <c r="CX13" s="147">
        <v>940</v>
      </c>
      <c r="CY13" s="147">
        <v>900</v>
      </c>
      <c r="CZ13" s="147">
        <v>900</v>
      </c>
      <c r="DA13" s="147">
        <v>900</v>
      </c>
      <c r="DB13" s="147">
        <v>900</v>
      </c>
      <c r="DC13" s="147">
        <v>900</v>
      </c>
      <c r="DD13" s="147">
        <v>900</v>
      </c>
      <c r="DE13" s="147">
        <v>930</v>
      </c>
      <c r="DF13" s="147">
        <v>930</v>
      </c>
      <c r="DG13" s="147">
        <v>1030</v>
      </c>
      <c r="DH13" s="147">
        <v>1030</v>
      </c>
      <c r="DI13" s="147">
        <v>1000</v>
      </c>
      <c r="DJ13" s="147">
        <v>1000</v>
      </c>
      <c r="DK13" s="147">
        <v>1000</v>
      </c>
      <c r="DL13" s="147">
        <v>1000</v>
      </c>
      <c r="DM13" s="147">
        <v>1000</v>
      </c>
      <c r="DN13" s="147">
        <v>980</v>
      </c>
      <c r="DO13" s="147">
        <v>980</v>
      </c>
      <c r="DP13" s="147">
        <v>980</v>
      </c>
      <c r="DQ13" s="147">
        <v>980</v>
      </c>
      <c r="DR13" s="147">
        <v>960</v>
      </c>
      <c r="DS13" s="147">
        <v>950</v>
      </c>
      <c r="DT13" s="147">
        <v>950</v>
      </c>
      <c r="DU13" s="147">
        <v>950</v>
      </c>
      <c r="DV13" s="147">
        <v>950</v>
      </c>
      <c r="DW13" s="147">
        <v>980</v>
      </c>
      <c r="DX13" s="147">
        <v>980</v>
      </c>
      <c r="DY13" s="147">
        <v>980</v>
      </c>
      <c r="DZ13" s="147">
        <v>980</v>
      </c>
      <c r="EA13" s="147">
        <v>980</v>
      </c>
      <c r="EB13" s="147">
        <v>980</v>
      </c>
      <c r="EC13" s="147">
        <v>980</v>
      </c>
      <c r="ED13" s="147">
        <v>980</v>
      </c>
      <c r="EE13" s="147">
        <v>960</v>
      </c>
      <c r="EF13" s="147">
        <v>950</v>
      </c>
      <c r="EG13" s="147">
        <v>950</v>
      </c>
      <c r="EH13" s="147">
        <v>950</v>
      </c>
      <c r="EI13" s="147">
        <v>940</v>
      </c>
      <c r="EJ13" s="147">
        <v>940</v>
      </c>
      <c r="EK13" s="147">
        <v>940</v>
      </c>
      <c r="EL13" s="147">
        <v>930</v>
      </c>
      <c r="EM13" s="147">
        <v>930</v>
      </c>
      <c r="EN13" s="147">
        <v>930</v>
      </c>
      <c r="EO13" s="147">
        <v>920</v>
      </c>
      <c r="EP13" s="147">
        <v>920</v>
      </c>
      <c r="EQ13" s="147">
        <v>920</v>
      </c>
      <c r="ER13" s="147">
        <v>940</v>
      </c>
      <c r="ES13" s="147">
        <v>940</v>
      </c>
      <c r="ET13" s="147">
        <v>940</v>
      </c>
      <c r="EU13" s="147">
        <v>940</v>
      </c>
      <c r="EV13" s="147">
        <v>940</v>
      </c>
      <c r="EW13" s="147">
        <v>940</v>
      </c>
      <c r="EX13" s="147">
        <v>940</v>
      </c>
      <c r="EY13" s="147">
        <v>940</v>
      </c>
      <c r="EZ13" s="147">
        <v>940</v>
      </c>
      <c r="FA13" s="147">
        <v>940</v>
      </c>
      <c r="FB13" s="147">
        <v>940</v>
      </c>
      <c r="FC13" s="147">
        <v>940</v>
      </c>
      <c r="FD13" s="147">
        <v>940</v>
      </c>
      <c r="FE13" s="147">
        <v>940</v>
      </c>
      <c r="FF13" s="147">
        <v>940</v>
      </c>
      <c r="FG13" s="147">
        <v>940</v>
      </c>
      <c r="FH13" s="147">
        <v>950</v>
      </c>
      <c r="FI13" s="147">
        <v>950</v>
      </c>
      <c r="FJ13" s="147">
        <v>950</v>
      </c>
      <c r="FK13" s="147">
        <v>950</v>
      </c>
      <c r="FL13" s="147">
        <v>950</v>
      </c>
      <c r="FM13" s="147">
        <v>910</v>
      </c>
      <c r="FN13" s="147">
        <v>910</v>
      </c>
      <c r="FO13" s="147">
        <v>900</v>
      </c>
      <c r="FP13" s="147">
        <v>900</v>
      </c>
      <c r="FQ13" s="147">
        <v>910</v>
      </c>
      <c r="FR13" s="147">
        <v>910</v>
      </c>
      <c r="FS13" s="147">
        <v>910</v>
      </c>
      <c r="FT13" s="147">
        <v>910</v>
      </c>
      <c r="FU13" s="147">
        <v>910</v>
      </c>
      <c r="FV13" s="147">
        <v>900</v>
      </c>
      <c r="FW13" s="147">
        <v>900</v>
      </c>
      <c r="FX13" s="147">
        <v>900</v>
      </c>
      <c r="FY13" s="147">
        <v>930</v>
      </c>
      <c r="FZ13" s="147">
        <v>930</v>
      </c>
      <c r="GA13" s="147">
        <v>930</v>
      </c>
      <c r="GB13" s="147">
        <v>930</v>
      </c>
      <c r="GC13" s="147">
        <v>930</v>
      </c>
      <c r="GD13" s="147">
        <v>930</v>
      </c>
      <c r="GE13" s="147">
        <v>930</v>
      </c>
      <c r="GF13" s="147">
        <v>930</v>
      </c>
      <c r="GG13" s="147">
        <v>930</v>
      </c>
      <c r="GH13" s="147">
        <v>930</v>
      </c>
      <c r="GI13" s="147">
        <v>930</v>
      </c>
      <c r="GJ13" s="147">
        <v>930</v>
      </c>
      <c r="GK13" s="147">
        <v>930</v>
      </c>
      <c r="GL13" s="147">
        <v>930</v>
      </c>
      <c r="GM13" s="147">
        <v>870</v>
      </c>
      <c r="GN13" s="147">
        <v>870</v>
      </c>
      <c r="GO13" s="147">
        <v>870</v>
      </c>
      <c r="GP13" s="147">
        <v>870</v>
      </c>
      <c r="GQ13" s="147">
        <v>870</v>
      </c>
      <c r="GR13" s="147">
        <v>870</v>
      </c>
      <c r="GS13" s="147">
        <v>870</v>
      </c>
      <c r="GT13" s="147">
        <v>830</v>
      </c>
      <c r="GU13" s="147">
        <v>830</v>
      </c>
      <c r="GV13" s="147">
        <v>830</v>
      </c>
      <c r="GW13" s="147">
        <v>830</v>
      </c>
      <c r="GX13" s="147">
        <v>830</v>
      </c>
      <c r="GY13" s="147">
        <v>830</v>
      </c>
      <c r="GZ13" s="147">
        <v>830</v>
      </c>
      <c r="HA13" s="147">
        <v>830</v>
      </c>
      <c r="HB13" s="147">
        <v>830</v>
      </c>
      <c r="HC13" s="147">
        <v>830</v>
      </c>
      <c r="HD13" s="147">
        <v>830</v>
      </c>
      <c r="HE13" s="147">
        <v>830</v>
      </c>
      <c r="HF13" s="147">
        <v>830</v>
      </c>
      <c r="HG13" s="147">
        <v>830</v>
      </c>
      <c r="HH13" s="147">
        <v>830</v>
      </c>
      <c r="HI13" s="147">
        <v>830</v>
      </c>
      <c r="HJ13" s="147">
        <v>975</v>
      </c>
      <c r="HK13" s="147">
        <v>1250</v>
      </c>
      <c r="HL13" s="147">
        <v>1400</v>
      </c>
      <c r="HM13" s="147">
        <v>1450</v>
      </c>
      <c r="HN13" s="189">
        <v>1450</v>
      </c>
      <c r="HO13" s="189">
        <v>1450</v>
      </c>
      <c r="HP13" s="189">
        <v>1450</v>
      </c>
      <c r="HQ13" s="189">
        <v>1450</v>
      </c>
      <c r="HR13" s="189">
        <v>1450</v>
      </c>
      <c r="HS13" s="189">
        <v>1450</v>
      </c>
      <c r="HT13" s="189">
        <v>1400</v>
      </c>
      <c r="HU13" s="189">
        <v>1380</v>
      </c>
      <c r="HV13" s="189">
        <v>1330</v>
      </c>
      <c r="HW13" s="189">
        <v>1300</v>
      </c>
      <c r="HX13" s="189">
        <v>1250</v>
      </c>
      <c r="HY13" s="189">
        <v>1220</v>
      </c>
      <c r="HZ13" s="189">
        <v>1220</v>
      </c>
      <c r="IA13" s="189">
        <v>1100</v>
      </c>
      <c r="IB13" s="189">
        <v>1010</v>
      </c>
      <c r="IC13" s="189"/>
      <c r="ID13" s="189"/>
      <c r="IE13" s="189"/>
    </row>
    <row r="14" spans="1:239" ht="14">
      <c r="F14" s="117"/>
      <c r="H14" s="117" t="s">
        <v>82</v>
      </c>
      <c r="I14" s="131">
        <f t="shared" ref="I14:O14" si="107">I13</f>
        <v>1017.5</v>
      </c>
      <c r="J14" s="131">
        <f t="shared" si="107"/>
        <v>1092.5</v>
      </c>
      <c r="K14" s="131">
        <f t="shared" si="107"/>
        <v>1068</v>
      </c>
      <c r="L14" s="131">
        <f t="shared" si="107"/>
        <v>1050</v>
      </c>
      <c r="M14" s="131">
        <f t="shared" si="107"/>
        <v>1042.5</v>
      </c>
      <c r="N14" s="131">
        <f t="shared" si="107"/>
        <v>970</v>
      </c>
      <c r="O14" s="131">
        <f t="shared" si="107"/>
        <v>960</v>
      </c>
      <c r="P14" s="131">
        <f t="shared" ref="P14:U14" si="108">P13</f>
        <v>1008</v>
      </c>
      <c r="Q14" s="131">
        <f t="shared" si="108"/>
        <v>1027.5</v>
      </c>
      <c r="R14" s="131">
        <f t="shared" si="108"/>
        <v>1020</v>
      </c>
      <c r="S14" s="131">
        <f t="shared" si="108"/>
        <v>955</v>
      </c>
      <c r="T14" s="131">
        <f t="shared" si="108"/>
        <v>900</v>
      </c>
      <c r="U14" s="131">
        <f t="shared" si="108"/>
        <v>947.5</v>
      </c>
      <c r="V14" s="131">
        <f t="shared" ref="V14:W14" si="109">V13</f>
        <v>1010</v>
      </c>
      <c r="W14" s="131">
        <f t="shared" si="109"/>
        <v>995</v>
      </c>
      <c r="X14" s="131">
        <f t="shared" ref="X14:Y14" si="110">X13</f>
        <v>975</v>
      </c>
      <c r="Y14" s="131">
        <f t="shared" si="110"/>
        <v>956</v>
      </c>
      <c r="Z14" s="131">
        <f t="shared" ref="Z14:AA14" si="111">Z13</f>
        <v>980</v>
      </c>
      <c r="AA14" s="131">
        <f t="shared" si="111"/>
        <v>975</v>
      </c>
      <c r="AB14" s="131">
        <f t="shared" ref="AB14:AC14" si="112">AB13</f>
        <v>946</v>
      </c>
      <c r="AC14" s="131">
        <f t="shared" si="112"/>
        <v>932.5</v>
      </c>
      <c r="AD14" s="131">
        <f t="shared" ref="AD14:AE14" si="113">AD13</f>
        <v>926.66666666666663</v>
      </c>
      <c r="AE14" s="131">
        <f t="shared" si="113"/>
        <v>940</v>
      </c>
      <c r="AF14" s="131">
        <f t="shared" ref="AF14:AG14" si="114">AF13</f>
        <v>940</v>
      </c>
      <c r="AG14" s="131">
        <f t="shared" si="114"/>
        <v>940</v>
      </c>
      <c r="AH14" s="131">
        <f t="shared" ref="AH14:AI14" si="115">AH13</f>
        <v>946</v>
      </c>
      <c r="AI14" s="131">
        <f t="shared" si="115"/>
        <v>940</v>
      </c>
      <c r="AJ14" s="131">
        <f t="shared" ref="AJ14:AK14" si="116">AJ13</f>
        <v>905</v>
      </c>
      <c r="AK14" s="131">
        <f t="shared" si="116"/>
        <v>908</v>
      </c>
      <c r="AL14" s="131">
        <f t="shared" ref="AL14:AM14" si="117">AL13</f>
        <v>915</v>
      </c>
      <c r="AM14" s="131">
        <f t="shared" si="117"/>
        <v>930</v>
      </c>
      <c r="AN14" s="131">
        <f t="shared" ref="AN14:AS14" si="118">AN13</f>
        <v>930</v>
      </c>
      <c r="AO14" s="131">
        <f t="shared" si="118"/>
        <v>915</v>
      </c>
      <c r="AP14" s="131">
        <f t="shared" si="118"/>
        <v>870</v>
      </c>
      <c r="AQ14" s="131">
        <f t="shared" si="118"/>
        <v>840</v>
      </c>
      <c r="AR14" s="131">
        <f t="shared" si="118"/>
        <v>830</v>
      </c>
      <c r="AS14" s="131">
        <f t="shared" si="118"/>
        <v>830</v>
      </c>
      <c r="AT14" s="131">
        <f t="shared" ref="AT14:AU14" si="119">AT13</f>
        <v>830</v>
      </c>
      <c r="AU14" s="131">
        <f t="shared" si="119"/>
        <v>1268.75</v>
      </c>
      <c r="AV14" s="131">
        <f t="shared" ref="AV14" si="120">AV13</f>
        <v>1450</v>
      </c>
      <c r="AW14" s="131">
        <f>AW13</f>
        <v>1390</v>
      </c>
      <c r="AX14" s="131">
        <f>AX13</f>
        <v>1247.5</v>
      </c>
      <c r="AY14" s="131">
        <f>AY13</f>
        <v>1055</v>
      </c>
      <c r="BC14" s="117" t="s">
        <v>82</v>
      </c>
      <c r="BD14" s="41">
        <f t="shared" ref="BD14:CA14" si="121">BD13</f>
        <v>1000</v>
      </c>
      <c r="BE14" s="41">
        <f>BE13</f>
        <v>940</v>
      </c>
      <c r="BF14" s="41">
        <f t="shared" si="121"/>
        <v>1020</v>
      </c>
      <c r="BG14" s="41">
        <f t="shared" si="121"/>
        <v>1030</v>
      </c>
      <c r="BH14" s="41">
        <f t="shared" si="121"/>
        <v>1080</v>
      </c>
      <c r="BI14" s="41">
        <f t="shared" si="121"/>
        <v>1100</v>
      </c>
      <c r="BJ14" s="41">
        <f t="shared" si="121"/>
        <v>1100</v>
      </c>
      <c r="BK14" s="41">
        <f t="shared" si="121"/>
        <v>1090</v>
      </c>
      <c r="BL14" s="41">
        <f t="shared" si="121"/>
        <v>1080</v>
      </c>
      <c r="BM14" s="41">
        <f t="shared" si="121"/>
        <v>1080</v>
      </c>
      <c r="BN14" s="41">
        <f t="shared" si="121"/>
        <v>1070</v>
      </c>
      <c r="BO14" s="41">
        <f t="shared" si="121"/>
        <v>1070</v>
      </c>
      <c r="BP14" s="41">
        <f t="shared" si="121"/>
        <v>1070</v>
      </c>
      <c r="BQ14" s="41">
        <f t="shared" si="121"/>
        <v>1050</v>
      </c>
      <c r="BR14" s="41">
        <f t="shared" si="121"/>
        <v>1050</v>
      </c>
      <c r="BS14" s="41">
        <f t="shared" si="121"/>
        <v>1050</v>
      </c>
      <c r="BT14" s="41">
        <f t="shared" si="121"/>
        <v>1050</v>
      </c>
      <c r="BU14" s="41">
        <f t="shared" si="121"/>
        <v>1050</v>
      </c>
      <c r="BV14" s="41">
        <f t="shared" si="121"/>
        <v>1050</v>
      </c>
      <c r="BW14" s="41">
        <f t="shared" si="121"/>
        <v>1050</v>
      </c>
      <c r="BX14" s="41">
        <f t="shared" si="121"/>
        <v>1040</v>
      </c>
      <c r="BY14" s="41">
        <f t="shared" si="121"/>
        <v>1030</v>
      </c>
      <c r="BZ14" s="41">
        <f t="shared" si="121"/>
        <v>1030</v>
      </c>
      <c r="CA14" s="41">
        <f t="shared" si="121"/>
        <v>950</v>
      </c>
      <c r="CB14" s="41">
        <f t="shared" ref="CB14:CG14" si="122">CB13</f>
        <v>950</v>
      </c>
      <c r="CC14" s="41">
        <f t="shared" si="122"/>
        <v>950</v>
      </c>
      <c r="CD14" s="41">
        <f t="shared" si="122"/>
        <v>950</v>
      </c>
      <c r="CE14" s="41">
        <f t="shared" si="122"/>
        <v>950</v>
      </c>
      <c r="CF14" s="41">
        <f t="shared" si="122"/>
        <v>970</v>
      </c>
      <c r="CG14" s="41">
        <f t="shared" si="122"/>
        <v>970</v>
      </c>
      <c r="CH14" s="41">
        <f t="shared" ref="CH14:CT14" si="123">CH13</f>
        <v>1000</v>
      </c>
      <c r="CI14" s="41">
        <f t="shared" si="123"/>
        <v>1000</v>
      </c>
      <c r="CJ14" s="41">
        <f t="shared" si="123"/>
        <v>1000</v>
      </c>
      <c r="CK14" s="41">
        <f t="shared" si="123"/>
        <v>1020</v>
      </c>
      <c r="CL14" s="41">
        <f t="shared" si="123"/>
        <v>1020</v>
      </c>
      <c r="CM14" s="41">
        <f t="shared" si="123"/>
        <v>1020</v>
      </c>
      <c r="CN14" s="41">
        <f t="shared" si="123"/>
        <v>1030</v>
      </c>
      <c r="CO14" s="41">
        <f t="shared" si="123"/>
        <v>1030</v>
      </c>
      <c r="CP14" s="41">
        <f t="shared" si="123"/>
        <v>1030</v>
      </c>
      <c r="CQ14" s="41">
        <f t="shared" si="123"/>
        <v>1030</v>
      </c>
      <c r="CR14" s="41">
        <f t="shared" si="123"/>
        <v>1030</v>
      </c>
      <c r="CS14" s="41">
        <f t="shared" si="123"/>
        <v>1020</v>
      </c>
      <c r="CT14" s="41">
        <f t="shared" si="123"/>
        <v>1000</v>
      </c>
      <c r="CU14" s="41">
        <f t="shared" ref="CU14:CV14" si="124">CU13</f>
        <v>980</v>
      </c>
      <c r="CV14" s="41">
        <f t="shared" si="124"/>
        <v>960</v>
      </c>
      <c r="CW14" s="41">
        <f t="shared" ref="CW14:CX14" si="125">CW13</f>
        <v>940</v>
      </c>
      <c r="CX14" s="41">
        <f t="shared" si="125"/>
        <v>940</v>
      </c>
      <c r="CY14" s="41">
        <f t="shared" ref="CY14:CZ14" si="126">CY13</f>
        <v>900</v>
      </c>
      <c r="CZ14" s="41">
        <f t="shared" si="126"/>
        <v>900</v>
      </c>
      <c r="DA14" s="41">
        <f t="shared" ref="DA14:DB14" si="127">DA13</f>
        <v>900</v>
      </c>
      <c r="DB14" s="41">
        <f t="shared" si="127"/>
        <v>900</v>
      </c>
      <c r="DC14" s="41">
        <f t="shared" ref="DC14:DD14" si="128">DC13</f>
        <v>900</v>
      </c>
      <c r="DD14" s="41">
        <f t="shared" si="128"/>
        <v>900</v>
      </c>
      <c r="DE14" s="41">
        <f t="shared" ref="DE14:DF14" si="129">DE13</f>
        <v>930</v>
      </c>
      <c r="DF14" s="41">
        <f t="shared" si="129"/>
        <v>930</v>
      </c>
      <c r="DG14" s="41">
        <f t="shared" ref="DG14:DH14" si="130">DG13</f>
        <v>1030</v>
      </c>
      <c r="DH14" s="41">
        <f t="shared" si="130"/>
        <v>1030</v>
      </c>
      <c r="DI14" s="41">
        <f t="shared" ref="DI14:DJ14" si="131">DI13</f>
        <v>1000</v>
      </c>
      <c r="DJ14" s="41">
        <f t="shared" si="131"/>
        <v>1000</v>
      </c>
      <c r="DK14" s="41">
        <f t="shared" ref="DK14:DL14" si="132">DK13</f>
        <v>1000</v>
      </c>
      <c r="DL14" s="41">
        <f t="shared" si="132"/>
        <v>1000</v>
      </c>
      <c r="DM14" s="41">
        <f t="shared" ref="DM14:DN14" si="133">DM13</f>
        <v>1000</v>
      </c>
      <c r="DN14" s="41">
        <f t="shared" si="133"/>
        <v>980</v>
      </c>
      <c r="DO14" s="41">
        <f t="shared" ref="DO14:DP14" si="134">DO13</f>
        <v>980</v>
      </c>
      <c r="DP14" s="41">
        <f t="shared" si="134"/>
        <v>980</v>
      </c>
      <c r="DQ14" s="41">
        <f t="shared" ref="DQ14:DR14" si="135">DQ13</f>
        <v>980</v>
      </c>
      <c r="DR14" s="41">
        <f t="shared" si="135"/>
        <v>960</v>
      </c>
      <c r="DS14" s="41">
        <f t="shared" ref="DS14:DT14" si="136">DS13</f>
        <v>950</v>
      </c>
      <c r="DT14" s="41">
        <f t="shared" si="136"/>
        <v>950</v>
      </c>
      <c r="DU14" s="41">
        <f t="shared" ref="DU14:DV14" si="137">DU13</f>
        <v>950</v>
      </c>
      <c r="DV14" s="41">
        <f t="shared" si="137"/>
        <v>950</v>
      </c>
      <c r="DW14" s="41">
        <f t="shared" ref="DW14:DX14" si="138">DW13</f>
        <v>980</v>
      </c>
      <c r="DX14" s="41">
        <f t="shared" si="138"/>
        <v>980</v>
      </c>
      <c r="DY14" s="41">
        <f t="shared" ref="DY14:DZ14" si="139">DY13</f>
        <v>980</v>
      </c>
      <c r="DZ14" s="41">
        <f t="shared" si="139"/>
        <v>980</v>
      </c>
      <c r="EA14" s="41">
        <f t="shared" ref="EA14:EB14" si="140">EA13</f>
        <v>980</v>
      </c>
      <c r="EB14" s="41">
        <f t="shared" si="140"/>
        <v>980</v>
      </c>
      <c r="EC14" s="41">
        <f t="shared" ref="EC14:ED14" si="141">EC13</f>
        <v>980</v>
      </c>
      <c r="ED14" s="41">
        <f t="shared" si="141"/>
        <v>980</v>
      </c>
      <c r="EE14" s="41">
        <f t="shared" ref="EE14:EF14" si="142">EE13</f>
        <v>960</v>
      </c>
      <c r="EF14" s="41">
        <f t="shared" si="142"/>
        <v>950</v>
      </c>
      <c r="EG14" s="41">
        <f t="shared" ref="EG14:EH14" si="143">EG13</f>
        <v>950</v>
      </c>
      <c r="EH14" s="41">
        <f t="shared" si="143"/>
        <v>950</v>
      </c>
      <c r="EI14" s="41">
        <f t="shared" ref="EI14:EJ14" si="144">EI13</f>
        <v>940</v>
      </c>
      <c r="EJ14" s="41">
        <f t="shared" si="144"/>
        <v>940</v>
      </c>
      <c r="EK14" s="41">
        <f t="shared" ref="EK14:EL14" si="145">EK13</f>
        <v>940</v>
      </c>
      <c r="EL14" s="41">
        <f t="shared" si="145"/>
        <v>930</v>
      </c>
      <c r="EM14" s="41">
        <f t="shared" ref="EM14:EN14" si="146">EM13</f>
        <v>930</v>
      </c>
      <c r="EN14" s="41">
        <f t="shared" si="146"/>
        <v>930</v>
      </c>
      <c r="EO14" s="41">
        <f t="shared" ref="EO14:EP14" si="147">EO13</f>
        <v>920</v>
      </c>
      <c r="EP14" s="41">
        <f t="shared" si="147"/>
        <v>920</v>
      </c>
      <c r="EQ14" s="41">
        <f t="shared" ref="EQ14:ER14" si="148">EQ13</f>
        <v>920</v>
      </c>
      <c r="ER14" s="41">
        <f t="shared" si="148"/>
        <v>940</v>
      </c>
      <c r="ES14" s="41">
        <f t="shared" ref="ES14:EW14" si="149">ES13</f>
        <v>940</v>
      </c>
      <c r="ET14" s="41">
        <f t="shared" si="149"/>
        <v>940</v>
      </c>
      <c r="EU14" s="41">
        <f t="shared" si="149"/>
        <v>940</v>
      </c>
      <c r="EV14" s="41">
        <f t="shared" si="149"/>
        <v>940</v>
      </c>
      <c r="EW14" s="41">
        <f t="shared" si="149"/>
        <v>940</v>
      </c>
      <c r="EX14" s="41">
        <f t="shared" ref="EX14:FA14" si="150">EX13</f>
        <v>940</v>
      </c>
      <c r="EY14" s="41">
        <f t="shared" si="150"/>
        <v>940</v>
      </c>
      <c r="EZ14" s="41">
        <f t="shared" si="150"/>
        <v>940</v>
      </c>
      <c r="FA14" s="41">
        <f t="shared" si="150"/>
        <v>940</v>
      </c>
      <c r="FB14" s="41">
        <f t="shared" ref="FB14:FC14" si="151">FB13</f>
        <v>940</v>
      </c>
      <c r="FC14" s="41">
        <f t="shared" si="151"/>
        <v>940</v>
      </c>
      <c r="FD14" s="41">
        <f t="shared" ref="FD14:FE14" si="152">FD13</f>
        <v>940</v>
      </c>
      <c r="FE14" s="41">
        <f t="shared" si="152"/>
        <v>940</v>
      </c>
      <c r="FF14" s="41">
        <f t="shared" ref="FF14:FG14" si="153">FF13</f>
        <v>940</v>
      </c>
      <c r="FG14" s="41">
        <f t="shared" si="153"/>
        <v>940</v>
      </c>
      <c r="FH14" s="41">
        <f t="shared" ref="FH14:FI14" si="154">FH13</f>
        <v>950</v>
      </c>
      <c r="FI14" s="41">
        <f t="shared" si="154"/>
        <v>950</v>
      </c>
      <c r="FJ14" s="41">
        <f t="shared" ref="FJ14:FM14" si="155">FJ13</f>
        <v>950</v>
      </c>
      <c r="FK14" s="41">
        <f t="shared" si="155"/>
        <v>950</v>
      </c>
      <c r="FL14" s="41">
        <f t="shared" si="155"/>
        <v>950</v>
      </c>
      <c r="FM14" s="41">
        <f t="shared" si="155"/>
        <v>910</v>
      </c>
      <c r="FN14" s="41">
        <f t="shared" ref="FN14:FQ14" si="156">FN13</f>
        <v>910</v>
      </c>
      <c r="FO14" s="41">
        <f t="shared" si="156"/>
        <v>900</v>
      </c>
      <c r="FP14" s="41">
        <f t="shared" si="156"/>
        <v>900</v>
      </c>
      <c r="FQ14" s="41">
        <f t="shared" si="156"/>
        <v>910</v>
      </c>
      <c r="FR14" s="41">
        <f t="shared" ref="FR14:FV14" si="157">FR13</f>
        <v>910</v>
      </c>
      <c r="FS14" s="41">
        <f t="shared" si="157"/>
        <v>910</v>
      </c>
      <c r="FT14" s="41">
        <f t="shared" si="157"/>
        <v>910</v>
      </c>
      <c r="FU14" s="41">
        <f t="shared" si="157"/>
        <v>910</v>
      </c>
      <c r="FV14" s="41">
        <f t="shared" si="157"/>
        <v>900</v>
      </c>
      <c r="FW14" s="41">
        <f t="shared" ref="FW14:FZ14" si="158">FW13</f>
        <v>900</v>
      </c>
      <c r="FX14" s="41">
        <f t="shared" si="158"/>
        <v>900</v>
      </c>
      <c r="FY14" s="41">
        <f t="shared" si="158"/>
        <v>930</v>
      </c>
      <c r="FZ14" s="41">
        <f t="shared" si="158"/>
        <v>930</v>
      </c>
      <c r="GA14" s="41">
        <f t="shared" ref="GA14:GE14" si="159">GA13</f>
        <v>930</v>
      </c>
      <c r="GB14" s="41">
        <f t="shared" si="159"/>
        <v>930</v>
      </c>
      <c r="GC14" s="41">
        <f t="shared" si="159"/>
        <v>930</v>
      </c>
      <c r="GD14" s="41">
        <f t="shared" si="159"/>
        <v>930</v>
      </c>
      <c r="GE14" s="41">
        <f t="shared" si="159"/>
        <v>930</v>
      </c>
      <c r="GF14" s="41">
        <f t="shared" ref="GF14:GI14" si="160">GF13</f>
        <v>930</v>
      </c>
      <c r="GG14" s="41">
        <f t="shared" si="160"/>
        <v>930</v>
      </c>
      <c r="GH14" s="41">
        <f t="shared" si="160"/>
        <v>930</v>
      </c>
      <c r="GI14" s="41">
        <f t="shared" si="160"/>
        <v>930</v>
      </c>
      <c r="GJ14" s="41">
        <f t="shared" ref="GJ14:GL14" si="161">GJ13</f>
        <v>930</v>
      </c>
      <c r="GK14" s="41">
        <f t="shared" si="161"/>
        <v>930</v>
      </c>
      <c r="GL14" s="41">
        <f t="shared" si="161"/>
        <v>930</v>
      </c>
      <c r="GM14" s="41">
        <f t="shared" ref="GM14:GR14" si="162">GM13</f>
        <v>870</v>
      </c>
      <c r="GN14" s="41">
        <f t="shared" si="162"/>
        <v>870</v>
      </c>
      <c r="GO14" s="41">
        <f t="shared" si="162"/>
        <v>870</v>
      </c>
      <c r="GP14" s="41">
        <f t="shared" si="162"/>
        <v>870</v>
      </c>
      <c r="GQ14" s="41">
        <f t="shared" si="162"/>
        <v>870</v>
      </c>
      <c r="GR14" s="41">
        <f t="shared" si="162"/>
        <v>870</v>
      </c>
      <c r="GS14" s="41">
        <f t="shared" ref="GS14:GV14" si="163">GS13</f>
        <v>870</v>
      </c>
      <c r="GT14" s="41">
        <f t="shared" si="163"/>
        <v>830</v>
      </c>
      <c r="GU14" s="41">
        <f t="shared" si="163"/>
        <v>830</v>
      </c>
      <c r="GV14" s="41">
        <f t="shared" si="163"/>
        <v>830</v>
      </c>
      <c r="GW14" s="41">
        <f t="shared" ref="GW14:GZ14" si="164">GW13</f>
        <v>830</v>
      </c>
      <c r="GX14" s="41">
        <f t="shared" si="164"/>
        <v>830</v>
      </c>
      <c r="GY14" s="41">
        <f t="shared" si="164"/>
        <v>830</v>
      </c>
      <c r="GZ14" s="41">
        <f t="shared" si="164"/>
        <v>830</v>
      </c>
      <c r="HA14" s="41">
        <f t="shared" ref="HA14:HE14" si="165">HA13</f>
        <v>830</v>
      </c>
      <c r="HB14" s="41">
        <f t="shared" si="165"/>
        <v>830</v>
      </c>
      <c r="HC14" s="41">
        <f t="shared" si="165"/>
        <v>830</v>
      </c>
      <c r="HD14" s="41">
        <f t="shared" si="165"/>
        <v>830</v>
      </c>
      <c r="HE14" s="41">
        <f t="shared" si="165"/>
        <v>830</v>
      </c>
      <c r="HF14" s="41">
        <f t="shared" ref="HF14:HI14" si="166">HF13</f>
        <v>830</v>
      </c>
      <c r="HG14" s="41">
        <f t="shared" si="166"/>
        <v>830</v>
      </c>
      <c r="HH14" s="41">
        <f t="shared" si="166"/>
        <v>830</v>
      </c>
      <c r="HI14" s="41">
        <f t="shared" si="166"/>
        <v>830</v>
      </c>
      <c r="HJ14" s="41">
        <f t="shared" ref="HJ14:HM14" si="167">HJ13</f>
        <v>975</v>
      </c>
      <c r="HK14" s="41">
        <f t="shared" si="167"/>
        <v>1250</v>
      </c>
      <c r="HL14" s="41">
        <f t="shared" si="167"/>
        <v>1400</v>
      </c>
      <c r="HM14" s="41">
        <f t="shared" si="167"/>
        <v>1450</v>
      </c>
      <c r="HN14" s="185">
        <f t="shared" ref="HN14:HR14" si="168">HN13</f>
        <v>1450</v>
      </c>
      <c r="HO14" s="185">
        <f t="shared" si="168"/>
        <v>1450</v>
      </c>
      <c r="HP14" s="185">
        <f t="shared" si="168"/>
        <v>1450</v>
      </c>
      <c r="HQ14" s="185">
        <f t="shared" si="168"/>
        <v>1450</v>
      </c>
      <c r="HR14" s="185">
        <f t="shared" si="168"/>
        <v>1450</v>
      </c>
      <c r="HS14" s="185">
        <f t="shared" ref="HS14:HV14" si="169">HS13</f>
        <v>1450</v>
      </c>
      <c r="HT14" s="185">
        <f t="shared" si="169"/>
        <v>1400</v>
      </c>
      <c r="HU14" s="185">
        <f t="shared" si="169"/>
        <v>1380</v>
      </c>
      <c r="HV14" s="185">
        <f t="shared" si="169"/>
        <v>1330</v>
      </c>
      <c r="HW14" s="185">
        <f t="shared" ref="HW14:HZ14" si="170">HW13</f>
        <v>1300</v>
      </c>
      <c r="HX14" s="185">
        <f t="shared" si="170"/>
        <v>1250</v>
      </c>
      <c r="HY14" s="185">
        <f t="shared" si="170"/>
        <v>1220</v>
      </c>
      <c r="HZ14" s="185">
        <f t="shared" si="170"/>
        <v>1220</v>
      </c>
      <c r="IA14" s="185">
        <f t="shared" ref="IA14:IE14" si="171">IA13</f>
        <v>1100</v>
      </c>
      <c r="IB14" s="185">
        <f t="shared" si="171"/>
        <v>1010</v>
      </c>
      <c r="IC14" s="185">
        <f t="shared" si="171"/>
        <v>0</v>
      </c>
      <c r="ID14" s="185">
        <f t="shared" si="171"/>
        <v>0</v>
      </c>
      <c r="IE14" s="185">
        <f t="shared" si="171"/>
        <v>0</v>
      </c>
    </row>
    <row r="15" spans="1:239" ht="14" hidden="1">
      <c r="F15" s="117"/>
      <c r="H15" s="117" t="s">
        <v>83</v>
      </c>
      <c r="I15" s="41">
        <f t="shared" ref="I15:N15" si="172">+I7-I14</f>
        <v>232.5</v>
      </c>
      <c r="J15" s="41">
        <f t="shared" si="172"/>
        <v>157.5</v>
      </c>
      <c r="K15" s="41">
        <f t="shared" si="172"/>
        <v>182</v>
      </c>
      <c r="L15" s="41">
        <f t="shared" si="172"/>
        <v>200</v>
      </c>
      <c r="M15" s="41">
        <f t="shared" si="172"/>
        <v>207.5</v>
      </c>
      <c r="N15" s="41">
        <f t="shared" si="172"/>
        <v>280</v>
      </c>
      <c r="O15" s="41">
        <f t="shared" ref="O15:T15" si="173">+O7-O14</f>
        <v>290</v>
      </c>
      <c r="P15" s="41">
        <f t="shared" si="173"/>
        <v>242</v>
      </c>
      <c r="Q15" s="41">
        <f t="shared" si="173"/>
        <v>222.5</v>
      </c>
      <c r="R15" s="41">
        <f t="shared" si="173"/>
        <v>230</v>
      </c>
      <c r="S15" s="41">
        <f t="shared" si="173"/>
        <v>295</v>
      </c>
      <c r="T15" s="41">
        <f t="shared" si="173"/>
        <v>350</v>
      </c>
      <c r="U15" s="41">
        <f t="shared" ref="U15:V15" si="174">+U7-U14</f>
        <v>302.5</v>
      </c>
      <c r="V15" s="41">
        <f t="shared" si="174"/>
        <v>240</v>
      </c>
      <c r="W15" s="41">
        <f t="shared" ref="W15:X15" si="175">+W7-W14</f>
        <v>255</v>
      </c>
      <c r="X15" s="41">
        <f t="shared" si="175"/>
        <v>275</v>
      </c>
      <c r="Y15" s="41">
        <f t="shared" ref="Y15:Z15" si="176">+Y7-Y14</f>
        <v>294</v>
      </c>
      <c r="Z15" s="41">
        <f t="shared" si="176"/>
        <v>270</v>
      </c>
      <c r="AA15" s="41">
        <f t="shared" ref="AA15:AB15" si="177">+AA7-AA14</f>
        <v>275</v>
      </c>
      <c r="AB15" s="41">
        <f t="shared" si="177"/>
        <v>304</v>
      </c>
      <c r="AC15" s="41">
        <f t="shared" ref="AC15:AD15" si="178">+AC7-AC14</f>
        <v>317.5</v>
      </c>
      <c r="AD15" s="41">
        <f t="shared" si="178"/>
        <v>323.33333333333337</v>
      </c>
      <c r="AE15" s="41">
        <f t="shared" ref="AE15:AF15" si="179">+AE7-AE14</f>
        <v>310</v>
      </c>
      <c r="AF15" s="41">
        <f t="shared" si="179"/>
        <v>310</v>
      </c>
      <c r="AG15" s="41">
        <f t="shared" ref="AG15:AH15" si="180">+AG7-AG14</f>
        <v>310</v>
      </c>
      <c r="AH15" s="41">
        <f t="shared" si="180"/>
        <v>304</v>
      </c>
      <c r="AI15" s="41">
        <f t="shared" ref="AI15:AJ15" si="181">+AI7-AI14</f>
        <v>105</v>
      </c>
      <c r="AJ15" s="41">
        <f t="shared" si="181"/>
        <v>140</v>
      </c>
      <c r="AK15" s="41">
        <f t="shared" ref="AK15:AL15" si="182">+AK7-AK14</f>
        <v>82.000000000000114</v>
      </c>
      <c r="AL15" s="41">
        <f t="shared" si="182"/>
        <v>75.000000000000114</v>
      </c>
      <c r="AM15" s="41">
        <f t="shared" ref="AM15:AN15" si="183">+AM7-AM14</f>
        <v>-930</v>
      </c>
      <c r="AN15" s="41">
        <f t="shared" si="183"/>
        <v>-930</v>
      </c>
      <c r="AO15" s="41">
        <f t="shared" ref="AO15:AP15" si="184">+AO7-AO14</f>
        <v>-915</v>
      </c>
      <c r="AP15" s="41">
        <f t="shared" si="184"/>
        <v>-870</v>
      </c>
      <c r="AQ15" s="41">
        <f t="shared" ref="AQ15:AR15" si="185">+AQ7-AQ14</f>
        <v>-840</v>
      </c>
      <c r="AR15" s="41">
        <f t="shared" si="185"/>
        <v>-830</v>
      </c>
      <c r="AS15" s="41">
        <f t="shared" ref="AS15:AT15" si="186">+AS7-AS14</f>
        <v>-830</v>
      </c>
      <c r="AT15" s="41">
        <f t="shared" si="186"/>
        <v>-830</v>
      </c>
      <c r="AU15" s="41">
        <f t="shared" ref="AU15:AV15" si="187">+AU7-AU14</f>
        <v>-1268.75</v>
      </c>
      <c r="AV15" s="41">
        <f t="shared" si="187"/>
        <v>-1450</v>
      </c>
      <c r="AW15" s="41">
        <f>+AW7-AW14</f>
        <v>-1390</v>
      </c>
      <c r="AX15" s="41">
        <f>+AX7-AX14</f>
        <v>-1247.5</v>
      </c>
      <c r="AY15" s="41">
        <f>+AY7-AY14</f>
        <v>-1055</v>
      </c>
      <c r="BC15" s="117" t="s">
        <v>83</v>
      </c>
      <c r="BD15" s="41">
        <f t="shared" ref="BD15:CB15" si="188">+BD7-BD14</f>
        <v>250</v>
      </c>
      <c r="BE15" s="41">
        <f>+BE7-BE14</f>
        <v>310</v>
      </c>
      <c r="BF15" s="41">
        <f t="shared" si="188"/>
        <v>230</v>
      </c>
      <c r="BG15" s="41">
        <f t="shared" si="188"/>
        <v>220</v>
      </c>
      <c r="BH15" s="41">
        <f t="shared" si="188"/>
        <v>170</v>
      </c>
      <c r="BI15" s="41">
        <f t="shared" si="188"/>
        <v>150</v>
      </c>
      <c r="BJ15" s="41">
        <f t="shared" si="188"/>
        <v>150</v>
      </c>
      <c r="BK15" s="41">
        <f t="shared" si="188"/>
        <v>160</v>
      </c>
      <c r="BL15" s="41">
        <f t="shared" si="188"/>
        <v>170</v>
      </c>
      <c r="BM15" s="41">
        <f t="shared" si="188"/>
        <v>170</v>
      </c>
      <c r="BN15" s="41">
        <f t="shared" si="188"/>
        <v>180</v>
      </c>
      <c r="BO15" s="41">
        <f t="shared" si="188"/>
        <v>180</v>
      </c>
      <c r="BP15" s="41">
        <f t="shared" si="188"/>
        <v>180</v>
      </c>
      <c r="BQ15" s="41">
        <f t="shared" si="188"/>
        <v>200</v>
      </c>
      <c r="BR15" s="41">
        <f t="shared" si="188"/>
        <v>200</v>
      </c>
      <c r="BS15" s="41">
        <f t="shared" si="188"/>
        <v>200</v>
      </c>
      <c r="BT15" s="41">
        <f t="shared" si="188"/>
        <v>200</v>
      </c>
      <c r="BU15" s="41">
        <f t="shared" si="188"/>
        <v>200</v>
      </c>
      <c r="BV15" s="41">
        <f t="shared" si="188"/>
        <v>200</v>
      </c>
      <c r="BW15" s="41">
        <f t="shared" si="188"/>
        <v>200</v>
      </c>
      <c r="BX15" s="41">
        <f t="shared" si="188"/>
        <v>210</v>
      </c>
      <c r="BY15" s="41">
        <f t="shared" si="188"/>
        <v>220</v>
      </c>
      <c r="BZ15" s="41">
        <f t="shared" si="188"/>
        <v>220</v>
      </c>
      <c r="CA15" s="41">
        <f t="shared" si="188"/>
        <v>300</v>
      </c>
      <c r="CB15" s="41">
        <f t="shared" si="188"/>
        <v>300</v>
      </c>
      <c r="CC15" s="41">
        <f t="shared" ref="CC15:CH15" si="189">+CC7-CC14</f>
        <v>300</v>
      </c>
      <c r="CD15" s="41">
        <f t="shared" si="189"/>
        <v>300</v>
      </c>
      <c r="CE15" s="41">
        <f t="shared" si="189"/>
        <v>300</v>
      </c>
      <c r="CF15" s="41">
        <f t="shared" si="189"/>
        <v>280</v>
      </c>
      <c r="CG15" s="41">
        <f t="shared" si="189"/>
        <v>280</v>
      </c>
      <c r="CH15" s="41">
        <f t="shared" si="189"/>
        <v>250</v>
      </c>
      <c r="CI15" s="41">
        <f t="shared" ref="CI15:CT15" si="190">+CI7-CI14</f>
        <v>250</v>
      </c>
      <c r="CJ15" s="41">
        <f t="shared" si="190"/>
        <v>250</v>
      </c>
      <c r="CK15" s="41">
        <f t="shared" si="190"/>
        <v>230</v>
      </c>
      <c r="CL15" s="41">
        <f t="shared" si="190"/>
        <v>230</v>
      </c>
      <c r="CM15" s="41">
        <f t="shared" si="190"/>
        <v>230</v>
      </c>
      <c r="CN15" s="41">
        <f t="shared" si="190"/>
        <v>220</v>
      </c>
      <c r="CO15" s="41">
        <f t="shared" si="190"/>
        <v>220</v>
      </c>
      <c r="CP15" s="41">
        <f t="shared" si="190"/>
        <v>220</v>
      </c>
      <c r="CQ15" s="41">
        <f t="shared" si="190"/>
        <v>220</v>
      </c>
      <c r="CR15" s="41">
        <f t="shared" si="190"/>
        <v>220</v>
      </c>
      <c r="CS15" s="41">
        <f t="shared" si="190"/>
        <v>230</v>
      </c>
      <c r="CT15" s="41">
        <f t="shared" si="190"/>
        <v>250</v>
      </c>
      <c r="CU15" s="41">
        <f t="shared" ref="CU15:CV15" si="191">+CU7-CU14</f>
        <v>270</v>
      </c>
      <c r="CV15" s="41">
        <f t="shared" si="191"/>
        <v>290</v>
      </c>
      <c r="CW15" s="41">
        <f t="shared" ref="CW15:DB15" si="192">+CW7-CW14</f>
        <v>310</v>
      </c>
      <c r="CX15" s="41">
        <f t="shared" si="192"/>
        <v>310</v>
      </c>
      <c r="CY15" s="41">
        <f t="shared" si="192"/>
        <v>350</v>
      </c>
      <c r="CZ15" s="41">
        <f t="shared" si="192"/>
        <v>350</v>
      </c>
      <c r="DA15" s="41">
        <f t="shared" si="192"/>
        <v>350</v>
      </c>
      <c r="DB15" s="41">
        <f t="shared" si="192"/>
        <v>350</v>
      </c>
      <c r="DC15" s="41">
        <f t="shared" ref="DC15:DD15" si="193">+DC7-DC14</f>
        <v>350</v>
      </c>
      <c r="DD15" s="41">
        <f t="shared" si="193"/>
        <v>350</v>
      </c>
      <c r="DE15" s="41">
        <f t="shared" ref="DE15:DF15" si="194">+DE7-DE14</f>
        <v>320</v>
      </c>
      <c r="DF15" s="41">
        <f t="shared" si="194"/>
        <v>320</v>
      </c>
      <c r="DG15" s="41">
        <f t="shared" ref="DG15:DH15" si="195">+DG7-DG14</f>
        <v>220</v>
      </c>
      <c r="DH15" s="41">
        <f t="shared" si="195"/>
        <v>220</v>
      </c>
      <c r="DI15" s="41">
        <f t="shared" ref="DI15:DJ15" si="196">+DI7-DI14</f>
        <v>250</v>
      </c>
      <c r="DJ15" s="41">
        <f t="shared" si="196"/>
        <v>250</v>
      </c>
      <c r="DK15" s="41">
        <f t="shared" ref="DK15:DL15" si="197">+DK7-DK14</f>
        <v>250</v>
      </c>
      <c r="DL15" s="41">
        <f t="shared" si="197"/>
        <v>250</v>
      </c>
      <c r="DM15" s="41">
        <f t="shared" ref="DM15:DN15" si="198">+DM7-DM14</f>
        <v>250</v>
      </c>
      <c r="DN15" s="41">
        <f t="shared" si="198"/>
        <v>270</v>
      </c>
      <c r="DO15" s="41">
        <f t="shared" ref="DO15:DP15" si="199">+DO7-DO14</f>
        <v>270</v>
      </c>
      <c r="DP15" s="41">
        <f t="shared" si="199"/>
        <v>270</v>
      </c>
      <c r="DQ15" s="41">
        <f t="shared" ref="DQ15:DR15" si="200">+DQ7-DQ14</f>
        <v>270</v>
      </c>
      <c r="DR15" s="41">
        <f t="shared" si="200"/>
        <v>290</v>
      </c>
      <c r="DS15" s="41">
        <f t="shared" ref="DS15:DT15" si="201">+DS7-DS14</f>
        <v>300</v>
      </c>
      <c r="DT15" s="41">
        <f t="shared" si="201"/>
        <v>300</v>
      </c>
      <c r="DU15" s="41">
        <f t="shared" ref="DU15:DV15" si="202">+DU7-DU14</f>
        <v>300</v>
      </c>
      <c r="DV15" s="41">
        <f t="shared" si="202"/>
        <v>300</v>
      </c>
      <c r="DW15" s="41">
        <f t="shared" ref="DW15:DX15" si="203">+DW7-DW14</f>
        <v>270</v>
      </c>
      <c r="DX15" s="41">
        <f t="shared" si="203"/>
        <v>270</v>
      </c>
      <c r="DY15" s="41">
        <f t="shared" ref="DY15:DZ15" si="204">+DY7-DY14</f>
        <v>270</v>
      </c>
      <c r="DZ15" s="41">
        <f t="shared" si="204"/>
        <v>270</v>
      </c>
      <c r="EA15" s="41">
        <f t="shared" ref="EA15:EB15" si="205">+EA7-EA14</f>
        <v>270</v>
      </c>
      <c r="EB15" s="41">
        <f t="shared" si="205"/>
        <v>270</v>
      </c>
      <c r="EC15" s="41">
        <f t="shared" ref="EC15:ED15" si="206">+EC7-EC14</f>
        <v>270</v>
      </c>
      <c r="ED15" s="41">
        <f t="shared" si="206"/>
        <v>270</v>
      </c>
      <c r="EE15" s="41">
        <f t="shared" ref="EE15:EF15" si="207">+EE7-EE14</f>
        <v>290</v>
      </c>
      <c r="EF15" s="41">
        <f t="shared" si="207"/>
        <v>300</v>
      </c>
      <c r="EG15" s="41">
        <f t="shared" ref="EG15:EH15" si="208">+EG7-EG14</f>
        <v>300</v>
      </c>
      <c r="EH15" s="41">
        <f t="shared" si="208"/>
        <v>300</v>
      </c>
      <c r="EI15" s="41">
        <f t="shared" ref="EI15:EJ15" si="209">+EI7-EI14</f>
        <v>310</v>
      </c>
      <c r="EJ15" s="41">
        <f t="shared" si="209"/>
        <v>310</v>
      </c>
      <c r="EK15" s="41">
        <f t="shared" ref="EK15:EL15" si="210">+EK7-EK14</f>
        <v>310</v>
      </c>
      <c r="EL15" s="41">
        <f t="shared" si="210"/>
        <v>320</v>
      </c>
      <c r="EM15" s="41">
        <f t="shared" ref="EM15:EN15" si="211">+EM7-EM14</f>
        <v>320</v>
      </c>
      <c r="EN15" s="41">
        <f t="shared" si="211"/>
        <v>320</v>
      </c>
      <c r="EO15" s="41">
        <f t="shared" ref="EO15:EP15" si="212">+EO7-EO14</f>
        <v>330</v>
      </c>
      <c r="EP15" s="41">
        <f t="shared" si="212"/>
        <v>330</v>
      </c>
      <c r="EQ15" s="41">
        <f t="shared" ref="EQ15:ER15" si="213">+EQ7-EQ14</f>
        <v>330</v>
      </c>
      <c r="ER15" s="41">
        <f t="shared" si="213"/>
        <v>310</v>
      </c>
      <c r="ES15" s="41">
        <f t="shared" ref="ES15:EW15" si="214">+ES7-ES14</f>
        <v>310</v>
      </c>
      <c r="ET15" s="41">
        <f t="shared" si="214"/>
        <v>310</v>
      </c>
      <c r="EU15" s="41">
        <f t="shared" si="214"/>
        <v>310</v>
      </c>
      <c r="EV15" s="41">
        <f t="shared" si="214"/>
        <v>310</v>
      </c>
      <c r="EW15" s="41">
        <f t="shared" si="214"/>
        <v>310</v>
      </c>
      <c r="EX15" s="41">
        <f t="shared" ref="EX15:FA15" si="215">+EX7-EX14</f>
        <v>310</v>
      </c>
      <c r="EY15" s="41">
        <f t="shared" si="215"/>
        <v>310</v>
      </c>
      <c r="EZ15" s="41">
        <f t="shared" si="215"/>
        <v>310</v>
      </c>
      <c r="FA15" s="41">
        <f t="shared" si="215"/>
        <v>310</v>
      </c>
      <c r="FB15" s="41">
        <f t="shared" ref="FB15:FC15" si="216">+FB7-FB14</f>
        <v>310</v>
      </c>
      <c r="FC15" s="41">
        <f t="shared" si="216"/>
        <v>310</v>
      </c>
      <c r="FD15" s="41">
        <f t="shared" ref="FD15:FE15" si="217">+FD7-FD14</f>
        <v>310</v>
      </c>
      <c r="FE15" s="41">
        <f t="shared" si="217"/>
        <v>310</v>
      </c>
      <c r="FF15" s="41">
        <f t="shared" ref="FF15:FG15" si="218">+FF7-FF14</f>
        <v>310</v>
      </c>
      <c r="FG15" s="41">
        <f t="shared" si="218"/>
        <v>310</v>
      </c>
      <c r="FH15" s="41">
        <f t="shared" ref="FH15:FI15" si="219">+FH7-FH14</f>
        <v>300</v>
      </c>
      <c r="FI15" s="41">
        <f t="shared" si="219"/>
        <v>300</v>
      </c>
      <c r="FJ15" s="41">
        <f t="shared" ref="FJ15:FM15" si="220">+FJ7-FJ14</f>
        <v>95</v>
      </c>
      <c r="FK15" s="41">
        <f t="shared" si="220"/>
        <v>95</v>
      </c>
      <c r="FL15" s="41">
        <f t="shared" si="220"/>
        <v>95</v>
      </c>
      <c r="FM15" s="41">
        <f t="shared" si="220"/>
        <v>135</v>
      </c>
      <c r="FN15" s="41">
        <f t="shared" ref="FN15:FQ15" si="221">+FN7-FN14</f>
        <v>135</v>
      </c>
      <c r="FO15" s="41">
        <f t="shared" si="221"/>
        <v>145</v>
      </c>
      <c r="FP15" s="41">
        <f t="shared" si="221"/>
        <v>145</v>
      </c>
      <c r="FQ15" s="41">
        <f t="shared" si="221"/>
        <v>135</v>
      </c>
      <c r="FR15" s="41">
        <f t="shared" ref="FR15:FV15" si="222">+FR7-FR14</f>
        <v>80.000000000000114</v>
      </c>
      <c r="FS15" s="41">
        <f t="shared" si="222"/>
        <v>80.000000000000114</v>
      </c>
      <c r="FT15" s="41">
        <f t="shared" si="222"/>
        <v>80.000000000000114</v>
      </c>
      <c r="FU15" s="41">
        <f t="shared" si="222"/>
        <v>80.000000000000114</v>
      </c>
      <c r="FV15" s="41">
        <f t="shared" si="222"/>
        <v>90.000000000000114</v>
      </c>
      <c r="FW15" s="41">
        <f t="shared" ref="FW15:FZ15" si="223">+FW7-FW14</f>
        <v>90.000000000000114</v>
      </c>
      <c r="FX15" s="41">
        <f t="shared" si="223"/>
        <v>90.000000000000114</v>
      </c>
      <c r="FY15" s="41">
        <f t="shared" si="223"/>
        <v>60.000000000000114</v>
      </c>
      <c r="FZ15" s="41">
        <f t="shared" si="223"/>
        <v>60.000000000000114</v>
      </c>
      <c r="GA15" s="41">
        <f t="shared" ref="GA15:GE15" si="224">+GA7-GA14</f>
        <v>-930</v>
      </c>
      <c r="GB15" s="41">
        <f t="shared" si="224"/>
        <v>-930</v>
      </c>
      <c r="GC15" s="41">
        <f t="shared" si="224"/>
        <v>-930</v>
      </c>
      <c r="GD15" s="41">
        <f t="shared" si="224"/>
        <v>-930</v>
      </c>
      <c r="GE15" s="41">
        <f t="shared" si="224"/>
        <v>-930</v>
      </c>
      <c r="GF15" s="41">
        <f t="shared" ref="GF15:GI15" si="225">+GF7-GF14</f>
        <v>-930</v>
      </c>
      <c r="GG15" s="41">
        <f t="shared" si="225"/>
        <v>-930</v>
      </c>
      <c r="GH15" s="41">
        <f t="shared" si="225"/>
        <v>-930</v>
      </c>
      <c r="GI15" s="41">
        <f t="shared" si="225"/>
        <v>-930</v>
      </c>
      <c r="GJ15" s="41">
        <f t="shared" ref="GJ15:GL15" si="226">+GJ7-GJ14</f>
        <v>-930</v>
      </c>
      <c r="GK15" s="41">
        <f t="shared" si="226"/>
        <v>-930</v>
      </c>
      <c r="GL15" s="41">
        <f t="shared" si="226"/>
        <v>-930</v>
      </c>
      <c r="GM15" s="41">
        <f t="shared" ref="GM15:GR15" si="227">+GM7-GM14</f>
        <v>-870</v>
      </c>
      <c r="GN15" s="41">
        <f t="shared" si="227"/>
        <v>-870</v>
      </c>
      <c r="GO15" s="41">
        <f t="shared" si="227"/>
        <v>-870</v>
      </c>
      <c r="GP15" s="41">
        <f t="shared" si="227"/>
        <v>-870</v>
      </c>
      <c r="GQ15" s="41">
        <f t="shared" si="227"/>
        <v>-870</v>
      </c>
      <c r="GR15" s="41">
        <f t="shared" si="227"/>
        <v>-870</v>
      </c>
      <c r="GS15" s="41">
        <f t="shared" ref="GS15:GV15" si="228">+GS7-GS14</f>
        <v>-870</v>
      </c>
      <c r="GT15" s="41">
        <f t="shared" si="228"/>
        <v>-830</v>
      </c>
      <c r="GU15" s="41">
        <f t="shared" si="228"/>
        <v>-830</v>
      </c>
      <c r="GV15" s="41">
        <f t="shared" si="228"/>
        <v>-830</v>
      </c>
      <c r="GW15" s="41">
        <f t="shared" ref="GW15:GZ15" si="229">+GW7-GW14</f>
        <v>-830</v>
      </c>
      <c r="GX15" s="41">
        <f t="shared" si="229"/>
        <v>-830</v>
      </c>
      <c r="GY15" s="41">
        <f t="shared" si="229"/>
        <v>-830</v>
      </c>
      <c r="GZ15" s="41">
        <f t="shared" si="229"/>
        <v>-830</v>
      </c>
      <c r="HA15" s="41">
        <f t="shared" ref="HA15:HE15" si="230">+HA7-HA14</f>
        <v>-830</v>
      </c>
      <c r="HB15" s="41">
        <f t="shared" si="230"/>
        <v>-830</v>
      </c>
      <c r="HC15" s="41">
        <f t="shared" si="230"/>
        <v>-830</v>
      </c>
      <c r="HD15" s="41">
        <f t="shared" si="230"/>
        <v>-830</v>
      </c>
      <c r="HE15" s="41">
        <f t="shared" si="230"/>
        <v>-830</v>
      </c>
      <c r="HF15" s="41">
        <f t="shared" ref="HF15:HI15" si="231">+HF7-HF14</f>
        <v>-830</v>
      </c>
      <c r="HG15" s="41">
        <f t="shared" si="231"/>
        <v>-830</v>
      </c>
      <c r="HH15" s="41">
        <f t="shared" si="231"/>
        <v>-830</v>
      </c>
      <c r="HI15" s="41">
        <f t="shared" si="231"/>
        <v>-830</v>
      </c>
      <c r="HJ15" s="41">
        <f t="shared" ref="HJ15:HM15" si="232">+HJ7-HJ14</f>
        <v>-975</v>
      </c>
      <c r="HK15" s="41">
        <f t="shared" si="232"/>
        <v>-1250</v>
      </c>
      <c r="HL15" s="41">
        <f t="shared" si="232"/>
        <v>-1400</v>
      </c>
      <c r="HM15" s="41">
        <f t="shared" si="232"/>
        <v>-1450</v>
      </c>
      <c r="HN15" s="185">
        <f t="shared" ref="HN15:HR15" si="233">+HN7-HN14</f>
        <v>-1450</v>
      </c>
      <c r="HO15" s="185">
        <f t="shared" si="233"/>
        <v>-1450</v>
      </c>
      <c r="HP15" s="185">
        <f t="shared" si="233"/>
        <v>-1450</v>
      </c>
      <c r="HQ15" s="185">
        <f t="shared" si="233"/>
        <v>-1450</v>
      </c>
      <c r="HR15" s="185">
        <f t="shared" si="233"/>
        <v>-1450</v>
      </c>
      <c r="HS15" s="185">
        <f t="shared" ref="HS15:HV15" si="234">+HS7-HS14</f>
        <v>-1450</v>
      </c>
      <c r="HT15" s="185">
        <f t="shared" si="234"/>
        <v>-1400</v>
      </c>
      <c r="HU15" s="185">
        <f t="shared" si="234"/>
        <v>-1380</v>
      </c>
      <c r="HV15" s="185">
        <f t="shared" si="234"/>
        <v>-1330</v>
      </c>
      <c r="HW15" s="185">
        <f t="shared" ref="HW15:HZ15" si="235">+HW7-HW14</f>
        <v>-1300</v>
      </c>
      <c r="HX15" s="185">
        <f t="shared" si="235"/>
        <v>-1250</v>
      </c>
      <c r="HY15" s="185">
        <f t="shared" si="235"/>
        <v>-1220</v>
      </c>
      <c r="HZ15" s="185">
        <f t="shared" si="235"/>
        <v>-1220</v>
      </c>
      <c r="IA15" s="185">
        <f t="shared" ref="IA15:IE15" si="236">+IA7-IA14</f>
        <v>-1100</v>
      </c>
      <c r="IB15" s="185">
        <f t="shared" si="236"/>
        <v>-1010</v>
      </c>
      <c r="IC15" s="185">
        <f t="shared" si="236"/>
        <v>0</v>
      </c>
      <c r="ID15" s="185">
        <f t="shared" si="236"/>
        <v>0</v>
      </c>
      <c r="IE15" s="185">
        <f t="shared" si="236"/>
        <v>0</v>
      </c>
    </row>
    <row r="16" spans="1:239" hidden="1">
      <c r="H16" s="1" t="s">
        <v>81</v>
      </c>
      <c r="I16" s="51">
        <f t="shared" ref="I16:O16" si="237">+I15/I14</f>
        <v>0.2285012285012285</v>
      </c>
      <c r="J16" s="51">
        <f t="shared" si="237"/>
        <v>0.14416475972540047</v>
      </c>
      <c r="K16" s="51">
        <f t="shared" si="237"/>
        <v>0.17041198501872659</v>
      </c>
      <c r="L16" s="51">
        <f t="shared" si="237"/>
        <v>0.19047619047619047</v>
      </c>
      <c r="M16" s="51">
        <f t="shared" si="237"/>
        <v>0.19904076738609114</v>
      </c>
      <c r="N16" s="51">
        <f t="shared" si="237"/>
        <v>0.28865979381443296</v>
      </c>
      <c r="O16" s="51">
        <f t="shared" si="237"/>
        <v>0.30208333333333331</v>
      </c>
      <c r="P16" s="51">
        <f t="shared" ref="P16:U16" si="238">+P15/P14</f>
        <v>0.24007936507936509</v>
      </c>
      <c r="Q16" s="51">
        <f t="shared" si="238"/>
        <v>0.21654501216545013</v>
      </c>
      <c r="R16" s="51">
        <f t="shared" si="238"/>
        <v>0.22549019607843138</v>
      </c>
      <c r="S16" s="51">
        <f t="shared" si="238"/>
        <v>0.30890052356020942</v>
      </c>
      <c r="T16" s="51">
        <f t="shared" si="238"/>
        <v>0.3888888888888889</v>
      </c>
      <c r="U16" s="51">
        <f t="shared" si="238"/>
        <v>0.31926121372031663</v>
      </c>
      <c r="V16" s="51">
        <f t="shared" ref="V16:W16" si="239">+V15/V14</f>
        <v>0.23762376237623761</v>
      </c>
      <c r="W16" s="51">
        <f t="shared" si="239"/>
        <v>0.25628140703517588</v>
      </c>
      <c r="X16" s="51">
        <f t="shared" ref="X16:Y16" si="240">+X15/X14</f>
        <v>0.28205128205128205</v>
      </c>
      <c r="Y16" s="51">
        <f t="shared" si="240"/>
        <v>0.30753138075313807</v>
      </c>
      <c r="Z16" s="51">
        <f t="shared" ref="Z16:AA16" si="241">+Z15/Z14</f>
        <v>0.27551020408163263</v>
      </c>
      <c r="AA16" s="51">
        <f t="shared" si="241"/>
        <v>0.28205128205128205</v>
      </c>
      <c r="AB16" s="51">
        <f t="shared" ref="AB16:AC16" si="242">+AB15/AB14</f>
        <v>0.32135306553911203</v>
      </c>
      <c r="AC16" s="51">
        <f t="shared" si="242"/>
        <v>0.34048257372654156</v>
      </c>
      <c r="AD16" s="51">
        <f t="shared" ref="AD16:AE16" si="243">+AD15/AD14</f>
        <v>0.34892086330935257</v>
      </c>
      <c r="AE16" s="51">
        <f t="shared" si="243"/>
        <v>0.32978723404255317</v>
      </c>
      <c r="AF16" s="51">
        <f t="shared" ref="AF16:AG16" si="244">+AF15/AF14</f>
        <v>0.32978723404255317</v>
      </c>
      <c r="AG16" s="51">
        <f t="shared" si="244"/>
        <v>0.32978723404255317</v>
      </c>
      <c r="AH16" s="51">
        <f t="shared" ref="AH16:AI16" si="245">+AH15/AH14</f>
        <v>0.32135306553911203</v>
      </c>
      <c r="AI16" s="51">
        <f t="shared" si="245"/>
        <v>0.11170212765957446</v>
      </c>
      <c r="AJ16" s="51">
        <f t="shared" ref="AJ16:AK16" si="246">+AJ15/AJ14</f>
        <v>0.15469613259668508</v>
      </c>
      <c r="AK16" s="51">
        <f t="shared" si="246"/>
        <v>9.0308370044052982E-2</v>
      </c>
      <c r="AL16" s="51">
        <f t="shared" ref="AL16:AM16" si="247">+AL15/AL14</f>
        <v>8.1967213114754217E-2</v>
      </c>
      <c r="AM16" s="51">
        <f t="shared" si="247"/>
        <v>-1</v>
      </c>
      <c r="AN16" s="51">
        <f t="shared" ref="AN16" si="248">+AN15/AN14</f>
        <v>-1</v>
      </c>
      <c r="AO16" s="51">
        <f t="shared" ref="AO16:AP16" si="249">+AO15/AO14</f>
        <v>-1</v>
      </c>
      <c r="AP16" s="51">
        <f t="shared" si="249"/>
        <v>-1</v>
      </c>
      <c r="AQ16" s="51">
        <f t="shared" ref="AQ16:AR16" si="250">+AQ15/AQ14</f>
        <v>-1</v>
      </c>
      <c r="AR16" s="51">
        <f t="shared" si="250"/>
        <v>-1</v>
      </c>
      <c r="AS16" s="51">
        <f t="shared" ref="AS16:AT16" si="251">+AS15/AS14</f>
        <v>-1</v>
      </c>
      <c r="AT16" s="51">
        <f t="shared" si="251"/>
        <v>-1</v>
      </c>
      <c r="AU16" s="51">
        <f t="shared" ref="AU16:AV16" si="252">+AU15/AU14</f>
        <v>-1</v>
      </c>
      <c r="AV16" s="51">
        <f t="shared" si="252"/>
        <v>-1</v>
      </c>
      <c r="AW16" s="51">
        <f t="shared" ref="AW16:AX16" si="253">+AW15/AW14</f>
        <v>-1</v>
      </c>
      <c r="AX16" s="51">
        <f t="shared" si="253"/>
        <v>-1</v>
      </c>
      <c r="AY16" s="51">
        <f t="shared" ref="AY16" si="254">+AY15/AY14</f>
        <v>-1</v>
      </c>
      <c r="BC16" s="1" t="s">
        <v>81</v>
      </c>
      <c r="BD16" s="51">
        <f t="shared" ref="BD16:BO16" si="255">+BD15/BD14</f>
        <v>0.25</v>
      </c>
      <c r="BE16" s="51">
        <f>+BE15/BE14</f>
        <v>0.32978723404255317</v>
      </c>
      <c r="BF16" s="51">
        <f t="shared" si="255"/>
        <v>0.22549019607843138</v>
      </c>
      <c r="BG16" s="51">
        <f t="shared" si="255"/>
        <v>0.21359223300970873</v>
      </c>
      <c r="BH16" s="51">
        <f t="shared" si="255"/>
        <v>0.15740740740740741</v>
      </c>
      <c r="BI16" s="51">
        <f t="shared" si="255"/>
        <v>0.13636363636363635</v>
      </c>
      <c r="BJ16" s="51">
        <f t="shared" si="255"/>
        <v>0.13636363636363635</v>
      </c>
      <c r="BK16" s="51">
        <f t="shared" si="255"/>
        <v>0.14678899082568808</v>
      </c>
      <c r="BL16" s="51">
        <f t="shared" si="255"/>
        <v>0.15740740740740741</v>
      </c>
      <c r="BM16" s="51">
        <f>+BM15/BM14</f>
        <v>0.15740740740740741</v>
      </c>
      <c r="BN16" s="51">
        <f t="shared" si="255"/>
        <v>0.16822429906542055</v>
      </c>
      <c r="BO16" s="51">
        <f t="shared" si="255"/>
        <v>0.16822429906542055</v>
      </c>
      <c r="BP16" s="51">
        <f>+BP15/BP14</f>
        <v>0.16822429906542055</v>
      </c>
      <c r="BQ16" s="51">
        <f>+BQ15/BQ14</f>
        <v>0.19047619047619047</v>
      </c>
      <c r="BR16" s="51">
        <f>+BR15/BR14</f>
        <v>0.19047619047619047</v>
      </c>
      <c r="BS16" s="51">
        <f t="shared" ref="BS16:CA16" si="256">+BS15/BS14</f>
        <v>0.19047619047619047</v>
      </c>
      <c r="BT16" s="51">
        <f t="shared" si="256"/>
        <v>0.19047619047619047</v>
      </c>
      <c r="BU16" s="51">
        <f t="shared" si="256"/>
        <v>0.19047619047619047</v>
      </c>
      <c r="BV16" s="51">
        <f t="shared" si="256"/>
        <v>0.19047619047619047</v>
      </c>
      <c r="BW16" s="51">
        <f t="shared" si="256"/>
        <v>0.19047619047619047</v>
      </c>
      <c r="BX16" s="51">
        <f t="shared" si="256"/>
        <v>0.20192307692307693</v>
      </c>
      <c r="BY16" s="51">
        <f t="shared" si="256"/>
        <v>0.21359223300970873</v>
      </c>
      <c r="BZ16" s="51">
        <f t="shared" si="256"/>
        <v>0.21359223300970873</v>
      </c>
      <c r="CA16" s="51">
        <f t="shared" si="256"/>
        <v>0.31578947368421051</v>
      </c>
      <c r="CB16" s="51">
        <f t="shared" ref="CB16:CG16" si="257">+CB15/CB14</f>
        <v>0.31578947368421051</v>
      </c>
      <c r="CC16" s="51">
        <f t="shared" si="257"/>
        <v>0.31578947368421051</v>
      </c>
      <c r="CD16" s="51">
        <f t="shared" si="257"/>
        <v>0.31578947368421051</v>
      </c>
      <c r="CE16" s="51">
        <f t="shared" si="257"/>
        <v>0.31578947368421051</v>
      </c>
      <c r="CF16" s="51">
        <f t="shared" si="257"/>
        <v>0.28865979381443296</v>
      </c>
      <c r="CG16" s="51">
        <f t="shared" si="257"/>
        <v>0.28865979381443296</v>
      </c>
      <c r="CH16" s="51">
        <f t="shared" ref="CH16:CM16" si="258">+CH15/CH14</f>
        <v>0.25</v>
      </c>
      <c r="CI16" s="51">
        <f t="shared" si="258"/>
        <v>0.25</v>
      </c>
      <c r="CJ16" s="51">
        <f t="shared" si="258"/>
        <v>0.25</v>
      </c>
      <c r="CK16" s="51">
        <f t="shared" si="258"/>
        <v>0.22549019607843138</v>
      </c>
      <c r="CL16" s="51">
        <f t="shared" si="258"/>
        <v>0.22549019607843138</v>
      </c>
      <c r="CM16" s="51">
        <f t="shared" si="258"/>
        <v>0.22549019607843138</v>
      </c>
      <c r="CN16" s="51">
        <f t="shared" ref="CN16:CS16" si="259">+CN15/CN14</f>
        <v>0.21359223300970873</v>
      </c>
      <c r="CO16" s="51">
        <f t="shared" si="259"/>
        <v>0.21359223300970873</v>
      </c>
      <c r="CP16" s="51">
        <f t="shared" si="259"/>
        <v>0.21359223300970873</v>
      </c>
      <c r="CQ16" s="51">
        <f t="shared" si="259"/>
        <v>0.21359223300970873</v>
      </c>
      <c r="CR16" s="51">
        <f t="shared" si="259"/>
        <v>0.21359223300970873</v>
      </c>
      <c r="CS16" s="51">
        <f t="shared" si="259"/>
        <v>0.22549019607843138</v>
      </c>
      <c r="CT16" s="51">
        <f t="shared" ref="CT16:CY16" si="260">+CT15/CT14</f>
        <v>0.25</v>
      </c>
      <c r="CU16" s="51">
        <f t="shared" si="260"/>
        <v>0.27551020408163263</v>
      </c>
      <c r="CV16" s="51">
        <f t="shared" si="260"/>
        <v>0.30208333333333331</v>
      </c>
      <c r="CW16" s="51">
        <f t="shared" si="260"/>
        <v>0.32978723404255317</v>
      </c>
      <c r="CX16" s="51">
        <f t="shared" si="260"/>
        <v>0.32978723404255317</v>
      </c>
      <c r="CY16" s="51">
        <f t="shared" si="260"/>
        <v>0.3888888888888889</v>
      </c>
      <c r="CZ16" s="51">
        <f t="shared" ref="CZ16:DA16" si="261">+CZ15/CZ14</f>
        <v>0.3888888888888889</v>
      </c>
      <c r="DA16" s="51">
        <f t="shared" si="261"/>
        <v>0.3888888888888889</v>
      </c>
      <c r="DB16" s="51">
        <f t="shared" ref="DB16:DC16" si="262">+DB15/DB14</f>
        <v>0.3888888888888889</v>
      </c>
      <c r="DC16" s="51">
        <f t="shared" si="262"/>
        <v>0.3888888888888889</v>
      </c>
      <c r="DD16" s="51">
        <f t="shared" ref="DD16:DE16" si="263">+DD15/DD14</f>
        <v>0.3888888888888889</v>
      </c>
      <c r="DE16" s="51">
        <f t="shared" si="263"/>
        <v>0.34408602150537637</v>
      </c>
      <c r="DF16" s="51">
        <f t="shared" ref="DF16:DG16" si="264">+DF15/DF14</f>
        <v>0.34408602150537637</v>
      </c>
      <c r="DG16" s="51">
        <f t="shared" si="264"/>
        <v>0.21359223300970873</v>
      </c>
      <c r="DH16" s="51">
        <f t="shared" ref="DH16:DI16" si="265">+DH15/DH14</f>
        <v>0.21359223300970873</v>
      </c>
      <c r="DI16" s="51">
        <f t="shared" si="265"/>
        <v>0.25</v>
      </c>
      <c r="DJ16" s="51">
        <f t="shared" ref="DJ16:DK16" si="266">+DJ15/DJ14</f>
        <v>0.25</v>
      </c>
      <c r="DK16" s="51">
        <f t="shared" si="266"/>
        <v>0.25</v>
      </c>
      <c r="DL16" s="51">
        <f t="shared" ref="DL16:DM16" si="267">+DL15/DL14</f>
        <v>0.25</v>
      </c>
      <c r="DM16" s="51">
        <f t="shared" si="267"/>
        <v>0.25</v>
      </c>
      <c r="DN16" s="51">
        <f t="shared" ref="DN16:DO16" si="268">+DN15/DN14</f>
        <v>0.27551020408163263</v>
      </c>
      <c r="DO16" s="51">
        <f t="shared" si="268"/>
        <v>0.27551020408163263</v>
      </c>
      <c r="DP16" s="51">
        <f t="shared" ref="DP16:DR16" si="269">+DP15/DP14</f>
        <v>0.27551020408163263</v>
      </c>
      <c r="DQ16" s="51">
        <f t="shared" si="269"/>
        <v>0.27551020408163263</v>
      </c>
      <c r="DR16" s="51">
        <f t="shared" si="269"/>
        <v>0.30208333333333331</v>
      </c>
      <c r="DS16" s="51">
        <f t="shared" ref="DS16:DT16" si="270">+DS15/DS14</f>
        <v>0.31578947368421051</v>
      </c>
      <c r="DT16" s="51">
        <f t="shared" si="270"/>
        <v>0.31578947368421051</v>
      </c>
      <c r="DU16" s="51">
        <f t="shared" ref="DU16:DV16" si="271">+DU15/DU14</f>
        <v>0.31578947368421051</v>
      </c>
      <c r="DV16" s="51">
        <f t="shared" si="271"/>
        <v>0.31578947368421051</v>
      </c>
      <c r="DW16" s="51">
        <f t="shared" ref="DW16:DX16" si="272">+DW15/DW14</f>
        <v>0.27551020408163263</v>
      </c>
      <c r="DX16" s="51">
        <f t="shared" si="272"/>
        <v>0.27551020408163263</v>
      </c>
      <c r="DY16" s="51">
        <f t="shared" ref="DY16:DZ16" si="273">+DY15/DY14</f>
        <v>0.27551020408163263</v>
      </c>
      <c r="DZ16" s="51">
        <f t="shared" si="273"/>
        <v>0.27551020408163263</v>
      </c>
      <c r="EA16" s="51">
        <f t="shared" ref="EA16:EB16" si="274">+EA15/EA14</f>
        <v>0.27551020408163263</v>
      </c>
      <c r="EB16" s="51">
        <f t="shared" si="274"/>
        <v>0.27551020408163263</v>
      </c>
      <c r="EC16" s="51">
        <f t="shared" ref="EC16:ED16" si="275">+EC15/EC14</f>
        <v>0.27551020408163263</v>
      </c>
      <c r="ED16" s="51">
        <f t="shared" si="275"/>
        <v>0.27551020408163263</v>
      </c>
      <c r="EE16" s="51">
        <f t="shared" ref="EE16:EF16" si="276">+EE15/EE14</f>
        <v>0.30208333333333331</v>
      </c>
      <c r="EF16" s="51">
        <f t="shared" si="276"/>
        <v>0.31578947368421051</v>
      </c>
      <c r="EG16" s="51">
        <f t="shared" ref="EG16:EH16" si="277">+EG15/EG14</f>
        <v>0.31578947368421051</v>
      </c>
      <c r="EH16" s="51">
        <f t="shared" si="277"/>
        <v>0.31578947368421051</v>
      </c>
      <c r="EI16" s="51">
        <f t="shared" ref="EI16:EJ16" si="278">+EI15/EI14</f>
        <v>0.32978723404255317</v>
      </c>
      <c r="EJ16" s="51">
        <f t="shared" si="278"/>
        <v>0.32978723404255317</v>
      </c>
      <c r="EK16" s="51">
        <f t="shared" ref="EK16:EL16" si="279">+EK15/EK14</f>
        <v>0.32978723404255317</v>
      </c>
      <c r="EL16" s="51">
        <f t="shared" si="279"/>
        <v>0.34408602150537637</v>
      </c>
      <c r="EM16" s="51">
        <f t="shared" ref="EM16:EN16" si="280">+EM15/EM14</f>
        <v>0.34408602150537637</v>
      </c>
      <c r="EN16" s="51">
        <f t="shared" si="280"/>
        <v>0.34408602150537637</v>
      </c>
      <c r="EO16" s="51">
        <f t="shared" ref="EO16:EP16" si="281">+EO15/EO14</f>
        <v>0.35869565217391303</v>
      </c>
      <c r="EP16" s="51">
        <f t="shared" si="281"/>
        <v>0.35869565217391303</v>
      </c>
      <c r="EQ16" s="51">
        <f t="shared" ref="EQ16:ER16" si="282">+EQ15/EQ14</f>
        <v>0.35869565217391303</v>
      </c>
      <c r="ER16" s="51">
        <f t="shared" si="282"/>
        <v>0.32978723404255317</v>
      </c>
      <c r="ES16" s="51">
        <f t="shared" ref="ES16:EW16" si="283">+ES15/ES14</f>
        <v>0.32978723404255317</v>
      </c>
      <c r="ET16" s="51">
        <f t="shared" si="283"/>
        <v>0.32978723404255317</v>
      </c>
      <c r="EU16" s="51">
        <f t="shared" si="283"/>
        <v>0.32978723404255317</v>
      </c>
      <c r="EV16" s="51">
        <f t="shared" si="283"/>
        <v>0.32978723404255317</v>
      </c>
      <c r="EW16" s="51">
        <f t="shared" si="283"/>
        <v>0.32978723404255317</v>
      </c>
      <c r="EX16" s="51">
        <f t="shared" ref="EX16:FA16" si="284">+EX15/EX14</f>
        <v>0.32978723404255317</v>
      </c>
      <c r="EY16" s="51">
        <f t="shared" si="284"/>
        <v>0.32978723404255317</v>
      </c>
      <c r="EZ16" s="51">
        <f t="shared" si="284"/>
        <v>0.32978723404255317</v>
      </c>
      <c r="FA16" s="51">
        <f t="shared" si="284"/>
        <v>0.32978723404255317</v>
      </c>
      <c r="FB16" s="51">
        <f t="shared" ref="FB16:FC16" si="285">+FB15/FB14</f>
        <v>0.32978723404255317</v>
      </c>
      <c r="FC16" s="51">
        <f t="shared" si="285"/>
        <v>0.32978723404255317</v>
      </c>
      <c r="FD16" s="51">
        <f t="shared" ref="FD16:FE16" si="286">+FD15/FD14</f>
        <v>0.32978723404255317</v>
      </c>
      <c r="FE16" s="51">
        <f t="shared" si="286"/>
        <v>0.32978723404255317</v>
      </c>
      <c r="FF16" s="51">
        <f t="shared" ref="FF16:FG16" si="287">+FF15/FF14</f>
        <v>0.32978723404255317</v>
      </c>
      <c r="FG16" s="51">
        <f t="shared" si="287"/>
        <v>0.32978723404255317</v>
      </c>
      <c r="FH16" s="51">
        <f t="shared" ref="FH16:FI16" si="288">+FH15/FH14</f>
        <v>0.31578947368421051</v>
      </c>
      <c r="FI16" s="51">
        <f t="shared" si="288"/>
        <v>0.31578947368421051</v>
      </c>
      <c r="FJ16" s="51">
        <f t="shared" ref="FJ16:FM16" si="289">+FJ15/FJ14</f>
        <v>0.1</v>
      </c>
      <c r="FK16" s="51">
        <f t="shared" si="289"/>
        <v>0.1</v>
      </c>
      <c r="FL16" s="51">
        <f t="shared" si="289"/>
        <v>0.1</v>
      </c>
      <c r="FM16" s="51">
        <f t="shared" si="289"/>
        <v>0.14835164835164835</v>
      </c>
      <c r="FN16" s="51">
        <f t="shared" ref="FN16:FQ16" si="290">+FN15/FN14</f>
        <v>0.14835164835164835</v>
      </c>
      <c r="FO16" s="51">
        <f t="shared" si="290"/>
        <v>0.16111111111111112</v>
      </c>
      <c r="FP16" s="51">
        <f t="shared" si="290"/>
        <v>0.16111111111111112</v>
      </c>
      <c r="FQ16" s="51">
        <f t="shared" si="290"/>
        <v>0.14835164835164835</v>
      </c>
      <c r="FR16" s="51">
        <f t="shared" ref="FR16:FV16" si="291">+FR15/FR14</f>
        <v>8.7912087912088044E-2</v>
      </c>
      <c r="FS16" s="51">
        <f t="shared" si="291"/>
        <v>8.7912087912088044E-2</v>
      </c>
      <c r="FT16" s="51">
        <f t="shared" si="291"/>
        <v>8.7912087912088044E-2</v>
      </c>
      <c r="FU16" s="51">
        <f t="shared" si="291"/>
        <v>8.7912087912088044E-2</v>
      </c>
      <c r="FV16" s="51">
        <f t="shared" si="291"/>
        <v>0.10000000000000013</v>
      </c>
      <c r="FW16" s="51">
        <f t="shared" ref="FW16:FZ16" si="292">+FW15/FW14</f>
        <v>0.10000000000000013</v>
      </c>
      <c r="FX16" s="51">
        <f t="shared" si="292"/>
        <v>0.10000000000000013</v>
      </c>
      <c r="FY16" s="51">
        <f t="shared" si="292"/>
        <v>6.4516129032258188E-2</v>
      </c>
      <c r="FZ16" s="51">
        <f t="shared" si="292"/>
        <v>6.4516129032258188E-2</v>
      </c>
      <c r="GA16" s="51">
        <f t="shared" ref="GA16:GE16" si="293">+GA15/GA14</f>
        <v>-1</v>
      </c>
      <c r="GB16" s="51">
        <f t="shared" si="293"/>
        <v>-1</v>
      </c>
      <c r="GC16" s="51">
        <f t="shared" si="293"/>
        <v>-1</v>
      </c>
      <c r="GD16" s="51">
        <f t="shared" si="293"/>
        <v>-1</v>
      </c>
      <c r="GE16" s="51">
        <f t="shared" si="293"/>
        <v>-1</v>
      </c>
      <c r="GF16" s="51">
        <f t="shared" ref="GF16:GI16" si="294">+GF15/GF14</f>
        <v>-1</v>
      </c>
      <c r="GG16" s="51">
        <f t="shared" si="294"/>
        <v>-1</v>
      </c>
      <c r="GH16" s="51">
        <f t="shared" si="294"/>
        <v>-1</v>
      </c>
      <c r="GI16" s="51">
        <f t="shared" si="294"/>
        <v>-1</v>
      </c>
      <c r="GJ16" s="51">
        <f t="shared" ref="GJ16:GL16" si="295">+GJ15/GJ14</f>
        <v>-1</v>
      </c>
      <c r="GK16" s="51">
        <f t="shared" si="295"/>
        <v>-1</v>
      </c>
      <c r="GL16" s="51">
        <f t="shared" si="295"/>
        <v>-1</v>
      </c>
      <c r="GM16" s="51">
        <f t="shared" ref="GM16:GR16" si="296">+GM15/GM14</f>
        <v>-1</v>
      </c>
      <c r="GN16" s="51">
        <f t="shared" si="296"/>
        <v>-1</v>
      </c>
      <c r="GO16" s="51">
        <f t="shared" si="296"/>
        <v>-1</v>
      </c>
      <c r="GP16" s="51">
        <f t="shared" si="296"/>
        <v>-1</v>
      </c>
      <c r="GQ16" s="51">
        <f t="shared" si="296"/>
        <v>-1</v>
      </c>
      <c r="GR16" s="51">
        <f t="shared" si="296"/>
        <v>-1</v>
      </c>
      <c r="GS16" s="51">
        <f t="shared" ref="GS16:GV16" si="297">+GS15/GS14</f>
        <v>-1</v>
      </c>
      <c r="GT16" s="51">
        <f t="shared" si="297"/>
        <v>-1</v>
      </c>
      <c r="GU16" s="51">
        <f t="shared" si="297"/>
        <v>-1</v>
      </c>
      <c r="GV16" s="51">
        <f t="shared" si="297"/>
        <v>-1</v>
      </c>
      <c r="GW16" s="51">
        <f t="shared" ref="GW16:GZ16" si="298">+GW15/GW14</f>
        <v>-1</v>
      </c>
      <c r="GX16" s="51">
        <f t="shared" si="298"/>
        <v>-1</v>
      </c>
      <c r="GY16" s="51">
        <f t="shared" si="298"/>
        <v>-1</v>
      </c>
      <c r="GZ16" s="51">
        <f t="shared" si="298"/>
        <v>-1</v>
      </c>
      <c r="HA16" s="51">
        <f t="shared" ref="HA16:HE16" si="299">+HA15/HA14</f>
        <v>-1</v>
      </c>
      <c r="HB16" s="51">
        <f t="shared" si="299"/>
        <v>-1</v>
      </c>
      <c r="HC16" s="51">
        <f t="shared" si="299"/>
        <v>-1</v>
      </c>
      <c r="HD16" s="51">
        <f t="shared" si="299"/>
        <v>-1</v>
      </c>
      <c r="HE16" s="51">
        <f t="shared" si="299"/>
        <v>-1</v>
      </c>
      <c r="HF16" s="51">
        <f t="shared" ref="HF16:HI16" si="300">+HF15/HF14</f>
        <v>-1</v>
      </c>
      <c r="HG16" s="51">
        <f t="shared" si="300"/>
        <v>-1</v>
      </c>
      <c r="HH16" s="51">
        <f t="shared" si="300"/>
        <v>-1</v>
      </c>
      <c r="HI16" s="51">
        <f t="shared" si="300"/>
        <v>-1</v>
      </c>
      <c r="HJ16" s="51">
        <f t="shared" ref="HJ16:HM16" si="301">+HJ15/HJ14</f>
        <v>-1</v>
      </c>
      <c r="HK16" s="51">
        <f t="shared" si="301"/>
        <v>-1</v>
      </c>
      <c r="HL16" s="51">
        <f t="shared" si="301"/>
        <v>-1</v>
      </c>
      <c r="HM16" s="51">
        <f t="shared" si="301"/>
        <v>-1</v>
      </c>
      <c r="HN16" s="51">
        <f t="shared" ref="HN16:HR16" si="302">+HN15/HN14</f>
        <v>-1</v>
      </c>
      <c r="HO16" s="51">
        <f t="shared" si="302"/>
        <v>-1</v>
      </c>
      <c r="HP16" s="51">
        <f t="shared" si="302"/>
        <v>-1</v>
      </c>
      <c r="HQ16" s="51">
        <f t="shared" si="302"/>
        <v>-1</v>
      </c>
      <c r="HR16" s="51">
        <f t="shared" si="302"/>
        <v>-1</v>
      </c>
      <c r="HS16" s="51">
        <f t="shared" ref="HS16:HV16" si="303">+HS15/HS14</f>
        <v>-1</v>
      </c>
      <c r="HT16" s="51">
        <f t="shared" si="303"/>
        <v>-1</v>
      </c>
      <c r="HU16" s="51">
        <f t="shared" si="303"/>
        <v>-1</v>
      </c>
      <c r="HV16" s="51">
        <f t="shared" si="303"/>
        <v>-1</v>
      </c>
      <c r="HW16" s="51">
        <f t="shared" ref="HW16:HZ16" si="304">+HW15/HW14</f>
        <v>-1</v>
      </c>
      <c r="HX16" s="51">
        <f t="shared" si="304"/>
        <v>-1</v>
      </c>
      <c r="HY16" s="51">
        <f t="shared" si="304"/>
        <v>-1</v>
      </c>
      <c r="HZ16" s="51">
        <f t="shared" si="304"/>
        <v>-1</v>
      </c>
      <c r="IA16" s="51">
        <f t="shared" ref="IA16:IE16" si="305">+IA15/IA14</f>
        <v>-1</v>
      </c>
      <c r="IB16" s="51">
        <f t="shared" si="305"/>
        <v>-1</v>
      </c>
      <c r="IC16" s="51" t="e">
        <f t="shared" si="305"/>
        <v>#DIV/0!</v>
      </c>
      <c r="ID16" s="51" t="e">
        <f t="shared" si="305"/>
        <v>#DIV/0!</v>
      </c>
      <c r="IE16" s="51" t="e">
        <f t="shared" si="305"/>
        <v>#DIV/0!</v>
      </c>
    </row>
    <row r="17" spans="6:239">
      <c r="H17" s="1" t="s">
        <v>87</v>
      </c>
      <c r="I17" s="3">
        <v>700</v>
      </c>
      <c r="J17" s="3">
        <v>700</v>
      </c>
      <c r="K17" s="3">
        <v>700</v>
      </c>
      <c r="L17" s="3">
        <v>700</v>
      </c>
      <c r="M17" s="3">
        <v>700</v>
      </c>
      <c r="N17" s="3">
        <v>700</v>
      </c>
      <c r="O17" s="3">
        <v>700</v>
      </c>
      <c r="P17" s="3">
        <v>700</v>
      </c>
      <c r="Q17" s="3">
        <v>700</v>
      </c>
      <c r="R17" s="3">
        <v>700</v>
      </c>
      <c r="S17" s="3">
        <v>700</v>
      </c>
      <c r="T17" s="3">
        <v>700</v>
      </c>
      <c r="U17" s="3">
        <v>700</v>
      </c>
      <c r="V17" s="3">
        <v>700</v>
      </c>
      <c r="W17" s="3">
        <v>700</v>
      </c>
      <c r="X17" s="3">
        <v>700</v>
      </c>
      <c r="Y17" s="3">
        <v>700</v>
      </c>
      <c r="Z17" s="3">
        <v>700</v>
      </c>
      <c r="AA17" s="3">
        <v>867</v>
      </c>
      <c r="AB17" s="3">
        <v>896</v>
      </c>
      <c r="AC17" s="3">
        <v>917</v>
      </c>
      <c r="AD17" s="3">
        <v>929.83940375991074</v>
      </c>
      <c r="AE17" s="3">
        <v>937.6525486806504</v>
      </c>
      <c r="AF17" s="3">
        <v>903.25545215030104</v>
      </c>
      <c r="AG17" s="3">
        <v>892.9656675146</v>
      </c>
      <c r="AH17" s="3">
        <v>888.18378633668294</v>
      </c>
      <c r="AI17" s="3">
        <v>888.72553118965845</v>
      </c>
      <c r="AJ17" s="3">
        <v>907.07292397839512</v>
      </c>
      <c r="AK17" s="3">
        <v>882.40131799312564</v>
      </c>
      <c r="AL17" s="3">
        <v>879.34169259731004</v>
      </c>
      <c r="AM17" s="3">
        <v>869.51494640636486</v>
      </c>
      <c r="AN17" s="3">
        <v>858.88795414284152</v>
      </c>
      <c r="AO17" s="3">
        <v>871.88030785226169</v>
      </c>
      <c r="AP17" s="3">
        <v>720.35177011385679</v>
      </c>
      <c r="AQ17" s="3">
        <v>720.52419756540337</v>
      </c>
      <c r="AR17" s="3">
        <v>733.774414718137</v>
      </c>
      <c r="AS17" s="3">
        <v>747.86078922841239</v>
      </c>
      <c r="AT17" s="3">
        <v>740.87159509676439</v>
      </c>
      <c r="AU17" s="3">
        <v>746.42906346587836</v>
      </c>
      <c r="AV17" s="3">
        <v>774.16653942368782</v>
      </c>
      <c r="AW17" s="3">
        <v>732.9716038235124</v>
      </c>
      <c r="AX17" s="3">
        <v>750.60092810344258</v>
      </c>
      <c r="AY17" s="3">
        <v>753.75296484707974</v>
      </c>
      <c r="BC17" s="1" t="s">
        <v>87</v>
      </c>
      <c r="BD17" s="41">
        <v>1110</v>
      </c>
      <c r="BE17" s="3">
        <v>700</v>
      </c>
      <c r="BF17" s="3">
        <v>700</v>
      </c>
      <c r="BG17" s="3">
        <v>700</v>
      </c>
      <c r="BH17" s="3">
        <v>700</v>
      </c>
      <c r="BI17" s="3">
        <v>700</v>
      </c>
      <c r="BJ17" s="3">
        <v>700</v>
      </c>
      <c r="BK17" s="3">
        <v>700</v>
      </c>
      <c r="BL17" s="3">
        <v>700</v>
      </c>
      <c r="BM17" s="3">
        <v>700</v>
      </c>
      <c r="BN17" s="3">
        <v>700</v>
      </c>
      <c r="BO17" s="3">
        <v>700</v>
      </c>
      <c r="BP17" s="3">
        <v>700</v>
      </c>
      <c r="BQ17" s="3">
        <v>700</v>
      </c>
      <c r="BR17" s="3">
        <v>700</v>
      </c>
      <c r="BS17" s="3">
        <v>700</v>
      </c>
      <c r="BT17" s="3">
        <v>700</v>
      </c>
      <c r="BU17" s="3">
        <v>700</v>
      </c>
      <c r="BV17" s="3">
        <v>700</v>
      </c>
      <c r="BW17" s="3">
        <v>700</v>
      </c>
      <c r="BX17" s="3">
        <v>700</v>
      </c>
      <c r="BY17" s="3">
        <v>700</v>
      </c>
      <c r="BZ17" s="3">
        <v>700</v>
      </c>
      <c r="CA17" s="3">
        <v>700</v>
      </c>
      <c r="CB17" s="3">
        <v>700</v>
      </c>
      <c r="CC17" s="3">
        <v>700</v>
      </c>
      <c r="CD17" s="3">
        <v>700</v>
      </c>
      <c r="CE17" s="3">
        <v>700</v>
      </c>
      <c r="CF17" s="3">
        <v>700</v>
      </c>
      <c r="CG17" s="3">
        <v>700</v>
      </c>
      <c r="CH17" s="3">
        <v>700</v>
      </c>
      <c r="CI17" s="3">
        <v>700</v>
      </c>
      <c r="CJ17" s="3">
        <v>700</v>
      </c>
      <c r="CK17" s="3">
        <v>700</v>
      </c>
      <c r="CL17" s="3">
        <v>700</v>
      </c>
      <c r="CM17" s="3">
        <v>700</v>
      </c>
      <c r="CN17" s="3">
        <v>700</v>
      </c>
      <c r="CO17" s="3">
        <v>700</v>
      </c>
      <c r="CP17" s="3">
        <v>700</v>
      </c>
      <c r="CQ17" s="3">
        <v>700</v>
      </c>
      <c r="CR17" s="3">
        <v>700</v>
      </c>
      <c r="CS17" s="3">
        <v>700</v>
      </c>
      <c r="CT17" s="3">
        <v>700</v>
      </c>
      <c r="CU17" s="3">
        <v>700</v>
      </c>
      <c r="CV17" s="3">
        <v>700</v>
      </c>
      <c r="CW17" s="3">
        <v>700</v>
      </c>
      <c r="CX17" s="3">
        <v>700</v>
      </c>
      <c r="CY17" s="3">
        <v>700</v>
      </c>
      <c r="CZ17" s="3">
        <v>700</v>
      </c>
      <c r="DA17" s="3">
        <v>700</v>
      </c>
      <c r="DB17" s="3">
        <v>700</v>
      </c>
      <c r="DC17" s="3">
        <v>700</v>
      </c>
      <c r="DD17" s="3">
        <v>700</v>
      </c>
      <c r="DE17" s="3">
        <v>700</v>
      </c>
      <c r="DF17" s="3">
        <v>700</v>
      </c>
      <c r="DG17" s="3">
        <v>700</v>
      </c>
      <c r="DH17" s="3">
        <v>700</v>
      </c>
      <c r="DI17" s="3">
        <v>700</v>
      </c>
      <c r="DJ17" s="3">
        <v>700</v>
      </c>
      <c r="DK17" s="3">
        <v>700</v>
      </c>
      <c r="DL17" s="3">
        <v>700</v>
      </c>
      <c r="DM17" s="3">
        <v>700</v>
      </c>
      <c r="DN17" s="3">
        <v>700</v>
      </c>
      <c r="DO17" s="3">
        <v>700</v>
      </c>
      <c r="DP17" s="3">
        <v>700</v>
      </c>
      <c r="DQ17" s="3">
        <v>700</v>
      </c>
      <c r="DR17" s="3">
        <v>700</v>
      </c>
      <c r="DS17" s="3">
        <v>700</v>
      </c>
      <c r="DT17" s="3">
        <v>700</v>
      </c>
      <c r="DU17" s="3">
        <v>700</v>
      </c>
      <c r="DV17" s="3">
        <v>700</v>
      </c>
      <c r="DW17" s="3">
        <v>700</v>
      </c>
      <c r="DX17" s="3">
        <v>700</v>
      </c>
      <c r="DY17" s="3">
        <v>700</v>
      </c>
      <c r="DZ17" s="3">
        <v>700</v>
      </c>
      <c r="EA17" s="3">
        <v>700</v>
      </c>
      <c r="EB17" s="1">
        <v>867</v>
      </c>
      <c r="EC17" s="1">
        <v>867</v>
      </c>
      <c r="ED17" s="1">
        <v>867</v>
      </c>
      <c r="EE17" s="1">
        <v>867</v>
      </c>
      <c r="EF17" s="1">
        <v>896</v>
      </c>
      <c r="EG17" s="1">
        <v>896</v>
      </c>
      <c r="EH17" s="1">
        <v>896</v>
      </c>
      <c r="EI17" s="1">
        <v>896</v>
      </c>
      <c r="EJ17" s="1">
        <v>896</v>
      </c>
      <c r="EK17" s="1">
        <v>917</v>
      </c>
      <c r="EL17" s="1">
        <v>917</v>
      </c>
      <c r="EM17" s="1">
        <v>917</v>
      </c>
      <c r="EN17" s="1">
        <v>917</v>
      </c>
      <c r="EO17" s="173">
        <v>929.83940375991074</v>
      </c>
      <c r="EP17" s="173">
        <v>929.83940375991074</v>
      </c>
      <c r="EQ17" s="173">
        <v>929.83940375991074</v>
      </c>
      <c r="ER17" s="173">
        <v>929.83940375991074</v>
      </c>
      <c r="ES17" s="173">
        <v>937.6525486806504</v>
      </c>
      <c r="ET17" s="173">
        <v>937.6525486806504</v>
      </c>
      <c r="EU17" s="173">
        <v>937.6525486806504</v>
      </c>
      <c r="EV17" s="173">
        <v>937.6525486806504</v>
      </c>
      <c r="EW17" s="173">
        <v>937.6525486806504</v>
      </c>
      <c r="EX17" s="173">
        <v>903.25545215030104</v>
      </c>
      <c r="EY17" s="173">
        <v>903.25545215030104</v>
      </c>
      <c r="EZ17" s="173">
        <v>903.25545215030104</v>
      </c>
      <c r="FA17" s="173">
        <v>903.25545215030104</v>
      </c>
      <c r="FB17" s="173">
        <v>892.9656675146</v>
      </c>
      <c r="FC17" s="173">
        <v>892.9656675146</v>
      </c>
      <c r="FD17" s="173">
        <v>892.9656675146</v>
      </c>
      <c r="FE17" s="173">
        <v>892.9656675146</v>
      </c>
      <c r="FF17" s="173">
        <v>888.18378633668294</v>
      </c>
      <c r="FG17" s="173">
        <v>888.18378633668294</v>
      </c>
      <c r="FH17" s="173">
        <v>888.18378633668294</v>
      </c>
      <c r="FI17" s="173">
        <v>888.18378633668294</v>
      </c>
      <c r="FJ17" s="173">
        <v>888.72553118965845</v>
      </c>
      <c r="FK17" s="173">
        <v>888.72553118965845</v>
      </c>
      <c r="FL17" s="173">
        <v>888.72553118965845</v>
      </c>
      <c r="FM17" s="173">
        <v>888.72553118965845</v>
      </c>
      <c r="FN17" s="173">
        <v>907.07292397839512</v>
      </c>
      <c r="FO17" s="173">
        <v>907.07292397839512</v>
      </c>
      <c r="FP17" s="173">
        <v>907.07292397839512</v>
      </c>
      <c r="FQ17" s="173">
        <v>907.07292397839512</v>
      </c>
      <c r="FR17" s="173">
        <v>882.40131799312564</v>
      </c>
      <c r="FS17" s="173">
        <v>882.40131799312564</v>
      </c>
      <c r="FT17" s="173">
        <v>882.40131799312564</v>
      </c>
      <c r="FU17" s="173">
        <v>882.40131799312564</v>
      </c>
      <c r="FV17" s="173">
        <v>882.40131799312564</v>
      </c>
      <c r="FW17" s="173">
        <v>879.34169259731004</v>
      </c>
      <c r="FX17" s="173">
        <v>879.34169259731004</v>
      </c>
      <c r="FY17" s="173">
        <v>879.34169259731004</v>
      </c>
      <c r="FZ17" s="173">
        <v>879.34169259731004</v>
      </c>
      <c r="GA17" s="3">
        <v>869.51494640636486</v>
      </c>
      <c r="GB17" s="3">
        <v>869.51494640636486</v>
      </c>
      <c r="GC17" s="3">
        <v>869.51494640636486</v>
      </c>
      <c r="GD17" s="3">
        <v>869.51494640636486</v>
      </c>
      <c r="GE17" s="3">
        <v>869.51494640636486</v>
      </c>
      <c r="GF17" s="3">
        <v>858.88795414284152</v>
      </c>
      <c r="GG17" s="3">
        <v>858.88795414284152</v>
      </c>
      <c r="GH17" s="3">
        <v>858.88795414284152</v>
      </c>
      <c r="GI17" s="3">
        <v>858.88795414284152</v>
      </c>
      <c r="GJ17" s="3">
        <v>871.88030785226169</v>
      </c>
      <c r="GK17" s="3">
        <v>871.88030785226169</v>
      </c>
      <c r="GL17" s="3">
        <v>871.88030785226169</v>
      </c>
      <c r="GM17" s="3">
        <v>871.88030785226169</v>
      </c>
      <c r="GN17" s="3">
        <v>720.35177011385679</v>
      </c>
      <c r="GO17" s="3">
        <v>720.35177011385679</v>
      </c>
      <c r="GP17" s="3">
        <v>720.35177011385679</v>
      </c>
      <c r="GQ17" s="3">
        <v>720.35177011385679</v>
      </c>
      <c r="GR17" s="3">
        <v>720.35177011385679</v>
      </c>
      <c r="GS17" s="3">
        <v>720.52419756540337</v>
      </c>
      <c r="GT17" s="3">
        <v>720.52419756540337</v>
      </c>
      <c r="GU17" s="3">
        <v>720.52419756540337</v>
      </c>
      <c r="GV17" s="3">
        <v>720.52419756540337</v>
      </c>
      <c r="GW17" s="3">
        <v>733.774414718137</v>
      </c>
      <c r="GX17" s="3">
        <v>733.774414718137</v>
      </c>
      <c r="GY17" s="3">
        <v>733.774414718137</v>
      </c>
      <c r="GZ17" s="3">
        <v>733.774414718137</v>
      </c>
      <c r="HA17" s="3">
        <v>747.86078922841239</v>
      </c>
      <c r="HB17" s="3">
        <v>747.86078922841239</v>
      </c>
      <c r="HC17" s="3">
        <v>747.86078922841239</v>
      </c>
      <c r="HD17" s="3">
        <v>747.86078922841239</v>
      </c>
      <c r="HE17" s="3">
        <v>747.86078922841239</v>
      </c>
      <c r="HF17" s="3">
        <v>747.86078922841239</v>
      </c>
      <c r="HG17" s="3">
        <v>747.86078922841239</v>
      </c>
      <c r="HH17" s="3">
        <v>747.86078922841239</v>
      </c>
      <c r="HI17" s="3">
        <v>747.86078922841239</v>
      </c>
      <c r="HJ17" s="3">
        <v>746.42906346587836</v>
      </c>
      <c r="HK17" s="3">
        <v>746.42906346587836</v>
      </c>
      <c r="HL17" s="3">
        <v>746.42906346587836</v>
      </c>
      <c r="HM17" s="3">
        <v>746.42906346587836</v>
      </c>
      <c r="HN17" s="185">
        <v>774.16653942368782</v>
      </c>
      <c r="HO17" s="185">
        <v>774.16653942368782</v>
      </c>
      <c r="HP17" s="185">
        <v>774.16653942368782</v>
      </c>
      <c r="HQ17" s="185">
        <v>774.16653942368782</v>
      </c>
      <c r="HR17" s="185">
        <v>774.16653942368782</v>
      </c>
      <c r="HS17" s="185">
        <v>732.9716038235124</v>
      </c>
      <c r="HT17" s="185">
        <v>732.9716038235124</v>
      </c>
      <c r="HU17" s="185">
        <v>732.9716038235124</v>
      </c>
      <c r="HV17" s="185">
        <v>732.9716038235124</v>
      </c>
      <c r="HW17" s="185">
        <v>750.60092810344258</v>
      </c>
      <c r="HX17" s="185">
        <v>750.60092810344258</v>
      </c>
      <c r="HY17" s="185">
        <v>750.60092810344258</v>
      </c>
      <c r="HZ17" s="185">
        <v>750.60092810344258</v>
      </c>
      <c r="IA17" s="185">
        <v>753.75296484707974</v>
      </c>
      <c r="IB17" s="185">
        <v>753.75296484707974</v>
      </c>
      <c r="IC17" s="185">
        <v>753.75296484707974</v>
      </c>
      <c r="ID17" s="185">
        <v>753.75296484707974</v>
      </c>
      <c r="IE17" s="185">
        <v>753.75296484707974</v>
      </c>
    </row>
    <row r="18" spans="6:239" hidden="1">
      <c r="H18" s="1" t="s">
        <v>106</v>
      </c>
      <c r="O18" s="1">
        <f>CG18</f>
        <v>0</v>
      </c>
      <c r="P18" s="1">
        <f>CH18</f>
        <v>0</v>
      </c>
      <c r="BC18" s="1" t="s">
        <v>106</v>
      </c>
      <c r="HN18" s="185"/>
      <c r="HO18" s="185"/>
      <c r="HP18" s="185"/>
      <c r="HQ18" s="185"/>
      <c r="HR18" s="185"/>
      <c r="HS18" s="185"/>
      <c r="HT18" s="185"/>
      <c r="HU18" s="185"/>
      <c r="HV18" s="185"/>
      <c r="HW18" s="185"/>
      <c r="HX18" s="185"/>
      <c r="HY18" s="185"/>
      <c r="HZ18" s="185"/>
      <c r="IA18" s="185"/>
      <c r="IB18" s="185"/>
      <c r="IC18" s="185"/>
      <c r="ID18" s="185"/>
      <c r="IE18" s="185"/>
    </row>
    <row r="19" spans="6:239" ht="15.5">
      <c r="F19" s="162"/>
      <c r="H19" s="163" t="s">
        <v>115</v>
      </c>
      <c r="BC19" s="163" t="s">
        <v>115</v>
      </c>
      <c r="CW19" s="1">
        <v>810</v>
      </c>
      <c r="CX19" s="1">
        <v>810</v>
      </c>
      <c r="CY19" s="1">
        <v>810</v>
      </c>
      <c r="CZ19" s="1">
        <v>810</v>
      </c>
      <c r="DA19" s="1">
        <v>810</v>
      </c>
      <c r="DB19" s="1">
        <v>810</v>
      </c>
      <c r="DC19" s="1">
        <v>810</v>
      </c>
      <c r="DD19" s="1">
        <f>'Ma trận giá bán vảy HDPE ÉP'!AR6</f>
        <v>810</v>
      </c>
      <c r="DE19" s="1">
        <f>'Ma trận giá bán vảy HDPE ÉP'!AS6</f>
        <v>810</v>
      </c>
      <c r="DF19" s="1">
        <f>'Ma trận giá bán vảy HDPE ÉP'!AT6</f>
        <v>810</v>
      </c>
      <c r="DG19" s="1">
        <f>'Ma trận giá bán vảy HDPE ÉP'!AU6</f>
        <v>810</v>
      </c>
      <c r="DH19" s="1">
        <f>'Ma trận giá bán vảy HDPE ÉP'!AV6</f>
        <v>880</v>
      </c>
      <c r="DI19" s="1">
        <f>'Ma trận giá bán vảy HDPE ÉP'!AW6</f>
        <v>880</v>
      </c>
      <c r="DJ19" s="1">
        <f>'Ma trận giá bán vảy HDPE ÉP'!AX6</f>
        <v>880</v>
      </c>
      <c r="DK19" s="1">
        <f>'Ma trận giá bán vảy HDPE ÉP'!AY6</f>
        <v>900</v>
      </c>
      <c r="DL19" s="1">
        <f>'Ma trận giá bán vảy HDPE ÉP'!AZ6</f>
        <v>900</v>
      </c>
      <c r="DM19" s="1">
        <f>'Ma trận giá bán vảy HDPE ÉP'!BA6</f>
        <v>900</v>
      </c>
      <c r="DN19" s="1">
        <f>'Ma trận giá bán vảy HDPE ÉP'!BB6</f>
        <v>900</v>
      </c>
      <c r="DO19" s="1">
        <f>'Ma trận giá bán vảy HDPE ÉP'!BC6</f>
        <v>900</v>
      </c>
      <c r="DP19" s="1">
        <f>'Ma trận giá bán vảy HDPE ÉP'!BD6</f>
        <v>900</v>
      </c>
      <c r="DQ19" s="1">
        <f>'Ma trận giá bán vảy HDPE ÉP'!BE6</f>
        <v>900</v>
      </c>
      <c r="DR19" s="1">
        <f>'Ma trận giá bán vảy HDPE ÉP'!BF6</f>
        <v>900</v>
      </c>
      <c r="DS19" s="1">
        <f>'Ma trận giá bán vảy HDPE ÉP'!BG6</f>
        <v>870</v>
      </c>
      <c r="DT19" s="1">
        <f>'Ma trận giá bán vảy HDPE ÉP'!BH6</f>
        <v>870</v>
      </c>
      <c r="DU19" s="1">
        <f>'Ma trận giá bán vảy HDPE ÉP'!BI6</f>
        <v>870</v>
      </c>
      <c r="DV19" s="1">
        <f>'Ma trận giá bán vảy HDPE ÉP'!BJ6</f>
        <v>870</v>
      </c>
      <c r="DW19" s="1">
        <f>'Ma trận giá bán vảy HDPE ÉP'!BK6</f>
        <v>870</v>
      </c>
      <c r="DX19" s="1">
        <f>'Ma trận giá bán vảy HDPE ÉP'!BL6</f>
        <v>870</v>
      </c>
      <c r="DY19" s="1">
        <f>'Ma trận giá bán vảy HDPE ÉP'!BM6</f>
        <v>870</v>
      </c>
      <c r="DZ19" s="1">
        <f>'Ma trận giá bán vảy HDPE ÉP'!BN6</f>
        <v>870</v>
      </c>
      <c r="EA19" s="1">
        <f>'Ma trận giá bán vảy HDPE ÉP'!BO6</f>
        <v>870</v>
      </c>
      <c r="EB19" s="1">
        <f>'Ma trận giá bán vảy HDPE ÉP'!BP6</f>
        <v>870</v>
      </c>
      <c r="EC19" s="1">
        <f>'Ma trận giá bán vảy HDPE ÉP'!BQ6</f>
        <v>870</v>
      </c>
      <c r="ED19" s="1">
        <f>'Ma trận giá bán vảy HDPE ÉP'!BR6</f>
        <v>870</v>
      </c>
      <c r="EE19" s="1">
        <f>'Ma trận giá bán vảy HDPE ÉP'!BS6</f>
        <v>870</v>
      </c>
      <c r="EF19" s="1">
        <f>'Ma trận giá bán vảy HDPE ÉP'!BT6</f>
        <v>870</v>
      </c>
      <c r="EG19" s="1">
        <f>'Ma trận giá bán vảy HDPE ÉP'!BU6</f>
        <v>870</v>
      </c>
      <c r="EH19" s="1">
        <f>'Ma trận giá bán vảy HDPE ÉP'!BV6</f>
        <v>870</v>
      </c>
      <c r="EI19" s="1">
        <f>'Ma trận giá bán vảy HDPE ÉP'!BW6</f>
        <v>870</v>
      </c>
      <c r="EJ19" s="1">
        <f>'Ma trận giá bán vảy HDPE ÉP'!BX6</f>
        <v>870</v>
      </c>
      <c r="EK19" s="1">
        <f>'Ma trận giá bán vảy HDPE ÉP'!BY6</f>
        <v>850</v>
      </c>
      <c r="EL19" s="1">
        <f>'Ma trận giá bán vảy HDPE ÉP'!BZ6</f>
        <v>850</v>
      </c>
      <c r="EM19" s="1">
        <f>'Ma trận giá bán vảy HDPE ÉP'!CA6</f>
        <v>850</v>
      </c>
      <c r="EN19" s="1">
        <f>'Ma trận giá bán vảy HDPE ÉP'!CB6</f>
        <v>850</v>
      </c>
      <c r="EO19" s="1">
        <f>'Ma trận giá bán vảy HDPE ÉP'!CC6</f>
        <v>840</v>
      </c>
      <c r="EP19" s="1">
        <f>'Ma trận giá bán vảy HDPE ÉP'!CD6</f>
        <v>840</v>
      </c>
      <c r="EQ19" s="1">
        <f>'Ma trận giá bán vảy HDPE ÉP'!CE6</f>
        <v>840</v>
      </c>
      <c r="ER19" s="1">
        <f>'Ma trận giá bán vảy HDPE ÉP'!CF6</f>
        <v>840</v>
      </c>
      <c r="ES19" s="1">
        <f>'Ma trận giá bán vảy HDPE ÉP'!CG6</f>
        <v>825</v>
      </c>
      <c r="ET19" s="1">
        <f>'Ma trận giá bán vảy HDPE ÉP'!CH6</f>
        <v>825</v>
      </c>
      <c r="EU19" s="1">
        <f>'Ma trận giá bán vảy HDPE ÉP'!CI6</f>
        <v>825</v>
      </c>
      <c r="EV19" s="1">
        <f>'Ma trận giá bán vảy HDPE ÉP'!CJ6</f>
        <v>825</v>
      </c>
      <c r="EW19" s="1">
        <f>'Ma trận giá bán vảy HDPE ÉP'!CK6</f>
        <v>825</v>
      </c>
      <c r="EX19" s="1">
        <f>'Ma trận giá bán vảy HDPE ÉP'!CL6</f>
        <v>825</v>
      </c>
      <c r="EY19" s="1">
        <f>'Ma trận giá bán vảy HDPE ÉP'!CM6</f>
        <v>825</v>
      </c>
      <c r="EZ19" s="1">
        <f>'Ma trận giá bán vảy HDPE ÉP'!CN6</f>
        <v>825</v>
      </c>
      <c r="FA19" s="1">
        <f>'Ma trận giá bán vảy HDPE ÉP'!CO6</f>
        <v>825</v>
      </c>
      <c r="FB19" s="1">
        <f>'Ma trận giá bán vảy HDPE ÉP'!CP6</f>
        <v>825</v>
      </c>
      <c r="FC19" s="1">
        <f>'Ma trận giá bán vảy HDPE ÉP'!CQ6</f>
        <v>825</v>
      </c>
      <c r="FD19" s="1">
        <f>'Ma trận giá bán vảy HDPE ÉP'!CR6</f>
        <v>825</v>
      </c>
      <c r="FE19" s="1">
        <f>'Ma trận giá bán vảy HDPE ÉP'!CS6</f>
        <v>825</v>
      </c>
      <c r="FF19" s="1">
        <f>'Ma trận giá bán vảy HDPE ÉP'!CT6</f>
        <v>750</v>
      </c>
      <c r="FG19" s="1">
        <f>'Ma trận giá bán vảy HDPE ÉP'!CU6</f>
        <v>750</v>
      </c>
      <c r="FH19" s="1">
        <f>'Ma trận giá bán vảy HDPE ÉP'!CV6</f>
        <v>750</v>
      </c>
      <c r="FI19" s="1">
        <f>'Ma trận giá bán vảy HDPE ÉP'!CW6</f>
        <v>750</v>
      </c>
      <c r="FJ19" s="1">
        <f>'Ma trận giá bán vảy HDPE ÉP'!CX6</f>
        <v>750</v>
      </c>
      <c r="FK19" s="1">
        <f>'Ma trận giá bán vảy HDPE ÉP'!CY6</f>
        <v>750</v>
      </c>
      <c r="FL19" s="1">
        <f>'Ma trận giá bán vảy HDPE ÉP'!CZ6</f>
        <v>750</v>
      </c>
      <c r="FM19" s="1">
        <f>'Ma trận giá bán vảy HDPE ÉP'!DA6</f>
        <v>750</v>
      </c>
      <c r="FN19" s="1">
        <f>'Ma trận giá bán vảy HDPE ÉP'!DB6</f>
        <v>750</v>
      </c>
      <c r="FO19" s="1">
        <f>'Ma trận giá bán vảy HDPE ÉP'!DC6</f>
        <v>750</v>
      </c>
      <c r="FP19" s="1">
        <f>'Ma trận giá bán vảy HDPE ÉP'!DD6</f>
        <v>750</v>
      </c>
      <c r="FQ19" s="1">
        <f>'Ma trận giá bán vảy HDPE ÉP'!DE6</f>
        <v>750</v>
      </c>
      <c r="FR19" s="1">
        <f>'Ma trận giá bán vảy HDPE ÉP'!DF6</f>
        <v>720</v>
      </c>
      <c r="FS19" s="1">
        <f>'Ma trận giá bán vảy HDPE ÉP'!DG6</f>
        <v>720</v>
      </c>
      <c r="FT19" s="1">
        <f>'Ma trận giá bán vảy HDPE ÉP'!DH6</f>
        <v>720</v>
      </c>
      <c r="FU19" s="1">
        <f>'Ma trận giá bán vảy HDPE ÉP'!DI6</f>
        <v>720</v>
      </c>
      <c r="FV19" s="1">
        <f>'Ma trận giá bán vảy HDPE ÉP'!DJ6</f>
        <v>720</v>
      </c>
      <c r="FW19" s="1">
        <f>'Ma trận giá bán vảy HDPE ÉP'!DK6</f>
        <v>720</v>
      </c>
      <c r="FX19" s="1">
        <f>'Ma trận giá bán vảy HDPE ÉP'!DL6</f>
        <v>720</v>
      </c>
      <c r="FY19" s="1">
        <f>'Ma trận giá bán vảy HDPE ÉP'!DM6</f>
        <v>720</v>
      </c>
      <c r="FZ19" s="1">
        <f>'Ma trận giá bán vảy HDPE ÉP'!DN6</f>
        <v>720</v>
      </c>
      <c r="GA19" s="1">
        <f>'Ma trận giá bán vảy HDPE ÉP'!DO6</f>
        <v>720</v>
      </c>
      <c r="GB19" s="1">
        <f>'Ma trận giá bán vảy HDPE ÉP'!DP6</f>
        <v>720</v>
      </c>
      <c r="GC19" s="1">
        <f>'Ma trận giá bán vảy HDPE ÉP'!DQ6</f>
        <v>720</v>
      </c>
      <c r="GD19" s="1">
        <f>'Ma trận giá bán vảy HDPE ÉP'!DR6</f>
        <v>720</v>
      </c>
      <c r="GE19" s="1">
        <f>'Ma trận giá bán vảy HDPE ÉP'!DS6</f>
        <v>720</v>
      </c>
      <c r="GF19" s="1">
        <f>'Ma trận giá bán vảy HDPE ÉP'!DT6</f>
        <v>700</v>
      </c>
      <c r="GG19" s="1">
        <f>'Ma trận giá bán vảy HDPE ÉP'!DU6</f>
        <v>700</v>
      </c>
      <c r="GH19" s="1">
        <f>'Ma trận giá bán vảy HDPE ÉP'!DV6</f>
        <v>700</v>
      </c>
      <c r="GI19" s="1">
        <f>'Ma trận giá bán vảy HDPE ÉP'!DW6</f>
        <v>700</v>
      </c>
      <c r="GJ19" s="1">
        <f>'Ma trận giá bán vảy HDPE ÉP'!DX6</f>
        <v>700</v>
      </c>
      <c r="GK19" s="1">
        <f>'Ma trận giá bán vảy HDPE ÉP'!DY6</f>
        <v>700</v>
      </c>
      <c r="GL19" s="1">
        <f>'Ma trận giá bán vảy HDPE ÉP'!DZ6</f>
        <v>700</v>
      </c>
      <c r="GM19" s="1">
        <f>'Ma trận giá bán vảy HDPE ÉP'!EA6</f>
        <v>700</v>
      </c>
      <c r="GN19" s="1">
        <f>'Ma trận giá bán vảy HDPE ÉP'!EB6</f>
        <v>700</v>
      </c>
      <c r="GO19" s="1">
        <f>'Ma trận giá bán vảy HDPE ÉP'!EC6</f>
        <v>700</v>
      </c>
      <c r="GP19" s="1">
        <f>'Ma trận giá bán vảy HDPE ÉP'!ED6</f>
        <v>700</v>
      </c>
      <c r="GQ19" s="1">
        <f>'Ma trận giá bán vảy HDPE ÉP'!EE6</f>
        <v>700</v>
      </c>
      <c r="GR19" s="1">
        <f>'Ma trận giá bán vảy HDPE ÉP'!EF6</f>
        <v>700</v>
      </c>
      <c r="GS19" s="1">
        <f>'Ma trận giá bán vảy HDPE ÉP'!EG6</f>
        <v>690</v>
      </c>
      <c r="GT19" s="1">
        <f>'Ma trận giá bán vảy HDPE ÉP'!EH6</f>
        <v>690</v>
      </c>
      <c r="GU19" s="1">
        <f>'Ma trận giá bán vảy HDPE ÉP'!EI6</f>
        <v>690</v>
      </c>
      <c r="GV19" s="1">
        <f>'Ma trận giá bán vảy HDPE ÉP'!EJ6</f>
        <v>690</v>
      </c>
      <c r="GW19" s="1">
        <f>'Ma trận giá bán vảy HDPE ÉP'!EK6</f>
        <v>665</v>
      </c>
      <c r="GX19" s="1">
        <f>'Ma trận giá bán vảy HDPE ÉP'!EL6</f>
        <v>665</v>
      </c>
      <c r="GY19" s="1">
        <f>'Ma trận giá bán vảy HDPE ÉP'!EM6</f>
        <v>665</v>
      </c>
      <c r="GZ19" s="1">
        <f>'Ma trận giá bán vảy HDPE ÉP'!EN6</f>
        <v>665</v>
      </c>
      <c r="HA19" s="1">
        <f>'Ma trận giá bán vảy HDPE ÉP'!EO6</f>
        <v>665</v>
      </c>
      <c r="HB19" s="1">
        <f>'Ma trận giá bán vảy HDPE ÉP'!EP6</f>
        <v>665</v>
      </c>
      <c r="HC19" s="1">
        <f>'Ma trận giá bán vảy HDPE ÉP'!EQ6</f>
        <v>665</v>
      </c>
      <c r="HD19" s="1">
        <f>'Ma trận giá bán vảy HDPE ÉP'!ER6</f>
        <v>665</v>
      </c>
      <c r="HE19" s="1">
        <f>'Ma trận giá bán vảy HDPE ÉP'!ES6</f>
        <v>665</v>
      </c>
      <c r="HF19" s="1">
        <f>'Ma trận giá bán vảy HDPE ÉP'!ET6</f>
        <v>665</v>
      </c>
      <c r="HG19" s="1">
        <f>'Ma trận giá bán vảy HDPE ÉP'!EU6</f>
        <v>665</v>
      </c>
      <c r="HH19" s="1">
        <f>'Ma trận giá bán vảy HDPE ÉP'!EV6</f>
        <v>665</v>
      </c>
      <c r="HI19" s="1">
        <f>'Ma trận giá bán vảy HDPE ÉP'!EW6</f>
        <v>665</v>
      </c>
      <c r="HJ19" s="1">
        <f>'Ma trận giá bán vảy HDPE ÉP'!EX6</f>
        <v>665</v>
      </c>
      <c r="HK19" s="1">
        <f>'Ma trận giá bán vảy HDPE ÉP'!EY6</f>
        <v>665</v>
      </c>
      <c r="HL19" s="1">
        <f>'Ma trận giá bán vảy HDPE ÉP'!EZ6</f>
        <v>715</v>
      </c>
      <c r="HM19" s="1">
        <f>'Ma trận giá bán vảy HDPE ÉP'!FA6</f>
        <v>715</v>
      </c>
      <c r="HN19" s="185">
        <f>'Ma trận giá bán vảy HDPE ÉP'!FB6</f>
        <v>1160</v>
      </c>
      <c r="HO19" s="185">
        <f>'Ma trận giá bán vảy HDPE ÉP'!FC6</f>
        <v>1160</v>
      </c>
      <c r="HP19" s="185">
        <f>'Ma trận giá bán vảy HDPE ÉP'!FD6</f>
        <v>1160</v>
      </c>
      <c r="HQ19" s="185">
        <f>'Ma trận giá bán vảy HDPE ÉP'!FE6</f>
        <v>1160</v>
      </c>
      <c r="HR19" s="185">
        <f>'Ma trận giá bán vảy HDPE ÉP'!FF6</f>
        <v>1160</v>
      </c>
      <c r="HS19" s="185">
        <f>'Ma trận giá bán vảy HDPE ÉP'!FG6</f>
        <v>1160</v>
      </c>
      <c r="HT19" s="185">
        <f>'Ma trận giá bán vảy HDPE ÉP'!FH6</f>
        <v>1160</v>
      </c>
      <c r="HU19" s="185">
        <f>'Ma trận giá bán vảy HDPE ÉP'!FI6</f>
        <v>1160</v>
      </c>
      <c r="HV19" s="185">
        <f>'Ma trận giá bán vảy HDPE ÉP'!FJ6</f>
        <v>1160</v>
      </c>
      <c r="HW19" s="185">
        <f>'Ma trận giá bán vảy HDPE ÉP'!FK6</f>
        <v>1065</v>
      </c>
      <c r="HX19" s="185">
        <f>'Ma trận giá bán vảy HDPE ÉP'!FL6</f>
        <v>1065</v>
      </c>
      <c r="HY19" s="185">
        <f>'Ma trận giá bán vảy HDPE ÉP'!FM6</f>
        <v>1065</v>
      </c>
      <c r="HZ19" s="185">
        <f>'Ma trận giá bán vảy HDPE ÉP'!FN6</f>
        <v>1065</v>
      </c>
      <c r="IA19" s="185">
        <f>'Ma trận giá bán vảy HDPE ÉP'!FO6</f>
        <v>900</v>
      </c>
      <c r="IB19" s="185">
        <f>'Ma trận giá bán vảy HDPE ÉP'!FP6</f>
        <v>900</v>
      </c>
      <c r="IC19" s="185">
        <f>'Ma trận giá bán vảy HDPE ÉP'!FQ6</f>
        <v>0</v>
      </c>
      <c r="ID19" s="185">
        <f>'Ma trận giá bán vảy HDPE ÉP'!FR6</f>
        <v>0</v>
      </c>
      <c r="IE19" s="185">
        <f>'Ma trận giá bán vảy HDPE ÉP'!FS6</f>
        <v>0</v>
      </c>
    </row>
    <row r="22" spans="6:239">
      <c r="DG22" s="51">
        <f t="shared" ref="DG22:DJ22" si="306">DG8/DG13-1</f>
        <v>-7.7669902912621325E-2</v>
      </c>
      <c r="DH22" s="51">
        <f t="shared" si="306"/>
        <v>-7.7669902912621325E-2</v>
      </c>
      <c r="DI22" s="51">
        <f t="shared" si="306"/>
        <v>-5.0000000000000044E-2</v>
      </c>
      <c r="DJ22" s="51">
        <f t="shared" si="306"/>
        <v>-5.0000000000000044E-2</v>
      </c>
      <c r="DK22" s="51"/>
      <c r="DL22" s="51"/>
      <c r="DM22" s="51"/>
      <c r="DN22" s="51"/>
    </row>
    <row r="31" spans="6:239">
      <c r="F31" s="32"/>
      <c r="G31" s="32"/>
      <c r="H31" s="32"/>
    </row>
    <row r="32" spans="6:239">
      <c r="F32" s="32"/>
      <c r="G32" s="32"/>
      <c r="H32" s="32"/>
    </row>
    <row r="33" spans="6:8">
      <c r="F33" s="32"/>
      <c r="G33" s="32"/>
      <c r="H33" s="32"/>
    </row>
    <row r="34" spans="6:8">
      <c r="F34" s="32"/>
      <c r="G34" s="32"/>
      <c r="H34" s="32"/>
    </row>
    <row r="35" spans="6:8">
      <c r="F35" s="31"/>
      <c r="G35" s="32"/>
      <c r="H35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5F60-4B87-488C-8FB3-BABE9C61E389}">
  <sheetPr>
    <tabColor theme="9"/>
  </sheetPr>
  <dimension ref="R31:V71"/>
  <sheetViews>
    <sheetView zoomScale="71" zoomScaleNormal="71" workbookViewId="0">
      <selection activeCell="X32" sqref="X32"/>
    </sheetView>
  </sheetViews>
  <sheetFormatPr defaultColWidth="8.81640625" defaultRowHeight="14.5"/>
  <cols>
    <col min="1" max="16384" width="8.81640625" style="122"/>
  </cols>
  <sheetData>
    <row r="31" spans="22:22">
      <c r="V31" s="124"/>
    </row>
    <row r="32" spans="22:22">
      <c r="V32" s="123"/>
    </row>
    <row r="33" spans="22:22">
      <c r="V33" s="123"/>
    </row>
    <row r="34" spans="22:22">
      <c r="V34" s="123"/>
    </row>
    <row r="71" spans="18:18">
      <c r="R71" s="124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DFC6-CCD3-4E25-980E-7A34FAB4E021}">
  <sheetPr>
    <tabColor theme="9"/>
  </sheetPr>
  <dimension ref="V71:V72"/>
  <sheetViews>
    <sheetView topLeftCell="A13" zoomScale="80" zoomScaleNormal="80" workbookViewId="0">
      <selection activeCell="I33" sqref="I33"/>
    </sheetView>
  </sheetViews>
  <sheetFormatPr defaultColWidth="8.81640625" defaultRowHeight="14.5"/>
  <cols>
    <col min="1" max="16384" width="8.81640625" style="122"/>
  </cols>
  <sheetData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642B-5A29-4637-864A-ED1F1969E573}">
  <dimension ref="A1:IE35"/>
  <sheetViews>
    <sheetView showGridLines="0" topLeftCell="D3" zoomScale="90" zoomScaleNormal="90" workbookViewId="0">
      <pane xSplit="3" ySplit="3" topLeftCell="HA9" activePane="bottomRight" state="frozen"/>
      <selection activeCell="CC32" sqref="CC32"/>
      <selection pane="topRight" activeCell="CC32" sqref="CC32"/>
      <selection pane="bottomLeft" activeCell="CC32" sqref="CC32"/>
      <selection pane="bottomRight" activeCell="IB29" sqref="IB29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9.1796875" style="1" customWidth="1"/>
    <col min="5" max="5" width="33.1796875" style="1" hidden="1" customWidth="1"/>
    <col min="6" max="6" width="21" style="1" customWidth="1"/>
    <col min="7" max="7" width="10.54296875" style="1" hidden="1" customWidth="1"/>
    <col min="8" max="8" width="28.1796875" style="1" hidden="1" customWidth="1"/>
    <col min="9" max="32" width="7.81640625" style="1" hidden="1" customWidth="1"/>
    <col min="33" max="51" width="7.81640625" style="1" customWidth="1"/>
    <col min="52" max="52" width="4.54296875" style="1" customWidth="1"/>
    <col min="53" max="53" width="9.1796875" style="1"/>
    <col min="54" max="54" width="9.1796875" style="1" hidden="1" customWidth="1"/>
    <col min="55" max="55" width="14" style="1" customWidth="1"/>
    <col min="56" max="56" width="9.1796875" style="1" hidden="1" customWidth="1"/>
    <col min="57" max="57" width="8.1796875" style="1" hidden="1" customWidth="1"/>
    <col min="58" max="58" width="9.1796875" style="1" hidden="1" customWidth="1"/>
    <col min="59" max="59" width="10.1796875" style="1" hidden="1" customWidth="1"/>
    <col min="60" max="107" width="9.1796875" style="1" hidden="1" customWidth="1"/>
    <col min="108" max="108" width="8" style="1" hidden="1" customWidth="1"/>
    <col min="109" max="193" width="7.81640625" style="1" hidden="1" customWidth="1"/>
    <col min="194" max="194" width="5.81640625" style="1" hidden="1" customWidth="1"/>
    <col min="195" max="195" width="5.54296875" style="1" hidden="1" customWidth="1"/>
    <col min="196" max="197" width="5.81640625" style="1" hidden="1" customWidth="1"/>
    <col min="198" max="208" width="7" style="1" hidden="1" customWidth="1"/>
    <col min="209" max="210" width="7" style="1" bestFit="1" customWidth="1"/>
    <col min="211" max="224" width="7.1796875" style="1" customWidth="1"/>
    <col min="225" max="239" width="7.7265625" style="1" customWidth="1"/>
    <col min="240" max="16384" width="9.1796875" style="1"/>
  </cols>
  <sheetData>
    <row r="1" spans="1:239" hidden="1"/>
    <row r="2" spans="1:239" hidden="1"/>
    <row r="3" spans="1:239" ht="19.399999999999999" customHeight="1">
      <c r="F3" s="15" t="s">
        <v>90</v>
      </c>
      <c r="H3" s="15"/>
      <c r="BE3" s="1">
        <v>2023</v>
      </c>
      <c r="BI3" s="116" t="s">
        <v>76</v>
      </c>
      <c r="BJ3" s="116" t="s">
        <v>79</v>
      </c>
      <c r="BK3" s="116" t="s">
        <v>80</v>
      </c>
      <c r="BL3" s="116" t="s">
        <v>86</v>
      </c>
      <c r="BM3" s="116">
        <v>7.03</v>
      </c>
      <c r="BN3" s="116">
        <v>14.03</v>
      </c>
      <c r="BO3" s="116">
        <v>21.03</v>
      </c>
      <c r="BP3" s="116">
        <v>28.03</v>
      </c>
      <c r="BQ3" s="116">
        <v>30.03</v>
      </c>
      <c r="BR3" s="116">
        <v>6.04</v>
      </c>
      <c r="BS3" s="116">
        <v>13.04</v>
      </c>
      <c r="BT3" s="116">
        <v>20.04</v>
      </c>
      <c r="BU3" s="1">
        <v>27.04</v>
      </c>
      <c r="BV3" s="1">
        <v>4.05</v>
      </c>
      <c r="BX3" s="1">
        <v>23.05</v>
      </c>
      <c r="BY3" s="1">
        <v>30.05</v>
      </c>
      <c r="BZ3" s="1">
        <v>6.06</v>
      </c>
      <c r="CA3" s="1">
        <v>13.06</v>
      </c>
      <c r="CB3" s="1">
        <v>20.059999999999999</v>
      </c>
      <c r="DD3" s="170">
        <v>2024</v>
      </c>
      <c r="FB3" s="170">
        <v>2025</v>
      </c>
    </row>
    <row r="4" spans="1:239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24000</v>
      </c>
      <c r="J4" s="74">
        <v>24000</v>
      </c>
      <c r="K4" s="74">
        <v>24000</v>
      </c>
      <c r="L4" s="74">
        <v>24000</v>
      </c>
      <c r="M4" s="74">
        <v>24000</v>
      </c>
      <c r="N4" s="74">
        <v>24000</v>
      </c>
      <c r="O4" s="74">
        <v>24000</v>
      </c>
      <c r="P4" s="74">
        <v>24000</v>
      </c>
      <c r="Q4" s="74">
        <v>24000</v>
      </c>
      <c r="R4" s="74">
        <v>24000</v>
      </c>
      <c r="S4" s="74">
        <v>24000</v>
      </c>
      <c r="T4" s="74">
        <v>24000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BD4" s="74">
        <v>24000</v>
      </c>
      <c r="BE4" s="74">
        <v>24000</v>
      </c>
      <c r="BF4" s="74">
        <v>24000</v>
      </c>
      <c r="BG4" s="74">
        <v>24000</v>
      </c>
      <c r="BH4" s="74">
        <v>24000</v>
      </c>
      <c r="BI4" s="74">
        <v>24000</v>
      </c>
      <c r="BJ4" s="74">
        <v>24000</v>
      </c>
      <c r="BK4" s="74">
        <v>24000</v>
      </c>
      <c r="BL4" s="74">
        <v>24000</v>
      </c>
      <c r="BM4" s="74">
        <v>24000</v>
      </c>
      <c r="BN4" s="74">
        <v>24000</v>
      </c>
      <c r="BO4" s="74">
        <v>24000</v>
      </c>
      <c r="BP4" s="74">
        <v>24000</v>
      </c>
      <c r="BQ4" s="74">
        <v>24000</v>
      </c>
      <c r="BR4" s="74">
        <v>24000</v>
      </c>
      <c r="BS4" s="74">
        <v>24000</v>
      </c>
      <c r="BT4" s="74">
        <v>24000</v>
      </c>
      <c r="BU4" s="74">
        <v>24000</v>
      </c>
      <c r="BV4" s="74">
        <v>24000</v>
      </c>
      <c r="BW4" s="74">
        <v>24000</v>
      </c>
      <c r="BX4" s="74">
        <v>24000</v>
      </c>
      <c r="BY4" s="74">
        <v>24000</v>
      </c>
      <c r="BZ4" s="74">
        <v>24000</v>
      </c>
      <c r="CA4" s="74">
        <v>24000</v>
      </c>
      <c r="CB4" s="74">
        <v>24000</v>
      </c>
      <c r="CC4" s="74">
        <v>24000</v>
      </c>
      <c r="CD4" s="74">
        <v>24000</v>
      </c>
      <c r="CE4" s="74">
        <v>24000</v>
      </c>
      <c r="CF4" s="74">
        <v>24000</v>
      </c>
      <c r="CG4" s="74">
        <v>24000</v>
      </c>
      <c r="CH4" s="74">
        <v>24000</v>
      </c>
      <c r="CI4" s="74">
        <v>24000</v>
      </c>
      <c r="CJ4" s="74">
        <v>24000</v>
      </c>
      <c r="CK4" s="74">
        <v>24000</v>
      </c>
      <c r="CL4" s="74">
        <v>24000</v>
      </c>
      <c r="CM4" s="74">
        <v>24000</v>
      </c>
      <c r="CN4" s="74">
        <v>24000</v>
      </c>
      <c r="CO4" s="74">
        <v>24000</v>
      </c>
      <c r="CP4" s="74">
        <v>24000</v>
      </c>
      <c r="CQ4" s="74">
        <v>24000</v>
      </c>
      <c r="CR4" s="74">
        <v>24000</v>
      </c>
      <c r="CS4" s="74">
        <v>24000</v>
      </c>
      <c r="CT4" s="74">
        <v>24000</v>
      </c>
      <c r="CU4" s="74">
        <v>24000</v>
      </c>
      <c r="CV4" s="74">
        <v>24000</v>
      </c>
      <c r="CW4" s="74">
        <v>24000</v>
      </c>
      <c r="CX4" s="74">
        <v>24000</v>
      </c>
      <c r="CY4" s="74">
        <v>24000</v>
      </c>
      <c r="CZ4" s="74">
        <v>24000</v>
      </c>
      <c r="DA4" s="74">
        <v>24000</v>
      </c>
      <c r="DB4" s="74">
        <v>24000</v>
      </c>
      <c r="DC4" s="74">
        <v>24000</v>
      </c>
      <c r="DD4" s="74">
        <v>24000</v>
      </c>
      <c r="DE4" s="74">
        <v>24000</v>
      </c>
      <c r="DF4" s="74">
        <v>24000</v>
      </c>
      <c r="DG4" s="74">
        <v>24000</v>
      </c>
      <c r="DH4" s="74"/>
      <c r="DI4" s="74"/>
      <c r="DJ4" s="74"/>
      <c r="DK4" s="74"/>
      <c r="DL4" s="74"/>
      <c r="DM4" s="74"/>
      <c r="DN4" s="74"/>
      <c r="DO4" s="74"/>
      <c r="DP4" s="74"/>
      <c r="DQ4" s="74"/>
      <c r="DR4" s="74"/>
      <c r="DS4" s="74"/>
      <c r="DT4" s="74"/>
      <c r="DU4" s="74"/>
      <c r="DV4" s="74"/>
      <c r="HA4" s="178">
        <v>2026</v>
      </c>
    </row>
    <row r="5" spans="1:239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86" t="s">
        <v>75</v>
      </c>
      <c r="J5" s="86">
        <v>2</v>
      </c>
      <c r="K5" s="86">
        <v>3</v>
      </c>
      <c r="L5" s="86">
        <v>4</v>
      </c>
      <c r="M5" s="86">
        <v>5</v>
      </c>
      <c r="N5" s="86">
        <v>6</v>
      </c>
      <c r="O5" s="86">
        <v>7</v>
      </c>
      <c r="P5" s="86">
        <v>8</v>
      </c>
      <c r="Q5" s="86">
        <v>9</v>
      </c>
      <c r="R5" s="86">
        <v>10</v>
      </c>
      <c r="S5" s="86">
        <v>11</v>
      </c>
      <c r="T5" s="86">
        <v>12</v>
      </c>
      <c r="U5" s="86" t="s">
        <v>122</v>
      </c>
      <c r="V5" s="86">
        <v>2</v>
      </c>
      <c r="W5" s="86">
        <v>3</v>
      </c>
      <c r="X5" s="86">
        <v>4</v>
      </c>
      <c r="Y5" s="86">
        <v>5</v>
      </c>
      <c r="Z5" s="86">
        <v>6</v>
      </c>
      <c r="AA5" s="86">
        <v>7</v>
      </c>
      <c r="AB5" s="86">
        <v>8</v>
      </c>
      <c r="AC5" s="86">
        <v>9</v>
      </c>
      <c r="AD5" s="86">
        <v>10</v>
      </c>
      <c r="AE5" s="86">
        <v>11</v>
      </c>
      <c r="AF5" s="86">
        <v>12</v>
      </c>
      <c r="AG5" s="86" t="s">
        <v>169</v>
      </c>
      <c r="AH5" s="86">
        <v>2</v>
      </c>
      <c r="AI5" s="86">
        <v>3</v>
      </c>
      <c r="AJ5" s="86">
        <v>4</v>
      </c>
      <c r="AK5" s="86">
        <v>5</v>
      </c>
      <c r="AL5" s="86">
        <v>6</v>
      </c>
      <c r="AM5" s="86">
        <v>7</v>
      </c>
      <c r="AN5" s="86">
        <v>8</v>
      </c>
      <c r="AO5" s="86">
        <v>9</v>
      </c>
      <c r="AP5" s="86">
        <v>10</v>
      </c>
      <c r="AQ5" s="86">
        <v>11</v>
      </c>
      <c r="AR5" s="86">
        <v>12</v>
      </c>
      <c r="AS5" s="86" t="s">
        <v>193</v>
      </c>
      <c r="AT5" s="86">
        <v>2</v>
      </c>
      <c r="AU5" s="86">
        <v>3</v>
      </c>
      <c r="AV5" s="86">
        <v>4</v>
      </c>
      <c r="AW5" s="86">
        <v>5</v>
      </c>
      <c r="AX5" s="86">
        <v>6</v>
      </c>
      <c r="AY5" s="86">
        <v>7</v>
      </c>
      <c r="BA5" s="34" t="s">
        <v>5</v>
      </c>
      <c r="BB5" s="33" t="s">
        <v>6</v>
      </c>
      <c r="BC5" s="33" t="s">
        <v>2</v>
      </c>
      <c r="BD5" s="101">
        <v>52</v>
      </c>
      <c r="BE5" s="90" t="s">
        <v>97</v>
      </c>
      <c r="BF5" s="90">
        <v>2</v>
      </c>
      <c r="BG5" s="90">
        <v>3</v>
      </c>
      <c r="BH5" s="90">
        <v>5</v>
      </c>
      <c r="BI5" s="90">
        <v>6</v>
      </c>
      <c r="BJ5" s="90">
        <v>7</v>
      </c>
      <c r="BK5" s="90">
        <v>8</v>
      </c>
      <c r="BL5" s="90">
        <v>9</v>
      </c>
      <c r="BM5" s="90">
        <v>10</v>
      </c>
      <c r="BN5" s="90">
        <v>11</v>
      </c>
      <c r="BO5" s="90">
        <v>12</v>
      </c>
      <c r="BP5" s="90">
        <v>13</v>
      </c>
      <c r="BQ5" s="90">
        <v>14</v>
      </c>
      <c r="BR5" s="90">
        <v>15</v>
      </c>
      <c r="BS5" s="90">
        <v>16</v>
      </c>
      <c r="BT5" s="90">
        <v>17</v>
      </c>
      <c r="BU5" s="101">
        <v>18</v>
      </c>
      <c r="BV5" s="101">
        <v>19</v>
      </c>
      <c r="BW5" s="101">
        <v>20</v>
      </c>
      <c r="BX5" s="101">
        <v>21</v>
      </c>
      <c r="BY5" s="101">
        <v>22</v>
      </c>
      <c r="BZ5" s="101">
        <v>23</v>
      </c>
      <c r="CA5" s="101">
        <v>24</v>
      </c>
      <c r="CB5" s="101">
        <v>25</v>
      </c>
      <c r="CC5" s="101">
        <v>26</v>
      </c>
      <c r="CD5" s="101">
        <v>27</v>
      </c>
      <c r="CE5" s="101">
        <v>28</v>
      </c>
      <c r="CF5" s="101">
        <v>29</v>
      </c>
      <c r="CG5" s="101">
        <v>30</v>
      </c>
      <c r="CH5" s="101">
        <v>31</v>
      </c>
      <c r="CI5" s="101">
        <v>32</v>
      </c>
      <c r="CJ5" s="101">
        <v>33</v>
      </c>
      <c r="CK5" s="101">
        <v>34</v>
      </c>
      <c r="CL5" s="101">
        <v>35</v>
      </c>
      <c r="CM5" s="101">
        <v>36</v>
      </c>
      <c r="CN5" s="101">
        <v>37</v>
      </c>
      <c r="CO5" s="101">
        <v>38</v>
      </c>
      <c r="CP5" s="101">
        <v>39</v>
      </c>
      <c r="CQ5" s="101">
        <v>40</v>
      </c>
      <c r="CR5" s="101">
        <v>41</v>
      </c>
      <c r="CS5" s="101">
        <v>42</v>
      </c>
      <c r="CT5" s="101">
        <v>43</v>
      </c>
      <c r="CU5" s="101">
        <v>44</v>
      </c>
      <c r="CV5" s="101">
        <v>45</v>
      </c>
      <c r="CW5" s="101">
        <v>46</v>
      </c>
      <c r="CX5" s="101">
        <v>47</v>
      </c>
      <c r="CY5" s="101">
        <v>48</v>
      </c>
      <c r="CZ5" s="101">
        <v>49</v>
      </c>
      <c r="DA5" s="101">
        <v>50</v>
      </c>
      <c r="DB5" s="101">
        <v>51</v>
      </c>
      <c r="DC5" s="101">
        <v>52</v>
      </c>
      <c r="DD5" s="101" t="s">
        <v>117</v>
      </c>
      <c r="DE5" s="90" t="s">
        <v>123</v>
      </c>
      <c r="DF5" s="90" t="s">
        <v>124</v>
      </c>
      <c r="DG5" s="90" t="s">
        <v>125</v>
      </c>
      <c r="DH5" s="90" t="s">
        <v>126</v>
      </c>
      <c r="DI5" s="90" t="s">
        <v>142</v>
      </c>
      <c r="DJ5" s="90" t="s">
        <v>143</v>
      </c>
      <c r="DK5" s="90" t="s">
        <v>144</v>
      </c>
      <c r="DL5" s="90" t="s">
        <v>145</v>
      </c>
      <c r="DM5" s="90" t="s">
        <v>146</v>
      </c>
      <c r="DN5" s="90" t="s">
        <v>147</v>
      </c>
      <c r="DO5" s="90" t="s">
        <v>148</v>
      </c>
      <c r="DP5" s="90" t="s">
        <v>149</v>
      </c>
      <c r="DQ5" s="90" t="s">
        <v>150</v>
      </c>
      <c r="DR5" s="90" t="s">
        <v>151</v>
      </c>
      <c r="DS5" s="90" t="s">
        <v>152</v>
      </c>
      <c r="DT5" s="90" t="s">
        <v>153</v>
      </c>
      <c r="DU5" s="90" t="s">
        <v>154</v>
      </c>
      <c r="DV5" s="90" t="s">
        <v>155</v>
      </c>
      <c r="DW5" s="90" t="s">
        <v>157</v>
      </c>
      <c r="DX5" s="90" t="s">
        <v>158</v>
      </c>
      <c r="DY5" s="90" t="s">
        <v>159</v>
      </c>
      <c r="DZ5" s="90" t="s">
        <v>160</v>
      </c>
      <c r="EA5" s="90" t="s">
        <v>161</v>
      </c>
      <c r="EB5" s="90" t="s">
        <v>162</v>
      </c>
      <c r="EC5" s="90" t="s">
        <v>163</v>
      </c>
      <c r="ED5" s="90" t="s">
        <v>164</v>
      </c>
      <c r="EE5" s="90" t="s">
        <v>165</v>
      </c>
      <c r="EF5" s="90" t="s">
        <v>166</v>
      </c>
      <c r="EG5" s="90" t="s">
        <v>167</v>
      </c>
      <c r="EH5" s="90" t="s">
        <v>168</v>
      </c>
      <c r="EI5" s="90">
        <v>34</v>
      </c>
      <c r="EJ5" s="90">
        <v>35</v>
      </c>
      <c r="EK5" s="90">
        <v>36</v>
      </c>
      <c r="EL5" s="90">
        <v>37</v>
      </c>
      <c r="EM5" s="90">
        <v>38</v>
      </c>
      <c r="EN5" s="90">
        <v>39</v>
      </c>
      <c r="EO5" s="90">
        <v>40</v>
      </c>
      <c r="EP5" s="90">
        <v>41</v>
      </c>
      <c r="EQ5" s="90">
        <v>42</v>
      </c>
      <c r="ER5" s="90">
        <v>43</v>
      </c>
      <c r="ES5" s="90">
        <v>44</v>
      </c>
      <c r="ET5" s="90">
        <v>45</v>
      </c>
      <c r="EU5" s="90">
        <v>46</v>
      </c>
      <c r="EV5" s="90">
        <v>47</v>
      </c>
      <c r="EW5" s="90">
        <v>48</v>
      </c>
      <c r="EX5" s="90">
        <v>49</v>
      </c>
      <c r="EY5" s="90">
        <v>50</v>
      </c>
      <c r="EZ5" s="90">
        <v>51</v>
      </c>
      <c r="FA5" s="90">
        <v>52</v>
      </c>
      <c r="FB5" s="90" t="s">
        <v>121</v>
      </c>
      <c r="FC5" s="90" t="s">
        <v>123</v>
      </c>
      <c r="FD5" s="90" t="s">
        <v>124</v>
      </c>
      <c r="FE5" s="90" t="s">
        <v>125</v>
      </c>
      <c r="FF5" s="90" t="s">
        <v>170</v>
      </c>
      <c r="FG5" s="90" t="s">
        <v>172</v>
      </c>
      <c r="FH5" s="90" t="s">
        <v>142</v>
      </c>
      <c r="FI5" s="90" t="s">
        <v>143</v>
      </c>
      <c r="FJ5" s="90" t="s">
        <v>144</v>
      </c>
      <c r="FK5" s="90" t="s">
        <v>145</v>
      </c>
      <c r="FL5" s="90" t="s">
        <v>146</v>
      </c>
      <c r="FM5" s="90" t="s">
        <v>147</v>
      </c>
      <c r="FN5" s="90" t="s">
        <v>148</v>
      </c>
      <c r="FO5" s="90" t="s">
        <v>149</v>
      </c>
      <c r="FP5" s="90" t="s">
        <v>150</v>
      </c>
      <c r="FQ5" s="90" t="s">
        <v>151</v>
      </c>
      <c r="FR5" s="90">
        <v>18</v>
      </c>
      <c r="FS5" s="90">
        <v>19</v>
      </c>
      <c r="FT5" s="90">
        <v>20</v>
      </c>
      <c r="FU5" s="90">
        <v>21</v>
      </c>
      <c r="FV5" s="90">
        <v>22</v>
      </c>
      <c r="FW5" s="90">
        <v>23</v>
      </c>
      <c r="FX5" s="90">
        <v>24</v>
      </c>
      <c r="FY5" s="90">
        <v>25</v>
      </c>
      <c r="FZ5" s="90">
        <v>26</v>
      </c>
      <c r="GA5" s="90">
        <v>27</v>
      </c>
      <c r="GB5" s="90">
        <v>28</v>
      </c>
      <c r="GC5" s="90">
        <v>29</v>
      </c>
      <c r="GD5" s="90">
        <v>30</v>
      </c>
      <c r="GE5" s="90">
        <v>31</v>
      </c>
      <c r="GF5" s="90">
        <v>32</v>
      </c>
      <c r="GG5" s="90">
        <v>33</v>
      </c>
      <c r="GH5" s="90">
        <v>34</v>
      </c>
      <c r="GI5" s="90">
        <v>35</v>
      </c>
      <c r="GJ5" s="90">
        <v>36</v>
      </c>
      <c r="GK5" s="90">
        <v>37</v>
      </c>
      <c r="GL5" s="90">
        <v>38</v>
      </c>
      <c r="GM5" s="90">
        <v>39</v>
      </c>
      <c r="GN5" s="90">
        <v>40</v>
      </c>
      <c r="GO5" s="90">
        <v>41</v>
      </c>
      <c r="GP5" s="90">
        <v>42</v>
      </c>
      <c r="GQ5" s="90">
        <v>43</v>
      </c>
      <c r="GR5" s="90">
        <v>44</v>
      </c>
      <c r="GS5" s="90">
        <v>45</v>
      </c>
      <c r="GT5" s="90">
        <v>46</v>
      </c>
      <c r="GU5" s="90">
        <v>47</v>
      </c>
      <c r="GV5" s="90">
        <v>48</v>
      </c>
      <c r="GW5" s="90">
        <v>49</v>
      </c>
      <c r="GX5" s="90">
        <v>50</v>
      </c>
      <c r="GY5" s="90">
        <v>51</v>
      </c>
      <c r="GZ5" s="90">
        <v>52</v>
      </c>
      <c r="HA5" s="90" t="s">
        <v>121</v>
      </c>
      <c r="HB5" s="90" t="s">
        <v>123</v>
      </c>
      <c r="HC5" s="90" t="s">
        <v>124</v>
      </c>
      <c r="HD5" s="90" t="s">
        <v>125</v>
      </c>
      <c r="HE5" s="90" t="s">
        <v>126</v>
      </c>
      <c r="HF5" s="90" t="s">
        <v>170</v>
      </c>
      <c r="HG5" s="90" t="s">
        <v>172</v>
      </c>
      <c r="HH5" s="90" t="s">
        <v>142</v>
      </c>
      <c r="HI5" s="90" t="s">
        <v>143</v>
      </c>
      <c r="HJ5" s="90">
        <v>10</v>
      </c>
      <c r="HK5" s="90">
        <v>11</v>
      </c>
      <c r="HL5" s="90">
        <v>12</v>
      </c>
      <c r="HM5" s="90">
        <v>13</v>
      </c>
      <c r="HN5" s="90">
        <v>14</v>
      </c>
      <c r="HO5" s="90">
        <v>15</v>
      </c>
      <c r="HP5" s="90">
        <v>16</v>
      </c>
      <c r="HQ5" s="90">
        <v>17</v>
      </c>
      <c r="HR5" s="90">
        <v>18</v>
      </c>
      <c r="HS5" s="90">
        <v>19</v>
      </c>
      <c r="HT5" s="90">
        <v>20</v>
      </c>
      <c r="HU5" s="90">
        <v>21</v>
      </c>
      <c r="HV5" s="90">
        <v>22</v>
      </c>
      <c r="HW5" s="90">
        <v>23</v>
      </c>
      <c r="HX5" s="90">
        <v>24</v>
      </c>
      <c r="HY5" s="90">
        <v>25</v>
      </c>
      <c r="HZ5" s="90">
        <v>26</v>
      </c>
      <c r="IA5" s="90">
        <v>27</v>
      </c>
      <c r="IB5" s="90">
        <v>28</v>
      </c>
      <c r="IC5" s="90">
        <v>29</v>
      </c>
      <c r="ID5" s="90">
        <v>30</v>
      </c>
      <c r="IE5" s="90">
        <v>31</v>
      </c>
    </row>
    <row r="6" spans="1:239" ht="14" hidden="1">
      <c r="A6" s="4">
        <v>3</v>
      </c>
      <c r="B6" s="8">
        <v>150000007</v>
      </c>
      <c r="C6" s="8" t="s">
        <v>20</v>
      </c>
      <c r="D6" s="4"/>
      <c r="E6" s="5" t="s">
        <v>22</v>
      </c>
      <c r="F6" s="7" t="s">
        <v>91</v>
      </c>
      <c r="G6" s="16" t="s">
        <v>23</v>
      </c>
      <c r="H6" s="7" t="str">
        <f>F6</f>
        <v xml:space="preserve">Vảy PP tuyển 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BA6" s="4"/>
      <c r="BB6" s="5" t="s">
        <v>22</v>
      </c>
      <c r="BC6" s="7" t="str">
        <f>F6</f>
        <v xml:space="preserve">Vảy PP tuyển </v>
      </c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</row>
    <row r="7" spans="1:239" ht="18" hidden="1" customHeight="1">
      <c r="A7" s="4">
        <v>3</v>
      </c>
      <c r="B7" s="8">
        <v>150000007</v>
      </c>
      <c r="C7" s="8" t="s">
        <v>20</v>
      </c>
      <c r="D7" s="4"/>
      <c r="E7" s="5" t="s">
        <v>22</v>
      </c>
      <c r="F7" s="7" t="s">
        <v>91</v>
      </c>
      <c r="G7" s="4" t="s">
        <v>24</v>
      </c>
      <c r="H7" s="7" t="str">
        <f>F7</f>
        <v xml:space="preserve">Vảy PP tuyển </v>
      </c>
      <c r="I7" s="49">
        <f>I6/I4*1000</f>
        <v>0</v>
      </c>
      <c r="J7" s="49">
        <f>J6/J4*1000</f>
        <v>0</v>
      </c>
      <c r="K7" s="49">
        <f>K6/K4*1000</f>
        <v>0</v>
      </c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BA7" s="4"/>
      <c r="BB7" s="5" t="s">
        <v>22</v>
      </c>
      <c r="BC7" s="7" t="str">
        <f>F7</f>
        <v xml:space="preserve">Vảy PP tuyển </v>
      </c>
      <c r="BD7" s="24">
        <v>666.66666666666697</v>
      </c>
      <c r="BE7" s="24">
        <v>666.66666666666697</v>
      </c>
      <c r="BF7" s="24">
        <v>666.66666666666697</v>
      </c>
      <c r="BG7" s="24">
        <v>666.66666666666697</v>
      </c>
      <c r="BH7" s="24">
        <v>666.66666666666697</v>
      </c>
      <c r="BI7" s="24">
        <v>666.66666666666697</v>
      </c>
      <c r="BJ7" s="24">
        <v>666.66666666666697</v>
      </c>
      <c r="BK7" s="24">
        <v>666.66666666666697</v>
      </c>
      <c r="BL7" s="24">
        <v>666.66666666666697</v>
      </c>
      <c r="BM7" s="24">
        <v>666.66666666666697</v>
      </c>
      <c r="BN7" s="24">
        <v>666.66666666666697</v>
      </c>
      <c r="BO7" s="24">
        <v>666.66666666666697</v>
      </c>
      <c r="BP7" s="24">
        <v>666.66666666666697</v>
      </c>
      <c r="BQ7" s="24">
        <v>666.66666666666697</v>
      </c>
      <c r="BR7" s="24">
        <v>666.66666666666697</v>
      </c>
      <c r="BS7" s="24">
        <v>666.66666666666697</v>
      </c>
      <c r="BT7" s="24">
        <v>666.66666666666697</v>
      </c>
      <c r="BU7" s="24">
        <v>666.66666666666697</v>
      </c>
      <c r="BV7" s="24">
        <v>666.66666666666697</v>
      </c>
      <c r="BW7" s="24">
        <v>666.66666666666697</v>
      </c>
      <c r="BX7" s="24">
        <v>666.66666666666697</v>
      </c>
      <c r="BY7" s="24">
        <v>666.66666666666697</v>
      </c>
      <c r="BZ7" s="24">
        <v>666.66666666666697</v>
      </c>
      <c r="CA7" s="24">
        <v>666.66666666666697</v>
      </c>
      <c r="CB7" s="24">
        <v>666.66666666666697</v>
      </c>
      <c r="CC7" s="24">
        <v>666.66666666666697</v>
      </c>
      <c r="CD7" s="24">
        <v>666.66666666666697</v>
      </c>
      <c r="CE7" s="24">
        <v>666.66666666666697</v>
      </c>
      <c r="CF7" s="24">
        <v>666.66666666666697</v>
      </c>
      <c r="CG7" s="24">
        <v>666.66666666666697</v>
      </c>
      <c r="CH7" s="24">
        <v>666.66666666666697</v>
      </c>
      <c r="CI7" s="24">
        <v>666.66666666666697</v>
      </c>
      <c r="CJ7" s="24">
        <v>666.66666666666697</v>
      </c>
      <c r="CK7" s="24">
        <v>666.66666666666697</v>
      </c>
      <c r="CL7" s="24">
        <v>666.66666666666697</v>
      </c>
      <c r="CM7" s="24">
        <v>666.66666666666697</v>
      </c>
      <c r="CN7" s="24">
        <v>666.66666666666697</v>
      </c>
      <c r="CO7" s="24">
        <v>666.66666666666697</v>
      </c>
      <c r="CP7" s="24">
        <v>666.66666666666697</v>
      </c>
      <c r="CQ7" s="24">
        <v>666.66666666666697</v>
      </c>
      <c r="CR7" s="24">
        <v>666.66666666666697</v>
      </c>
      <c r="CS7" s="24">
        <v>666.66666666666697</v>
      </c>
      <c r="CT7" s="24">
        <v>666.66666666666697</v>
      </c>
      <c r="CU7" s="24">
        <v>666.66666666666697</v>
      </c>
      <c r="CV7" s="24">
        <v>666.66666666666697</v>
      </c>
      <c r="CW7" s="24">
        <v>666.66666666666697</v>
      </c>
      <c r="CX7" s="24">
        <v>666.66666666666697</v>
      </c>
      <c r="CY7" s="24">
        <v>666.66666666666697</v>
      </c>
      <c r="CZ7" s="24">
        <v>666.66666666666697</v>
      </c>
      <c r="DA7" s="24">
        <v>666.66666666666697</v>
      </c>
      <c r="DB7" s="24">
        <v>666.66666666666697</v>
      </c>
      <c r="DC7" s="24">
        <v>666.66666666666697</v>
      </c>
      <c r="DD7" s="24">
        <v>666.66666666666697</v>
      </c>
      <c r="DE7" s="24">
        <v>666.66666666666697</v>
      </c>
      <c r="DF7" s="24">
        <v>666.66666666666697</v>
      </c>
      <c r="DG7" s="24">
        <v>666.66666666666697</v>
      </c>
      <c r="DH7" s="24">
        <v>666.66666666666697</v>
      </c>
      <c r="DI7" s="24">
        <v>666.66666666666697</v>
      </c>
      <c r="DJ7" s="24">
        <v>666.66666666666697</v>
      </c>
      <c r="DK7" s="24">
        <v>666.66666666666697</v>
      </c>
      <c r="DL7" s="24">
        <v>666.66666666666697</v>
      </c>
      <c r="DM7" s="24">
        <v>666.66666666666697</v>
      </c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</row>
    <row r="8" spans="1:239" ht="18" hidden="1" customHeight="1">
      <c r="A8" s="4"/>
      <c r="B8" s="8"/>
      <c r="C8" s="8"/>
      <c r="D8" s="105" t="s">
        <v>21</v>
      </c>
      <c r="E8" s="5" t="s">
        <v>22</v>
      </c>
      <c r="F8" s="7" t="s">
        <v>92</v>
      </c>
      <c r="G8" s="4" t="s">
        <v>24</v>
      </c>
      <c r="H8" s="7" t="str">
        <f>F8</f>
        <v>Vảy PP tuyển mua ngoài - ICIS</v>
      </c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BA8" s="4"/>
      <c r="BB8" s="5" t="s">
        <v>22</v>
      </c>
      <c r="BC8" s="7" t="str">
        <f>F8</f>
        <v>Vảy PP tuyển mua ngoài - ICIS</v>
      </c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5"/>
      <c r="DA8" s="75"/>
      <c r="DB8" s="75"/>
      <c r="DC8" s="75"/>
      <c r="DD8" s="75"/>
      <c r="DE8" s="75"/>
      <c r="DF8" s="75"/>
      <c r="DG8" s="75"/>
      <c r="DH8" s="75"/>
      <c r="DI8" s="75"/>
      <c r="DJ8" s="75"/>
      <c r="DK8" s="75"/>
      <c r="DL8" s="75"/>
      <c r="DM8" s="75"/>
      <c r="DN8" s="75"/>
      <c r="DO8" s="75"/>
      <c r="DP8" s="75"/>
      <c r="DQ8" s="75"/>
      <c r="DR8" s="75"/>
      <c r="DS8" s="75"/>
      <c r="DT8" s="75"/>
      <c r="DU8" s="75"/>
      <c r="DV8" s="75"/>
      <c r="DW8" s="75"/>
      <c r="DX8" s="75"/>
      <c r="DY8" s="75"/>
      <c r="DZ8" s="75"/>
      <c r="EA8" s="75"/>
      <c r="EB8" s="75"/>
      <c r="EC8" s="75"/>
      <c r="ED8" s="75"/>
      <c r="EE8" s="75"/>
      <c r="EF8" s="75"/>
      <c r="EG8" s="75"/>
      <c r="EH8" s="75"/>
      <c r="EI8" s="75"/>
      <c r="EJ8" s="75"/>
      <c r="EK8" s="75"/>
      <c r="EL8" s="75"/>
      <c r="EM8" s="75"/>
      <c r="EN8" s="75"/>
      <c r="EO8" s="75"/>
      <c r="EP8" s="75"/>
      <c r="EQ8" s="75"/>
      <c r="ER8" s="75"/>
      <c r="ES8" s="75"/>
      <c r="ET8" s="75"/>
      <c r="EU8" s="75"/>
      <c r="EV8" s="75"/>
      <c r="EW8" s="75"/>
      <c r="EX8" s="75"/>
      <c r="EY8" s="75"/>
      <c r="EZ8" s="75"/>
      <c r="FA8" s="75"/>
      <c r="FB8" s="75"/>
      <c r="FC8" s="75"/>
      <c r="FD8" s="75"/>
      <c r="FE8" s="75"/>
      <c r="FF8" s="75"/>
      <c r="FG8" s="75"/>
      <c r="FH8" s="75"/>
      <c r="FI8" s="75"/>
      <c r="FJ8" s="75"/>
      <c r="FK8" s="75"/>
      <c r="FL8" s="75"/>
      <c r="FM8" s="75"/>
      <c r="FN8" s="75"/>
      <c r="FO8" s="75"/>
      <c r="FP8" s="75"/>
      <c r="FQ8" s="75"/>
      <c r="FR8" s="75"/>
      <c r="FS8" s="75"/>
      <c r="FT8" s="75"/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5"/>
      <c r="GJ8" s="75"/>
      <c r="GK8" s="75"/>
      <c r="GL8" s="75"/>
      <c r="GM8" s="75"/>
      <c r="GN8" s="75"/>
      <c r="GO8" s="75"/>
      <c r="GP8" s="75"/>
      <c r="GQ8" s="75"/>
      <c r="GR8" s="75"/>
      <c r="GS8" s="75"/>
      <c r="GT8" s="75"/>
      <c r="GU8" s="75"/>
      <c r="GV8" s="75"/>
      <c r="GW8" s="75"/>
      <c r="GX8" s="75"/>
      <c r="GY8" s="75"/>
      <c r="GZ8" s="75"/>
      <c r="HA8" s="75"/>
      <c r="HB8" s="75"/>
      <c r="HC8" s="75"/>
      <c r="HD8" s="75"/>
      <c r="HE8" s="75"/>
    </row>
    <row r="9" spans="1:239" ht="14">
      <c r="A9" s="9">
        <v>5</v>
      </c>
      <c r="B9" s="11" t="s">
        <v>25</v>
      </c>
      <c r="C9" s="11" t="s">
        <v>26</v>
      </c>
      <c r="D9" s="9"/>
      <c r="E9" s="11" t="s">
        <v>28</v>
      </c>
      <c r="F9" s="11" t="s">
        <v>137</v>
      </c>
      <c r="G9" s="9" t="s">
        <v>24</v>
      </c>
      <c r="H9" s="11" t="s">
        <v>137</v>
      </c>
      <c r="I9" s="50">
        <f>+SUM(BE9:BH9)/COUNT(BE9:BH9)</f>
        <v>1100</v>
      </c>
      <c r="J9" s="12">
        <f>+SUM(BI9:BL9)/COUNT(BI9:BL9)</f>
        <v>1100</v>
      </c>
      <c r="K9" s="12">
        <f>+SUM(BM9:BQ9)/COUNT(BM9:BQ9)</f>
        <v>1100</v>
      </c>
      <c r="L9" s="50">
        <f>+SUM(BR9:BU9)/COUNT(BR9:BU9)</f>
        <v>1100</v>
      </c>
      <c r="M9" s="50">
        <f>+SUM(BV9:BY9)/COUNT(BV9:BY9)</f>
        <v>1087.5</v>
      </c>
      <c r="N9" s="50">
        <f>+SUM(BZ9:CC9)/COUNT(BZ9:CC9)</f>
        <v>1050</v>
      </c>
      <c r="O9" s="50">
        <f>+SUM(CD9:CG9)/COUNT(CD9:CG9)</f>
        <v>1050</v>
      </c>
      <c r="P9" s="50">
        <f>+SUM(CH9:CL9)/COUNT(CH9:CL9)</f>
        <v>950</v>
      </c>
      <c r="Q9" s="50">
        <f>+SUM(CM9:CP9)/COUNT(CM9:CP9)</f>
        <v>950</v>
      </c>
      <c r="R9" s="50">
        <f>+SUM(CQ9:CR9)/COUNT(CQ9:CR9)</f>
        <v>950</v>
      </c>
      <c r="S9" s="50">
        <f>+SUM(CR9:CW9)/COUNT(CR9:CW9)</f>
        <v>950</v>
      </c>
      <c r="T9" s="50">
        <f>+SUM(CY9:DC9)/COUNT(CY9:DC9)</f>
        <v>950</v>
      </c>
      <c r="U9" s="50">
        <f>+SUM(DD9:DG9)/COUNT(DD9:DG9)</f>
        <v>930</v>
      </c>
      <c r="V9" s="50">
        <f>+SUM(DH9:DJ9)/COUNT(DH9:DJ9)</f>
        <v>930</v>
      </c>
      <c r="W9" s="50">
        <f>+SUM(DK9:DN9)/COUNT(DK9:DN9)</f>
        <v>930</v>
      </c>
      <c r="X9" s="50">
        <f>+SUM(DO9:DR9)/COUNT(DO9:DR9)</f>
        <v>950</v>
      </c>
      <c r="Y9" s="50">
        <f>+SUM(DS9:DW9)/COUNT(DS9:DW9)</f>
        <v>950</v>
      </c>
      <c r="Z9" s="50">
        <f t="shared" ref="Z9:Z10" si="0">+SUM(DX9:EA9)/COUNT(DX9:EA9)</f>
        <v>950</v>
      </c>
      <c r="AA9" s="50">
        <v>950</v>
      </c>
      <c r="AB9" s="50">
        <v>950</v>
      </c>
      <c r="AC9" s="50">
        <v>910</v>
      </c>
      <c r="AD9" s="50">
        <v>900</v>
      </c>
      <c r="AE9" s="50">
        <v>900</v>
      </c>
      <c r="AF9" s="50">
        <v>900</v>
      </c>
      <c r="AG9" s="50">
        <v>900</v>
      </c>
      <c r="AH9" s="50">
        <v>820</v>
      </c>
      <c r="AI9" s="50">
        <v>840</v>
      </c>
      <c r="AJ9" s="50">
        <v>835</v>
      </c>
      <c r="AK9" s="50">
        <v>815</v>
      </c>
      <c r="AL9" s="50">
        <v>815</v>
      </c>
      <c r="AM9" s="50">
        <v>789.5</v>
      </c>
      <c r="AN9" s="50">
        <f>789.5-20</f>
        <v>769.5</v>
      </c>
      <c r="AO9" s="50">
        <f>789.5-20-15</f>
        <v>754.5</v>
      </c>
      <c r="AP9" s="50">
        <v>740</v>
      </c>
      <c r="AQ9" s="50">
        <v>715</v>
      </c>
      <c r="AR9" s="50">
        <v>705</v>
      </c>
      <c r="AS9" s="50">
        <v>695</v>
      </c>
      <c r="AT9" s="50">
        <v>695</v>
      </c>
      <c r="AU9" s="50">
        <v>720</v>
      </c>
      <c r="AV9" s="50">
        <v>1190</v>
      </c>
      <c r="AW9" s="50">
        <v>1230</v>
      </c>
      <c r="AX9" s="50">
        <v>1080</v>
      </c>
      <c r="AY9" s="50">
        <v>1010</v>
      </c>
      <c r="BA9" s="9"/>
      <c r="BB9" s="11"/>
      <c r="BC9" s="11" t="s">
        <v>137</v>
      </c>
      <c r="BD9" s="50">
        <v>1250</v>
      </c>
      <c r="BE9" s="50">
        <v>1100</v>
      </c>
      <c r="BF9" s="50">
        <v>1100</v>
      </c>
      <c r="BG9" s="50">
        <v>1100</v>
      </c>
      <c r="BH9" s="50">
        <v>1100</v>
      </c>
      <c r="BI9" s="50">
        <v>1100</v>
      </c>
      <c r="BJ9" s="50">
        <v>1100</v>
      </c>
      <c r="BK9" s="50">
        <v>1100</v>
      </c>
      <c r="BL9" s="50">
        <v>1100</v>
      </c>
      <c r="BM9" s="50">
        <v>1100</v>
      </c>
      <c r="BN9" s="50">
        <v>1100</v>
      </c>
      <c r="BO9" s="50">
        <v>1100</v>
      </c>
      <c r="BP9" s="50">
        <v>1100</v>
      </c>
      <c r="BQ9" s="50">
        <v>1100</v>
      </c>
      <c r="BR9" s="50">
        <v>1100</v>
      </c>
      <c r="BS9" s="50">
        <v>1100</v>
      </c>
      <c r="BT9" s="50">
        <v>1100</v>
      </c>
      <c r="BU9" s="50">
        <v>1100</v>
      </c>
      <c r="BV9" s="50">
        <v>1100</v>
      </c>
      <c r="BW9" s="50">
        <v>1100</v>
      </c>
      <c r="BX9" s="50">
        <v>1100</v>
      </c>
      <c r="BY9" s="50">
        <v>1050</v>
      </c>
      <c r="BZ9" s="50">
        <v>1050</v>
      </c>
      <c r="CA9" s="50">
        <v>1050</v>
      </c>
      <c r="CB9" s="50">
        <v>1050</v>
      </c>
      <c r="CC9" s="50">
        <v>1050</v>
      </c>
      <c r="CD9" s="50">
        <v>1050</v>
      </c>
      <c r="CE9" s="50">
        <v>1050</v>
      </c>
      <c r="CF9" s="50">
        <v>1050</v>
      </c>
      <c r="CG9" s="50">
        <v>1050</v>
      </c>
      <c r="CH9" s="50">
        <v>950</v>
      </c>
      <c r="CI9" s="50">
        <v>950</v>
      </c>
      <c r="CJ9" s="50">
        <v>950</v>
      </c>
      <c r="CK9" s="50">
        <v>950</v>
      </c>
      <c r="CL9" s="50">
        <v>950</v>
      </c>
      <c r="CM9" s="50">
        <v>950</v>
      </c>
      <c r="CN9" s="50">
        <v>950</v>
      </c>
      <c r="CO9" s="50">
        <v>950</v>
      </c>
      <c r="CP9" s="50">
        <v>950</v>
      </c>
      <c r="CQ9" s="50">
        <v>950</v>
      </c>
      <c r="CR9" s="50">
        <v>950</v>
      </c>
      <c r="CS9" s="50">
        <v>950</v>
      </c>
      <c r="CT9" s="50">
        <v>950</v>
      </c>
      <c r="CU9" s="50">
        <v>950</v>
      </c>
      <c r="CV9" s="50">
        <v>950</v>
      </c>
      <c r="CW9" s="50">
        <v>950</v>
      </c>
      <c r="CX9" s="50">
        <v>950</v>
      </c>
      <c r="CY9" s="50">
        <v>950</v>
      </c>
      <c r="CZ9" s="50">
        <v>950</v>
      </c>
      <c r="DA9" s="50">
        <v>950</v>
      </c>
      <c r="DB9" s="50">
        <v>950</v>
      </c>
      <c r="DC9" s="50">
        <v>950</v>
      </c>
      <c r="DD9" s="50">
        <v>930</v>
      </c>
      <c r="DE9" s="50">
        <v>930</v>
      </c>
      <c r="DF9" s="50">
        <v>930</v>
      </c>
      <c r="DG9" s="50">
        <v>930</v>
      </c>
      <c r="DH9" s="50">
        <v>930</v>
      </c>
      <c r="DI9" s="50">
        <v>930</v>
      </c>
      <c r="DJ9" s="50">
        <v>930</v>
      </c>
      <c r="DK9" s="50">
        <v>930</v>
      </c>
      <c r="DL9" s="50">
        <v>930</v>
      </c>
      <c r="DM9" s="50">
        <v>930</v>
      </c>
      <c r="DN9" s="50">
        <v>930</v>
      </c>
      <c r="DO9" s="50">
        <v>950</v>
      </c>
      <c r="DP9" s="50">
        <v>950</v>
      </c>
      <c r="DQ9" s="50">
        <v>950</v>
      </c>
      <c r="DR9" s="50">
        <v>950</v>
      </c>
      <c r="DS9" s="50">
        <v>950</v>
      </c>
      <c r="DT9" s="50">
        <v>950</v>
      </c>
      <c r="DU9" s="50">
        <v>950</v>
      </c>
      <c r="DV9" s="50">
        <v>950</v>
      </c>
      <c r="DW9" s="50">
        <v>950</v>
      </c>
      <c r="DX9" s="50">
        <v>950</v>
      </c>
      <c r="DY9" s="50">
        <v>950</v>
      </c>
      <c r="DZ9" s="50">
        <v>950</v>
      </c>
      <c r="EA9" s="50">
        <v>950</v>
      </c>
      <c r="EB9" s="50">
        <v>950</v>
      </c>
      <c r="EC9" s="50">
        <v>950</v>
      </c>
      <c r="ED9" s="50">
        <v>950</v>
      </c>
      <c r="EE9" s="50">
        <v>950</v>
      </c>
      <c r="EF9" s="50">
        <v>950</v>
      </c>
      <c r="EG9" s="50">
        <v>950</v>
      </c>
      <c r="EH9" s="50">
        <v>950</v>
      </c>
      <c r="EI9" s="50">
        <v>950</v>
      </c>
      <c r="EJ9" s="50">
        <v>950</v>
      </c>
      <c r="EK9" s="50">
        <v>910</v>
      </c>
      <c r="EL9" s="50">
        <v>910</v>
      </c>
      <c r="EM9" s="50">
        <v>910</v>
      </c>
      <c r="EN9" s="50">
        <v>910</v>
      </c>
      <c r="EO9" s="50">
        <v>900</v>
      </c>
      <c r="EP9" s="50">
        <v>900</v>
      </c>
      <c r="EQ9" s="50">
        <v>900</v>
      </c>
      <c r="ER9" s="50">
        <v>900</v>
      </c>
      <c r="ES9" s="50">
        <v>900</v>
      </c>
      <c r="ET9" s="50">
        <v>900</v>
      </c>
      <c r="EU9" s="50">
        <v>900</v>
      </c>
      <c r="EV9" s="50">
        <v>900</v>
      </c>
      <c r="EW9" s="50">
        <v>900</v>
      </c>
      <c r="EX9" s="50">
        <v>900</v>
      </c>
      <c r="EY9" s="50">
        <v>900</v>
      </c>
      <c r="EZ9" s="50">
        <v>900</v>
      </c>
      <c r="FA9" s="50">
        <v>900</v>
      </c>
      <c r="FB9" s="50">
        <v>900</v>
      </c>
      <c r="FC9" s="50">
        <v>900</v>
      </c>
      <c r="FD9" s="50">
        <v>900</v>
      </c>
      <c r="FE9" s="50">
        <v>900</v>
      </c>
      <c r="FF9" s="50">
        <v>820</v>
      </c>
      <c r="FG9" s="50">
        <v>820</v>
      </c>
      <c r="FH9" s="50">
        <v>820</v>
      </c>
      <c r="FI9" s="50">
        <v>820</v>
      </c>
      <c r="FJ9" s="50">
        <v>840</v>
      </c>
      <c r="FK9" s="50">
        <v>840</v>
      </c>
      <c r="FL9" s="50">
        <v>840</v>
      </c>
      <c r="FM9" s="50">
        <v>840</v>
      </c>
      <c r="FN9" s="50">
        <v>835</v>
      </c>
      <c r="FO9" s="50">
        <v>835</v>
      </c>
      <c r="FP9" s="50">
        <v>835</v>
      </c>
      <c r="FQ9" s="50">
        <v>835</v>
      </c>
      <c r="FR9" s="50">
        <v>815</v>
      </c>
      <c r="FS9" s="50">
        <v>815</v>
      </c>
      <c r="FT9" s="50">
        <v>815</v>
      </c>
      <c r="FU9" s="50">
        <v>815</v>
      </c>
      <c r="FV9" s="50">
        <v>815</v>
      </c>
      <c r="FW9" s="50">
        <v>815</v>
      </c>
      <c r="FX9" s="50">
        <v>815</v>
      </c>
      <c r="FY9" s="50">
        <v>815</v>
      </c>
      <c r="FZ9" s="50">
        <v>815</v>
      </c>
      <c r="GA9" s="50">
        <v>789.5</v>
      </c>
      <c r="GB9" s="50">
        <v>789.5</v>
      </c>
      <c r="GC9" s="50">
        <v>789.5</v>
      </c>
      <c r="GD9" s="50">
        <v>789.5</v>
      </c>
      <c r="GE9" s="50">
        <v>789.5</v>
      </c>
      <c r="GF9" s="50">
        <f>789.5-20</f>
        <v>769.5</v>
      </c>
      <c r="GG9" s="50">
        <f t="shared" ref="GG9:GI9" si="1">789.5-20</f>
        <v>769.5</v>
      </c>
      <c r="GH9" s="50">
        <f t="shared" si="1"/>
        <v>769.5</v>
      </c>
      <c r="GI9" s="50">
        <f t="shared" si="1"/>
        <v>769.5</v>
      </c>
      <c r="GJ9" s="50">
        <f>789.5-20-15</f>
        <v>754.5</v>
      </c>
      <c r="GK9" s="50">
        <f t="shared" ref="GK9:GM9" si="2">789.5-20-15</f>
        <v>754.5</v>
      </c>
      <c r="GL9" s="50">
        <f t="shared" si="2"/>
        <v>754.5</v>
      </c>
      <c r="GM9" s="50">
        <f t="shared" si="2"/>
        <v>754.5</v>
      </c>
      <c r="GN9" s="50">
        <v>740</v>
      </c>
      <c r="GO9" s="50">
        <v>740</v>
      </c>
      <c r="GP9" s="50">
        <v>740</v>
      </c>
      <c r="GQ9" s="50">
        <v>740</v>
      </c>
      <c r="GR9" s="50">
        <v>740</v>
      </c>
      <c r="GS9" s="50">
        <v>715</v>
      </c>
      <c r="GT9" s="50">
        <v>715</v>
      </c>
      <c r="GU9" s="50">
        <v>715</v>
      </c>
      <c r="GV9" s="50">
        <v>715</v>
      </c>
      <c r="GW9" s="50">
        <v>705</v>
      </c>
      <c r="GX9" s="50">
        <v>705</v>
      </c>
      <c r="GY9" s="50">
        <v>705</v>
      </c>
      <c r="GZ9" s="50">
        <v>705</v>
      </c>
      <c r="HA9" s="50">
        <v>695</v>
      </c>
      <c r="HB9" s="50">
        <v>695</v>
      </c>
      <c r="HC9" s="50">
        <v>695</v>
      </c>
      <c r="HD9" s="50">
        <v>695</v>
      </c>
      <c r="HE9" s="50">
        <v>695</v>
      </c>
      <c r="HF9" s="50">
        <v>695</v>
      </c>
      <c r="HG9" s="50">
        <v>695</v>
      </c>
      <c r="HH9" s="50">
        <v>695</v>
      </c>
      <c r="HI9" s="50">
        <v>695</v>
      </c>
      <c r="HJ9" s="50">
        <v>720</v>
      </c>
      <c r="HK9" s="50">
        <v>720</v>
      </c>
      <c r="HL9" s="50">
        <f>720+50</f>
        <v>770</v>
      </c>
      <c r="HM9" s="50">
        <f>720+50</f>
        <v>770</v>
      </c>
      <c r="HN9" s="50">
        <v>1190</v>
      </c>
      <c r="HO9" s="50">
        <v>1190</v>
      </c>
      <c r="HP9" s="50">
        <v>1190</v>
      </c>
      <c r="HQ9" s="50">
        <v>1190</v>
      </c>
      <c r="HR9" s="50">
        <v>1190</v>
      </c>
      <c r="HS9" s="50">
        <v>1230</v>
      </c>
      <c r="HT9" s="50">
        <v>1230</v>
      </c>
      <c r="HU9" s="50">
        <v>1230</v>
      </c>
      <c r="HV9" s="50">
        <v>1230</v>
      </c>
      <c r="HW9" s="50">
        <v>1080</v>
      </c>
      <c r="HX9" s="50">
        <v>1080</v>
      </c>
      <c r="HY9" s="50">
        <v>1080</v>
      </c>
      <c r="HZ9" s="50">
        <v>1080</v>
      </c>
      <c r="IA9" s="50">
        <v>1010</v>
      </c>
      <c r="IB9" s="50">
        <v>1010</v>
      </c>
      <c r="IC9" s="50">
        <v>1010</v>
      </c>
      <c r="ID9" s="50">
        <v>1010</v>
      </c>
      <c r="IE9" s="50">
        <v>1010</v>
      </c>
    </row>
    <row r="10" spans="1:239" ht="14" hidden="1">
      <c r="A10" s="9"/>
      <c r="B10" s="11"/>
      <c r="C10" s="11"/>
      <c r="D10" s="9"/>
      <c r="E10" s="11"/>
      <c r="F10" s="11" t="s">
        <v>110</v>
      </c>
      <c r="G10" s="9"/>
      <c r="H10" s="11" t="s">
        <v>93</v>
      </c>
      <c r="I10" s="50">
        <f>+SUM(BE10:BH10)/COUNT(BE10:BH10)</f>
        <v>1125</v>
      </c>
      <c r="J10" s="12">
        <f>+SUM(BI10:BL10)/COUNT(BI10:BL10)</f>
        <v>1125</v>
      </c>
      <c r="K10" s="12">
        <f>+SUM(BM10:BQ10)/COUNT(BM10:BQ10)</f>
        <v>1125</v>
      </c>
      <c r="L10" s="50">
        <f>+SUM(BR10:BU10)/COUNT(BR10:BU10)</f>
        <v>1125</v>
      </c>
      <c r="M10" s="50">
        <f>+SUM(BV10:BY10)/COUNT(BV10:BY10)</f>
        <v>1112.5</v>
      </c>
      <c r="N10" s="50">
        <f>+SUM(BZ10:CC10)/COUNT(BZ10:CC10)</f>
        <v>1075</v>
      </c>
      <c r="O10" s="50">
        <f>+SUM(CD10:CG10)/COUNT(CD10:CG10)</f>
        <v>1075</v>
      </c>
      <c r="P10" s="50">
        <f>+SUM(CH10:CL10)/COUNT(CH10:CL10)</f>
        <v>975</v>
      </c>
      <c r="Q10" s="50">
        <f>+SUM(CM10:CP10)/COUNT(CM10:CP10)</f>
        <v>975</v>
      </c>
      <c r="R10" s="50">
        <f>+SUM(CQ10:CR10)/COUNT(CQ10:CR10)</f>
        <v>975</v>
      </c>
      <c r="S10" s="50">
        <f>+SUM(CR10:CW10)/COUNT(CR10:CW10)</f>
        <v>975</v>
      </c>
      <c r="T10" s="50">
        <f>+SUM(CY10:DC10)/COUNT(CY10:DC10)</f>
        <v>975</v>
      </c>
      <c r="U10" s="50">
        <f t="shared" ref="U10:U13" si="3">+SUM(DD10:DG10)/COUNT(DD10:DG10)</f>
        <v>955</v>
      </c>
      <c r="V10" s="50">
        <f t="shared" ref="V10:V13" si="4">+SUM(DH10:DJ10)/COUNT(DH10:DJ10)</f>
        <v>955</v>
      </c>
      <c r="W10" s="50">
        <f t="shared" ref="W10:W13" si="5">+SUM(DK10:DN10)/COUNT(DK10:DN10)</f>
        <v>955</v>
      </c>
      <c r="X10" s="50">
        <f>+SUM(DO10:DR10)/COUNT(DO10:DR10)</f>
        <v>975</v>
      </c>
      <c r="Y10" s="50">
        <f>+SUM(DS10:DW10)/COUNT(DS10:DW10)</f>
        <v>975</v>
      </c>
      <c r="Z10" s="50">
        <f t="shared" si="0"/>
        <v>975</v>
      </c>
      <c r="AA10" s="50">
        <v>975</v>
      </c>
      <c r="AB10" s="50">
        <v>975</v>
      </c>
      <c r="AC10" s="50">
        <v>975</v>
      </c>
      <c r="AD10" s="50">
        <v>975</v>
      </c>
      <c r="AE10" s="50">
        <v>975</v>
      </c>
      <c r="AF10" s="50">
        <v>975</v>
      </c>
      <c r="AG10" s="50">
        <v>975</v>
      </c>
      <c r="AH10" s="50">
        <v>975</v>
      </c>
      <c r="AI10" s="50">
        <v>975</v>
      </c>
      <c r="AJ10" s="50">
        <v>975</v>
      </c>
      <c r="AK10" s="50">
        <v>975</v>
      </c>
      <c r="AL10" s="50">
        <v>975</v>
      </c>
      <c r="AM10" s="50">
        <v>975</v>
      </c>
      <c r="AN10" s="50">
        <v>975</v>
      </c>
      <c r="AO10" s="50">
        <v>975</v>
      </c>
      <c r="AP10" s="50">
        <v>975</v>
      </c>
      <c r="AQ10" s="50">
        <v>975</v>
      </c>
      <c r="AR10" s="50">
        <v>975</v>
      </c>
      <c r="AS10" s="50">
        <v>975</v>
      </c>
      <c r="AT10" s="50">
        <v>975</v>
      </c>
      <c r="AU10" s="50">
        <v>975</v>
      </c>
      <c r="AV10" s="50"/>
      <c r="AW10" s="50"/>
      <c r="AX10" s="50"/>
      <c r="AY10" s="50"/>
      <c r="BA10" s="9"/>
      <c r="BB10" s="11"/>
      <c r="BC10" s="11" t="s">
        <v>95</v>
      </c>
      <c r="BD10" s="50">
        <f>+BD9+40</f>
        <v>1290</v>
      </c>
      <c r="BE10" s="50">
        <f>+BE9+25</f>
        <v>1125</v>
      </c>
      <c r="BF10" s="50">
        <f t="shared" ref="BF10:CM10" si="6">+BF9+25</f>
        <v>1125</v>
      </c>
      <c r="BG10" s="50">
        <f t="shared" si="6"/>
        <v>1125</v>
      </c>
      <c r="BH10" s="50">
        <f t="shared" si="6"/>
        <v>1125</v>
      </c>
      <c r="BI10" s="50">
        <f t="shared" si="6"/>
        <v>1125</v>
      </c>
      <c r="BJ10" s="50">
        <f t="shared" si="6"/>
        <v>1125</v>
      </c>
      <c r="BK10" s="50">
        <f t="shared" si="6"/>
        <v>1125</v>
      </c>
      <c r="BL10" s="50">
        <f t="shared" si="6"/>
        <v>1125</v>
      </c>
      <c r="BM10" s="50">
        <f t="shared" si="6"/>
        <v>1125</v>
      </c>
      <c r="BN10" s="50">
        <f t="shared" si="6"/>
        <v>1125</v>
      </c>
      <c r="BO10" s="50">
        <f t="shared" si="6"/>
        <v>1125</v>
      </c>
      <c r="BP10" s="50">
        <f t="shared" si="6"/>
        <v>1125</v>
      </c>
      <c r="BQ10" s="50">
        <f t="shared" si="6"/>
        <v>1125</v>
      </c>
      <c r="BR10" s="50">
        <f t="shared" si="6"/>
        <v>1125</v>
      </c>
      <c r="BS10" s="50">
        <f t="shared" si="6"/>
        <v>1125</v>
      </c>
      <c r="BT10" s="50">
        <f t="shared" si="6"/>
        <v>1125</v>
      </c>
      <c r="BU10" s="50">
        <f t="shared" si="6"/>
        <v>1125</v>
      </c>
      <c r="BV10" s="50">
        <f t="shared" si="6"/>
        <v>1125</v>
      </c>
      <c r="BW10" s="50">
        <f t="shared" si="6"/>
        <v>1125</v>
      </c>
      <c r="BX10" s="50">
        <f t="shared" si="6"/>
        <v>1125</v>
      </c>
      <c r="BY10" s="50">
        <f t="shared" si="6"/>
        <v>1075</v>
      </c>
      <c r="BZ10" s="50">
        <f t="shared" si="6"/>
        <v>1075</v>
      </c>
      <c r="CA10" s="50">
        <f t="shared" si="6"/>
        <v>1075</v>
      </c>
      <c r="CB10" s="50">
        <f t="shared" si="6"/>
        <v>1075</v>
      </c>
      <c r="CC10" s="50">
        <f t="shared" si="6"/>
        <v>1075</v>
      </c>
      <c r="CD10" s="50">
        <f t="shared" si="6"/>
        <v>1075</v>
      </c>
      <c r="CE10" s="50">
        <f t="shared" si="6"/>
        <v>1075</v>
      </c>
      <c r="CF10" s="50">
        <f t="shared" si="6"/>
        <v>1075</v>
      </c>
      <c r="CG10" s="50">
        <f t="shared" si="6"/>
        <v>1075</v>
      </c>
      <c r="CH10" s="50">
        <f t="shared" si="6"/>
        <v>975</v>
      </c>
      <c r="CI10" s="50">
        <f t="shared" si="6"/>
        <v>975</v>
      </c>
      <c r="CJ10" s="50">
        <f t="shared" si="6"/>
        <v>975</v>
      </c>
      <c r="CK10" s="50">
        <f t="shared" si="6"/>
        <v>975</v>
      </c>
      <c r="CL10" s="50">
        <f t="shared" si="6"/>
        <v>975</v>
      </c>
      <c r="CM10" s="50">
        <f t="shared" si="6"/>
        <v>975</v>
      </c>
      <c r="CN10" s="50">
        <f t="shared" ref="CN10:CT10" si="7">+CN9+25</f>
        <v>975</v>
      </c>
      <c r="CO10" s="50">
        <f t="shared" si="7"/>
        <v>975</v>
      </c>
      <c r="CP10" s="50">
        <f t="shared" si="7"/>
        <v>975</v>
      </c>
      <c r="CQ10" s="50">
        <f t="shared" si="7"/>
        <v>975</v>
      </c>
      <c r="CR10" s="50">
        <f t="shared" si="7"/>
        <v>975</v>
      </c>
      <c r="CS10" s="50">
        <f t="shared" si="7"/>
        <v>975</v>
      </c>
      <c r="CT10" s="50">
        <f t="shared" si="7"/>
        <v>975</v>
      </c>
      <c r="CU10" s="50">
        <f t="shared" ref="CU10:CV10" si="8">+CU9+25</f>
        <v>975</v>
      </c>
      <c r="CV10" s="50">
        <f t="shared" si="8"/>
        <v>975</v>
      </c>
      <c r="CW10" s="50">
        <f t="shared" ref="CW10:CX10" si="9">+CW9+25</f>
        <v>975</v>
      </c>
      <c r="CX10" s="50">
        <f t="shared" si="9"/>
        <v>975</v>
      </c>
      <c r="CY10" s="50">
        <f t="shared" ref="CY10:CZ10" si="10">+CY9+25</f>
        <v>975</v>
      </c>
      <c r="CZ10" s="50">
        <f t="shared" si="10"/>
        <v>975</v>
      </c>
      <c r="DA10" s="50">
        <f t="shared" ref="DA10:DC10" si="11">+DA9+25</f>
        <v>975</v>
      </c>
      <c r="DB10" s="50">
        <f t="shared" si="11"/>
        <v>975</v>
      </c>
      <c r="DC10" s="50">
        <f t="shared" si="11"/>
        <v>975</v>
      </c>
      <c r="DD10" s="50">
        <f t="shared" ref="DD10:DE10" si="12">+DD9+25</f>
        <v>955</v>
      </c>
      <c r="DE10" s="50">
        <f t="shared" si="12"/>
        <v>955</v>
      </c>
      <c r="DF10" s="50">
        <f t="shared" ref="DF10:DG10" si="13">+DF9+25</f>
        <v>955</v>
      </c>
      <c r="DG10" s="50">
        <f t="shared" si="13"/>
        <v>955</v>
      </c>
      <c r="DH10" s="50">
        <f t="shared" ref="DH10:DI10" si="14">+DH9+25</f>
        <v>955</v>
      </c>
      <c r="DI10" s="50">
        <f t="shared" si="14"/>
        <v>955</v>
      </c>
      <c r="DJ10" s="50">
        <f t="shared" ref="DJ10:DK10" si="15">+DJ9+25</f>
        <v>955</v>
      </c>
      <c r="DK10" s="50">
        <f t="shared" si="15"/>
        <v>955</v>
      </c>
      <c r="DL10" s="50">
        <f t="shared" ref="DL10:DO10" si="16">+DL9+25</f>
        <v>955</v>
      </c>
      <c r="DM10" s="50">
        <f t="shared" si="16"/>
        <v>955</v>
      </c>
      <c r="DN10" s="50">
        <f t="shared" si="16"/>
        <v>955</v>
      </c>
      <c r="DO10" s="50">
        <f t="shared" si="16"/>
        <v>975</v>
      </c>
      <c r="DP10" s="50">
        <f t="shared" ref="DP10:DR10" si="17">+DP9+25</f>
        <v>975</v>
      </c>
      <c r="DQ10" s="50">
        <f t="shared" si="17"/>
        <v>975</v>
      </c>
      <c r="DR10" s="50">
        <f t="shared" si="17"/>
        <v>975</v>
      </c>
      <c r="DS10" s="50">
        <f t="shared" ref="DS10:DT10" si="18">+DS9+25</f>
        <v>975</v>
      </c>
      <c r="DT10" s="50">
        <f t="shared" si="18"/>
        <v>975</v>
      </c>
      <c r="DU10" s="50">
        <f t="shared" ref="DU10:DV10" si="19">+DU9+25</f>
        <v>975</v>
      </c>
      <c r="DV10" s="50">
        <f t="shared" si="19"/>
        <v>975</v>
      </c>
      <c r="DW10" s="50">
        <f t="shared" ref="DW10:DX10" si="20">+DW9+25</f>
        <v>975</v>
      </c>
      <c r="DX10" s="50">
        <f t="shared" si="20"/>
        <v>975</v>
      </c>
      <c r="DY10" s="50">
        <f t="shared" ref="DY10:DZ10" si="21">+DY9+25</f>
        <v>975</v>
      </c>
      <c r="DZ10" s="50">
        <f t="shared" si="21"/>
        <v>975</v>
      </c>
      <c r="EA10" s="50">
        <f t="shared" ref="EA10:EB10" si="22">+EA9+25</f>
        <v>975</v>
      </c>
      <c r="EB10" s="50">
        <f t="shared" si="22"/>
        <v>975</v>
      </c>
      <c r="EC10" s="50">
        <f t="shared" ref="EC10:ED10" si="23">+EC9+25</f>
        <v>975</v>
      </c>
      <c r="ED10" s="50">
        <f t="shared" si="23"/>
        <v>975</v>
      </c>
      <c r="EE10" s="50">
        <f t="shared" ref="EE10:EF10" si="24">+EE9+25</f>
        <v>975</v>
      </c>
      <c r="EF10" s="50">
        <f t="shared" si="24"/>
        <v>975</v>
      </c>
      <c r="EG10" s="50">
        <f t="shared" ref="EG10:EH10" si="25">+EG9+25</f>
        <v>975</v>
      </c>
      <c r="EH10" s="50">
        <f t="shared" si="25"/>
        <v>975</v>
      </c>
      <c r="EI10" s="50">
        <f t="shared" ref="EI10:EK10" si="26">+EI9+25</f>
        <v>975</v>
      </c>
      <c r="EJ10" s="50">
        <f t="shared" si="26"/>
        <v>975</v>
      </c>
      <c r="EK10" s="50">
        <f t="shared" si="26"/>
        <v>935</v>
      </c>
      <c r="EL10" s="50">
        <f t="shared" ref="EL10:EM10" si="27">+EL9+25</f>
        <v>935</v>
      </c>
      <c r="EM10" s="50">
        <f t="shared" si="27"/>
        <v>935</v>
      </c>
      <c r="EN10" s="50">
        <f t="shared" ref="EN10:EP10" si="28">+EN9+25</f>
        <v>935</v>
      </c>
      <c r="EO10" s="50">
        <f t="shared" si="28"/>
        <v>925</v>
      </c>
      <c r="EP10" s="50">
        <f t="shared" si="28"/>
        <v>925</v>
      </c>
      <c r="EQ10" s="50">
        <f t="shared" ref="EQ10" si="29">+EQ9+25</f>
        <v>925</v>
      </c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</row>
    <row r="11" spans="1:239" s="13" customFormat="1" ht="14" hidden="1">
      <c r="A11" s="54">
        <v>9</v>
      </c>
      <c r="B11" s="55"/>
      <c r="C11" s="55"/>
      <c r="D11" s="106" t="s">
        <v>37</v>
      </c>
      <c r="E11" s="55" t="s">
        <v>38</v>
      </c>
      <c r="F11" s="55" t="s">
        <v>128</v>
      </c>
      <c r="G11" s="54" t="s">
        <v>24</v>
      </c>
      <c r="H11" s="111" t="str">
        <f>F11</f>
        <v>Hạt đen (Châu Âu) - ICIS</v>
      </c>
      <c r="I11" s="129">
        <f>+SUM(BE11:BH11)/COUNT(BE11:BH11)</f>
        <v>1063.43</v>
      </c>
      <c r="J11" s="129">
        <f>+SUM(BI11:BL11)/COUNT(BI11:BL11)</f>
        <v>1063.4425000000001</v>
      </c>
      <c r="K11" s="129">
        <f>+SUM(BM11:BQ11)/COUNT(BM11:BQ11)</f>
        <v>1061.0620000000001</v>
      </c>
      <c r="L11" s="129">
        <f>+SUM(BR11:BU11)/COUNT(BR11:BU11)</f>
        <v>1038.75</v>
      </c>
      <c r="M11" s="129">
        <f>+SUM(BV11:BY11)/COUNT(BV11:BY11)</f>
        <v>963</v>
      </c>
      <c r="N11" s="129">
        <f>+SUM(BZ11:CC11)/COUNT(BZ11:CC11)</f>
        <v>941.7075000000001</v>
      </c>
      <c r="O11" s="129">
        <f>+SUM(CD11:CG11)/COUNT(CD11:CG11)</f>
        <v>936.71500000000015</v>
      </c>
      <c r="P11" s="129">
        <f>+SUM(CH11:CL11)/COUNT(CH11:CL11)</f>
        <v>890.976</v>
      </c>
      <c r="Q11" s="129">
        <f>+SUM(CM11:CP11)/COUNT(CM11:CP11)</f>
        <v>873.09750000000008</v>
      </c>
      <c r="R11" s="129">
        <f>+SUM(CQ11:CT11)/COUNT(CQ11:CT11)</f>
        <v>850.12249999999995</v>
      </c>
      <c r="S11" s="129">
        <f>+SUM(CU11:CX11)/COUNT(CU11:CX11)</f>
        <v>862.17</v>
      </c>
      <c r="T11" s="129">
        <f>+SUM(CY11:DC11)/COUNT(CY11:DC11)</f>
        <v>813.33400000000006</v>
      </c>
      <c r="U11" s="129">
        <f t="shared" si="3"/>
        <v>795.74750000000006</v>
      </c>
      <c r="V11" s="129">
        <f t="shared" si="4"/>
        <v>808.88999999999987</v>
      </c>
      <c r="W11" s="129">
        <f t="shared" si="5"/>
        <v>807.18</v>
      </c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BA11" s="54" t="s">
        <v>37</v>
      </c>
      <c r="BB11" s="55" t="s">
        <v>38</v>
      </c>
      <c r="BC11" s="111" t="str">
        <f>H11</f>
        <v>Hạt đen (Châu Âu) - ICIS</v>
      </c>
      <c r="BD11" s="114" t="e">
        <f>#REF!</f>
        <v>#REF!</v>
      </c>
      <c r="BE11" s="56">
        <v>1041.21</v>
      </c>
      <c r="BF11" s="56">
        <v>1069.97</v>
      </c>
      <c r="BG11" s="56">
        <v>1068.1099999999999</v>
      </c>
      <c r="BH11" s="56">
        <v>1074.43</v>
      </c>
      <c r="BI11" s="56">
        <v>1082.6099999999999</v>
      </c>
      <c r="BJ11" s="56">
        <v>1065.47</v>
      </c>
      <c r="BK11" s="56">
        <v>1056.6500000000001</v>
      </c>
      <c r="BL11" s="56">
        <v>1049.04</v>
      </c>
      <c r="BM11" s="56">
        <v>1050.44</v>
      </c>
      <c r="BN11" s="56">
        <v>1046.3599999999999</v>
      </c>
      <c r="BO11" s="56">
        <v>1051.3900000000001</v>
      </c>
      <c r="BP11" s="56">
        <v>1078.1199999999999</v>
      </c>
      <c r="BQ11" s="56">
        <v>1079</v>
      </c>
      <c r="BR11" s="56">
        <v>1086</v>
      </c>
      <c r="BS11" s="58">
        <v>1086</v>
      </c>
      <c r="BT11" s="58">
        <v>992</v>
      </c>
      <c r="BU11" s="58">
        <v>991</v>
      </c>
      <c r="BV11" s="58">
        <v>982</v>
      </c>
      <c r="BW11" s="58">
        <v>970</v>
      </c>
      <c r="BX11" s="58">
        <v>965</v>
      </c>
      <c r="BY11" s="58">
        <v>935</v>
      </c>
      <c r="BZ11" s="58">
        <v>937.84</v>
      </c>
      <c r="CA11" s="58">
        <v>951.1</v>
      </c>
      <c r="CB11" s="58">
        <v>952.95</v>
      </c>
      <c r="CC11" s="58">
        <v>924.94</v>
      </c>
      <c r="CD11" s="58">
        <v>924.94</v>
      </c>
      <c r="CE11" s="58">
        <v>924.07</v>
      </c>
      <c r="CF11" s="58">
        <v>951.34</v>
      </c>
      <c r="CG11" s="58">
        <v>946.51</v>
      </c>
      <c r="CH11" s="58">
        <v>896.52</v>
      </c>
      <c r="CI11" s="58">
        <v>892.09</v>
      </c>
      <c r="CJ11" s="58">
        <v>897.78</v>
      </c>
      <c r="CK11" s="58">
        <v>886.14</v>
      </c>
      <c r="CL11" s="102">
        <v>882.35</v>
      </c>
      <c r="CM11" s="102">
        <v>882.35</v>
      </c>
      <c r="CN11" s="102">
        <v>872.34</v>
      </c>
      <c r="CO11" s="102">
        <v>868.61</v>
      </c>
      <c r="CP11" s="102">
        <v>869.09</v>
      </c>
      <c r="CQ11" s="102">
        <v>851.44</v>
      </c>
      <c r="CR11" s="102">
        <v>847.31</v>
      </c>
      <c r="CS11" s="102">
        <v>850.87</v>
      </c>
      <c r="CT11" s="102">
        <v>850.87</v>
      </c>
      <c r="CU11" s="102">
        <v>847.98</v>
      </c>
      <c r="CV11" s="102">
        <v>862.54</v>
      </c>
      <c r="CW11" s="102">
        <v>862.54</v>
      </c>
      <c r="CX11" s="102">
        <v>875.62</v>
      </c>
      <c r="CY11" s="102">
        <v>878.23</v>
      </c>
      <c r="CZ11" s="102">
        <v>796.36</v>
      </c>
      <c r="DA11" s="102">
        <v>787.17</v>
      </c>
      <c r="DB11" s="102">
        <v>802.63</v>
      </c>
      <c r="DC11" s="102">
        <v>802.28</v>
      </c>
      <c r="DD11" s="102">
        <v>799.72</v>
      </c>
      <c r="DE11" s="102">
        <v>799.05</v>
      </c>
      <c r="DF11" s="102">
        <v>792.11</v>
      </c>
      <c r="DG11" s="102">
        <v>792.11</v>
      </c>
      <c r="DH11" s="102">
        <v>812.31</v>
      </c>
      <c r="DI11" s="102">
        <v>807.18</v>
      </c>
      <c r="DJ11" s="102">
        <v>807.18</v>
      </c>
      <c r="DK11" s="102">
        <v>807.18</v>
      </c>
      <c r="DL11" s="102"/>
      <c r="DM11" s="102"/>
      <c r="DN11" s="102"/>
      <c r="DO11" s="102"/>
      <c r="DP11" s="102"/>
      <c r="DQ11" s="102"/>
      <c r="DR11" s="102"/>
      <c r="DS11" s="102"/>
      <c r="DT11" s="102"/>
      <c r="DU11" s="102"/>
      <c r="DV11" s="102"/>
      <c r="DW11" s="102"/>
      <c r="DX11" s="102"/>
      <c r="DY11" s="102"/>
      <c r="DZ11" s="102"/>
      <c r="EA11" s="102"/>
      <c r="EB11" s="102"/>
      <c r="EC11" s="102"/>
      <c r="ED11" s="102"/>
      <c r="EE11" s="102"/>
      <c r="EF11" s="102"/>
      <c r="EG11" s="102"/>
      <c r="EH11" s="102"/>
      <c r="EI11" s="102"/>
      <c r="EJ11" s="102"/>
      <c r="EK11" s="102"/>
      <c r="EL11" s="102"/>
      <c r="EM11" s="102"/>
      <c r="EN11" s="102"/>
      <c r="EO11" s="102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102"/>
      <c r="GG11" s="102"/>
      <c r="GH11" s="102"/>
      <c r="GI11" s="102"/>
      <c r="GJ11" s="102"/>
      <c r="GK11" s="102"/>
      <c r="GL11" s="102"/>
      <c r="GM11" s="102"/>
      <c r="GN11" s="102"/>
      <c r="GO11" s="102"/>
      <c r="GP11" s="102"/>
      <c r="GQ11" s="102"/>
      <c r="GR11" s="102"/>
      <c r="GS11" s="102"/>
      <c r="GT11" s="102"/>
      <c r="GU11" s="102"/>
      <c r="GV11" s="102"/>
      <c r="GW11" s="102"/>
      <c r="GX11" s="102"/>
      <c r="GY11" s="102"/>
      <c r="GZ11" s="102"/>
      <c r="HA11" s="102"/>
      <c r="HB11" s="102"/>
      <c r="HC11" s="102"/>
      <c r="HD11" s="102"/>
      <c r="HE11" s="102"/>
      <c r="HF11" s="102"/>
      <c r="HG11" s="102"/>
      <c r="HH11" s="102"/>
      <c r="HI11" s="102"/>
      <c r="HJ11" s="102"/>
      <c r="HK11" s="102"/>
      <c r="HL11" s="102"/>
      <c r="HM11" s="102"/>
      <c r="HN11" s="102"/>
      <c r="HO11" s="102"/>
      <c r="HP11" s="102"/>
      <c r="HQ11" s="102"/>
      <c r="HR11" s="102"/>
      <c r="HS11" s="102"/>
      <c r="HT11" s="102"/>
      <c r="HU11" s="102"/>
      <c r="HV11" s="102"/>
      <c r="HW11" s="102"/>
      <c r="HX11" s="102"/>
      <c r="HY11" s="102"/>
      <c r="HZ11" s="102"/>
      <c r="IA11" s="102"/>
      <c r="IB11" s="102"/>
      <c r="IC11" s="102"/>
      <c r="ID11" s="102"/>
      <c r="IE11" s="102"/>
    </row>
    <row r="12" spans="1:239" s="13" customFormat="1" ht="14" hidden="1">
      <c r="A12" s="54">
        <v>9</v>
      </c>
      <c r="B12" s="55"/>
      <c r="C12" s="55"/>
      <c r="D12" s="54" t="s">
        <v>37</v>
      </c>
      <c r="E12" s="55" t="s">
        <v>38</v>
      </c>
      <c r="F12" s="55" t="s">
        <v>129</v>
      </c>
      <c r="G12" s="54" t="s">
        <v>24</v>
      </c>
      <c r="H12" s="111" t="str">
        <f>F12</f>
        <v>Hạt màu (Châu Âu) - ICIS</v>
      </c>
      <c r="I12" s="130">
        <f>+SUM(BE12:BH12)/COUNT(BE12:BH12)</f>
        <v>1476.7075</v>
      </c>
      <c r="J12" s="130">
        <f>+SUM(BI12:BL12)/COUNT(BI12:BL12)</f>
        <v>1396.4399999999998</v>
      </c>
      <c r="K12" s="130">
        <f>+SUM(BM12:BQ12)/COUNT(BM12:BQ12)</f>
        <v>1393.316</v>
      </c>
      <c r="L12" s="130">
        <f>+SUM(BR12:BU12)/COUNT(BR12:BU12)</f>
        <v>1427.4324999999999</v>
      </c>
      <c r="M12" s="130">
        <f>+SUM(BV12:BY12)/COUNT(BV12:BY12)</f>
        <v>1403</v>
      </c>
      <c r="N12" s="130">
        <f>+SUM(BZ12:CC12)/COUNT(BZ12:CC12)</f>
        <v>1417.6175000000001</v>
      </c>
      <c r="O12" s="130">
        <f>+SUM(CD12:CG12)/COUNT(CD12:CG12)</f>
        <v>964.26750000000004</v>
      </c>
      <c r="P12" s="130">
        <f>+SUM(CH12:CL12)/COUNT(CH12:CL12)</f>
        <v>956.56799999999998</v>
      </c>
      <c r="Q12" s="130">
        <f>+SUM(CM12:CP12)/COUNT(CM12:CP12)</f>
        <v>937.37749999999994</v>
      </c>
      <c r="R12" s="130">
        <f>+SUM(CQ12:CT12)/COUNT(CQ12:CT12)</f>
        <v>924.04250000000002</v>
      </c>
      <c r="S12" s="130">
        <f t="shared" ref="S12:S13" si="30">+SUM(CU12:CX12)/COUNT(CU12:CX12)</f>
        <v>937.14499999999998</v>
      </c>
      <c r="T12" s="130">
        <f t="shared" ref="T12:T13" si="31">+SUM(CY12:DC12)/COUNT(CY12:DC12)</f>
        <v>955.28399999999999</v>
      </c>
      <c r="U12" s="129">
        <f t="shared" si="3"/>
        <v>953.80500000000006</v>
      </c>
      <c r="V12" s="129">
        <f t="shared" si="4"/>
        <v>943.70333333333338</v>
      </c>
      <c r="W12" s="129">
        <f t="shared" si="5"/>
        <v>941.71</v>
      </c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BA12" s="54" t="s">
        <v>37</v>
      </c>
      <c r="BB12" s="55" t="s">
        <v>38</v>
      </c>
      <c r="BC12" s="111" t="str">
        <f>H12</f>
        <v>Hạt màu (Châu Âu) - ICIS</v>
      </c>
      <c r="BD12" s="115" t="e">
        <f>#REF!</f>
        <v>#REF!</v>
      </c>
      <c r="BE12" s="58">
        <v>1472.42</v>
      </c>
      <c r="BF12" s="58">
        <v>1513.09</v>
      </c>
      <c r="BG12" s="58">
        <v>1510.45</v>
      </c>
      <c r="BH12" s="58">
        <v>1410.87</v>
      </c>
      <c r="BI12" s="58">
        <v>1421.61</v>
      </c>
      <c r="BJ12" s="58">
        <v>1399.1</v>
      </c>
      <c r="BK12" s="58">
        <v>1387.52</v>
      </c>
      <c r="BL12" s="58">
        <v>1377.53</v>
      </c>
      <c r="BM12" s="58">
        <v>1379.37</v>
      </c>
      <c r="BN12" s="58">
        <v>1374.01</v>
      </c>
      <c r="BO12" s="58">
        <v>1380.62</v>
      </c>
      <c r="BP12" s="58">
        <v>1415.71</v>
      </c>
      <c r="BQ12" s="58">
        <v>1416.87</v>
      </c>
      <c r="BR12" s="58">
        <v>1420.31</v>
      </c>
      <c r="BS12" s="58">
        <v>1426.12</v>
      </c>
      <c r="BT12" s="58">
        <v>1432.19</v>
      </c>
      <c r="BU12" s="58">
        <v>1431.11</v>
      </c>
      <c r="BV12" s="58">
        <v>1419</v>
      </c>
      <c r="BW12" s="58">
        <v>1401</v>
      </c>
      <c r="BX12" s="58">
        <v>1394</v>
      </c>
      <c r="BY12" s="58">
        <v>1398</v>
      </c>
      <c r="BZ12" s="58">
        <v>1401.38</v>
      </c>
      <c r="CA12" s="58">
        <v>1421.19</v>
      </c>
      <c r="CB12" s="58">
        <v>1423.95</v>
      </c>
      <c r="CC12" s="58">
        <v>1423.95</v>
      </c>
      <c r="CD12" s="58">
        <v>952.15</v>
      </c>
      <c r="CE12" s="58">
        <v>951.25</v>
      </c>
      <c r="CF12" s="58">
        <v>979.32</v>
      </c>
      <c r="CG12" s="58">
        <v>974.35</v>
      </c>
      <c r="CH12" s="58">
        <v>962.52</v>
      </c>
      <c r="CI12" s="58">
        <v>957.76</v>
      </c>
      <c r="CJ12" s="58">
        <v>963.87</v>
      </c>
      <c r="CK12" s="58">
        <v>951.38</v>
      </c>
      <c r="CL12" s="102">
        <v>947.31</v>
      </c>
      <c r="CM12" s="102">
        <v>947.31</v>
      </c>
      <c r="CN12" s="102">
        <v>936.56</v>
      </c>
      <c r="CO12" s="102">
        <v>932.56</v>
      </c>
      <c r="CP12" s="102">
        <v>933.08</v>
      </c>
      <c r="CQ12" s="102">
        <v>925.48</v>
      </c>
      <c r="CR12" s="102">
        <v>920.99</v>
      </c>
      <c r="CS12" s="102">
        <v>924.85</v>
      </c>
      <c r="CT12" s="102">
        <v>924.85</v>
      </c>
      <c r="CU12" s="102">
        <v>921.72</v>
      </c>
      <c r="CV12" s="102">
        <v>937.55</v>
      </c>
      <c r="CW12" s="102">
        <v>937.55</v>
      </c>
      <c r="CX12" s="102">
        <v>951.76</v>
      </c>
      <c r="CY12" s="102">
        <v>954.6</v>
      </c>
      <c r="CZ12" s="102">
        <v>954.6</v>
      </c>
      <c r="DA12" s="102">
        <v>943.52</v>
      </c>
      <c r="DB12" s="102">
        <v>962.06</v>
      </c>
      <c r="DC12" s="102">
        <v>961.64</v>
      </c>
      <c r="DD12" s="102">
        <v>958.57</v>
      </c>
      <c r="DE12" s="102">
        <v>957.77</v>
      </c>
      <c r="DF12" s="102">
        <v>949.44</v>
      </c>
      <c r="DG12" s="102">
        <v>949.44</v>
      </c>
      <c r="DH12" s="102">
        <v>947.69</v>
      </c>
      <c r="DI12" s="102">
        <v>941.71</v>
      </c>
      <c r="DJ12" s="102">
        <v>941.71</v>
      </c>
      <c r="DK12" s="102">
        <v>941.71</v>
      </c>
      <c r="DL12" s="102"/>
      <c r="DM12" s="102"/>
      <c r="DN12" s="102"/>
      <c r="DO12" s="102"/>
      <c r="DP12" s="102"/>
      <c r="DQ12" s="102"/>
      <c r="DR12" s="102"/>
      <c r="DS12" s="102"/>
      <c r="DT12" s="102"/>
      <c r="DU12" s="102"/>
      <c r="DV12" s="102"/>
      <c r="DW12" s="102"/>
      <c r="DX12" s="102"/>
      <c r="DY12" s="102"/>
      <c r="DZ12" s="102"/>
      <c r="EA12" s="102"/>
      <c r="EB12" s="102"/>
      <c r="EC12" s="102"/>
      <c r="ED12" s="102"/>
      <c r="EE12" s="102"/>
      <c r="EF12" s="102"/>
      <c r="EG12" s="102"/>
      <c r="EH12" s="102"/>
      <c r="EI12" s="102"/>
      <c r="EJ12" s="102"/>
      <c r="EK12" s="102"/>
      <c r="EL12" s="102"/>
      <c r="EM12" s="102"/>
      <c r="EN12" s="102"/>
      <c r="EO12" s="102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2"/>
      <c r="FN12" s="102"/>
      <c r="FO12" s="102"/>
      <c r="FP12" s="102"/>
      <c r="FQ12" s="102"/>
      <c r="FR12" s="102"/>
      <c r="FS12" s="102"/>
      <c r="FT12" s="102"/>
      <c r="FU12" s="102"/>
      <c r="FV12" s="102"/>
      <c r="FW12" s="102"/>
      <c r="FX12" s="102"/>
      <c r="FY12" s="102"/>
      <c r="FZ12" s="102"/>
      <c r="GA12" s="102"/>
      <c r="GB12" s="102"/>
      <c r="GC12" s="102"/>
      <c r="GD12" s="102"/>
      <c r="GE12" s="102"/>
      <c r="GF12" s="102"/>
      <c r="GG12" s="102"/>
      <c r="GH12" s="102"/>
      <c r="GI12" s="102"/>
      <c r="GJ12" s="102"/>
      <c r="GK12" s="102"/>
      <c r="GL12" s="102"/>
      <c r="GM12" s="102"/>
      <c r="GN12" s="102"/>
      <c r="GO12" s="102"/>
      <c r="GP12" s="102"/>
      <c r="GQ12" s="102"/>
      <c r="GR12" s="102"/>
      <c r="GS12" s="102"/>
      <c r="GT12" s="102"/>
      <c r="GU12" s="102"/>
      <c r="GV12" s="102"/>
      <c r="GW12" s="102"/>
      <c r="GX12" s="102"/>
      <c r="GY12" s="102"/>
      <c r="GZ12" s="102"/>
      <c r="HA12" s="102"/>
      <c r="HB12" s="102"/>
      <c r="HC12" s="102"/>
      <c r="HD12" s="102"/>
      <c r="HE12" s="102"/>
      <c r="HF12" s="102"/>
      <c r="HG12" s="102"/>
      <c r="HH12" s="102"/>
      <c r="HI12" s="102"/>
      <c r="HJ12" s="102"/>
      <c r="HK12" s="102"/>
      <c r="HL12" s="102"/>
      <c r="HM12" s="102"/>
      <c r="HN12" s="102"/>
      <c r="HO12" s="102"/>
      <c r="HP12" s="102"/>
      <c r="HQ12" s="102"/>
      <c r="HR12" s="102"/>
      <c r="HS12" s="102"/>
      <c r="HT12" s="102"/>
      <c r="HU12" s="102"/>
      <c r="HV12" s="102"/>
      <c r="HW12" s="102"/>
      <c r="HX12" s="102"/>
      <c r="HY12" s="102"/>
      <c r="HZ12" s="102"/>
      <c r="IA12" s="102"/>
      <c r="IB12" s="102"/>
      <c r="IC12" s="102"/>
      <c r="ID12" s="102"/>
      <c r="IE12" s="102"/>
    </row>
    <row r="13" spans="1:239" ht="14">
      <c r="D13" s="54" t="s">
        <v>41</v>
      </c>
      <c r="E13" s="25"/>
      <c r="F13" s="59" t="s">
        <v>130</v>
      </c>
      <c r="G13" s="54" t="s">
        <v>24</v>
      </c>
      <c r="H13" s="111" t="str">
        <f>F13</f>
        <v>RESIN</v>
      </c>
      <c r="I13" s="129">
        <f>+SUM(BE13:BH13)/COUNT(BE13:BH13)</f>
        <v>1045</v>
      </c>
      <c r="J13" s="129">
        <f>+SUM(BI13:BL13)/COUNT(BI13:BL13)</f>
        <v>1087.5</v>
      </c>
      <c r="K13" s="129">
        <f>+SUM(BM13:BQ13)/COUNT(BM13:BQ13)</f>
        <v>1040</v>
      </c>
      <c r="L13" s="129">
        <f>+SUM(BR13:BU13)/COUNT(BR13:BU13)</f>
        <v>1027.5</v>
      </c>
      <c r="M13" s="129">
        <f>+SUM(BV13:BY13)/COUNT(BV13:BY13)</f>
        <v>967.5</v>
      </c>
      <c r="N13" s="129">
        <f>+SUM(BZ13:CC13)/COUNT(BZ13:CC13)</f>
        <v>887.5</v>
      </c>
      <c r="O13" s="129">
        <f>+SUM(CD13:CG13)/COUNT(CD13:CG13)</f>
        <v>900</v>
      </c>
      <c r="P13" s="129">
        <f>+SUM(CH13:CL13)/COUNT(CH13:CL13)</f>
        <v>958</v>
      </c>
      <c r="Q13" s="129">
        <f>+SUM(CM13:CP13)/COUNT(CM13:CP13)</f>
        <v>980</v>
      </c>
      <c r="R13" s="129">
        <f>+SUM(CQ13:CT13)/COUNT(CQ13:CT13)</f>
        <v>967.5</v>
      </c>
      <c r="S13" s="129">
        <f t="shared" si="30"/>
        <v>927.5</v>
      </c>
      <c r="T13" s="129">
        <f t="shared" si="31"/>
        <v>926</v>
      </c>
      <c r="U13" s="129">
        <f t="shared" si="3"/>
        <v>962.5</v>
      </c>
      <c r="V13" s="129">
        <f t="shared" si="4"/>
        <v>986.66666666666663</v>
      </c>
      <c r="W13" s="129">
        <f t="shared" si="5"/>
        <v>990</v>
      </c>
      <c r="X13" s="129">
        <f>+SUM(DO13:DR13)/COUNT(DO13:DR13)</f>
        <v>992.5</v>
      </c>
      <c r="Y13" s="129">
        <f>+SUM(DS13:DW13)/COUNT(DS13:DW13)</f>
        <v>1002</v>
      </c>
      <c r="Z13" s="129">
        <f>+SUM(DX13:EA13)/COUNT(DX13:EA13)</f>
        <v>1025</v>
      </c>
      <c r="AA13" s="129">
        <f>+SUM(EB13:EE13)/COUNT(EB13:EE13)</f>
        <v>1020</v>
      </c>
      <c r="AB13" s="129">
        <f>+SUM(EF13:EJ13)/COUNT(EF13:EJ13)</f>
        <v>970</v>
      </c>
      <c r="AC13" s="129">
        <f>+SUM(EK13:EN13)/COUNT(EK13:EN13)</f>
        <v>955</v>
      </c>
      <c r="AD13" s="129">
        <f>+SUM(EP13:ER13)/COUNT(EP13:ER13)</f>
        <v>956.66666666666663</v>
      </c>
      <c r="AE13" s="129">
        <f>+SUM(ES13:EW13)/COUNT(ES13:EW13)</f>
        <v>968</v>
      </c>
      <c r="AF13" s="129">
        <f>+SUM(EX13:FA13)/COUNT(EX13:FA13)</f>
        <v>960</v>
      </c>
      <c r="AG13" s="129">
        <f>+SUM(FB13:FE13)/COUNT(FB13:FE13)</f>
        <v>970</v>
      </c>
      <c r="AH13" s="129">
        <f>+SUM(FF13:FI13)/COUNT(FF13:FI13)</f>
        <v>985</v>
      </c>
      <c r="AI13" s="129">
        <f>+SUM(FJ13:FM13)/COUNT(FJ13:FM13)</f>
        <v>980</v>
      </c>
      <c r="AJ13" s="129">
        <f>+SUM(FN13:FQ13)/COUNT(FN13:FQ13)</f>
        <v>965</v>
      </c>
      <c r="AK13" s="129">
        <f>+SUM(FR13:FV13)/COUNT(FR13:FV13)</f>
        <v>932</v>
      </c>
      <c r="AL13" s="129">
        <f>+SUM(FW13:FZ13)/COUNT(FW13:FZ13)</f>
        <v>922.5</v>
      </c>
      <c r="AM13" s="129">
        <f>+SUM(GA13:GE13)/COUNT(GA13:GE13)</f>
        <v>918</v>
      </c>
      <c r="AN13" s="129">
        <f>+SUM(GF13:GI13)/COUNT(GF13:GI13)</f>
        <v>895</v>
      </c>
      <c r="AO13" s="129">
        <f>+SUM(GJ13:GM13)/COUNT(GJ13:GM13)</f>
        <v>870</v>
      </c>
      <c r="AP13" s="129">
        <f>+SUM(GN13:GR13)/COUNT(GN13:GR13)</f>
        <v>842</v>
      </c>
      <c r="AQ13" s="129">
        <f>+SUM(GS13:GV13)/COUNT(GS13:GV13)</f>
        <v>827.5</v>
      </c>
      <c r="AR13" s="129">
        <f>+SUM(GW13:GZ13)/COUNT(GW13:GZ13)</f>
        <v>820</v>
      </c>
      <c r="AS13" s="129">
        <f>+SUM(HA13:HE13)/COUNT(HA13:HE13)</f>
        <v>816</v>
      </c>
      <c r="AT13" s="129">
        <f>+SUM(HF13:HI13)/COUNT(HF13:HI13)</f>
        <v>847.5</v>
      </c>
      <c r="AU13" s="129">
        <f>+SUM(HJ13:HM13)/COUNT(HJ13:HM13)</f>
        <v>1250</v>
      </c>
      <c r="AV13" s="129">
        <f>+SUM(HN13:HR13)/COUNT(HN13:HR13)</f>
        <v>1437</v>
      </c>
      <c r="AW13" s="129">
        <f>+SUM(HS13:HV13)/COUNT(HS13:HV13)</f>
        <v>1356.25</v>
      </c>
      <c r="AX13" s="129">
        <f>+SUM(HW13:HZ13)/COUNT(HW13:HZ13)</f>
        <v>1175</v>
      </c>
      <c r="AY13" s="129">
        <f>+SUM(IA13:IE13)/COUNT(IA13:IE13)</f>
        <v>1025</v>
      </c>
      <c r="AZ13" s="51"/>
      <c r="BA13" s="54" t="s">
        <v>41</v>
      </c>
      <c r="BB13" s="25"/>
      <c r="BC13" s="111" t="s">
        <v>130</v>
      </c>
      <c r="BD13" s="56">
        <v>1000</v>
      </c>
      <c r="BE13" s="56">
        <f>BD13</f>
        <v>1000</v>
      </c>
      <c r="BF13" s="56">
        <v>1010</v>
      </c>
      <c r="BG13" s="56">
        <v>1070</v>
      </c>
      <c r="BH13" s="118">
        <v>1100</v>
      </c>
      <c r="BI13" s="118">
        <v>1100</v>
      </c>
      <c r="BJ13" s="118">
        <v>1100</v>
      </c>
      <c r="BK13" s="118">
        <v>1090</v>
      </c>
      <c r="BL13" s="118">
        <v>1060</v>
      </c>
      <c r="BM13" s="118">
        <v>1060</v>
      </c>
      <c r="BN13" s="118">
        <v>1040</v>
      </c>
      <c r="BO13" s="118">
        <v>1040</v>
      </c>
      <c r="BP13" s="118">
        <v>1040</v>
      </c>
      <c r="BQ13" s="118">
        <v>1020</v>
      </c>
      <c r="BR13" s="118">
        <v>1020</v>
      </c>
      <c r="BS13" s="118">
        <v>1030</v>
      </c>
      <c r="BT13" s="118">
        <v>1030</v>
      </c>
      <c r="BU13" s="118">
        <v>1030</v>
      </c>
      <c r="BV13" s="118">
        <v>1030</v>
      </c>
      <c r="BW13" s="118">
        <v>1000</v>
      </c>
      <c r="BX13" s="118">
        <v>920</v>
      </c>
      <c r="BY13" s="118">
        <v>920</v>
      </c>
      <c r="BZ13" s="118">
        <v>910</v>
      </c>
      <c r="CA13" s="118">
        <v>880</v>
      </c>
      <c r="CB13" s="118">
        <v>880</v>
      </c>
      <c r="CC13" s="118">
        <v>880</v>
      </c>
      <c r="CD13" s="118">
        <v>870</v>
      </c>
      <c r="CE13" s="118">
        <v>890</v>
      </c>
      <c r="CF13" s="118">
        <v>920</v>
      </c>
      <c r="CG13" s="118">
        <v>920</v>
      </c>
      <c r="CH13" s="118">
        <v>950</v>
      </c>
      <c r="CI13" s="118">
        <v>960</v>
      </c>
      <c r="CJ13" s="118">
        <v>960</v>
      </c>
      <c r="CK13" s="118">
        <v>960</v>
      </c>
      <c r="CL13" s="118">
        <v>960</v>
      </c>
      <c r="CM13" s="118">
        <v>950</v>
      </c>
      <c r="CN13" s="118">
        <v>990</v>
      </c>
      <c r="CO13" s="118">
        <v>990</v>
      </c>
      <c r="CP13" s="118">
        <v>990</v>
      </c>
      <c r="CQ13" s="118">
        <v>980</v>
      </c>
      <c r="CR13" s="118">
        <v>970</v>
      </c>
      <c r="CS13" s="118">
        <v>970</v>
      </c>
      <c r="CT13" s="118">
        <v>950</v>
      </c>
      <c r="CU13" s="118">
        <v>950</v>
      </c>
      <c r="CV13" s="118">
        <v>920</v>
      </c>
      <c r="CW13" s="118">
        <v>920</v>
      </c>
      <c r="CX13" s="118">
        <v>920</v>
      </c>
      <c r="CY13" s="118">
        <v>920</v>
      </c>
      <c r="CZ13" s="118">
        <v>920</v>
      </c>
      <c r="DA13" s="118">
        <v>930</v>
      </c>
      <c r="DB13" s="118">
        <v>930</v>
      </c>
      <c r="DC13" s="118">
        <v>930</v>
      </c>
      <c r="DD13" s="118">
        <v>930</v>
      </c>
      <c r="DE13" s="118">
        <v>970</v>
      </c>
      <c r="DF13" s="118">
        <v>970</v>
      </c>
      <c r="DG13" s="118">
        <v>980</v>
      </c>
      <c r="DH13" s="118">
        <v>1000</v>
      </c>
      <c r="DI13" s="118">
        <v>980</v>
      </c>
      <c r="DJ13" s="118">
        <v>980</v>
      </c>
      <c r="DK13" s="118">
        <v>980</v>
      </c>
      <c r="DL13" s="118">
        <v>980</v>
      </c>
      <c r="DM13" s="118">
        <v>1000</v>
      </c>
      <c r="DN13" s="118">
        <v>1000</v>
      </c>
      <c r="DO13" s="118">
        <v>1000</v>
      </c>
      <c r="DP13" s="118">
        <v>990</v>
      </c>
      <c r="DQ13" s="118">
        <v>990</v>
      </c>
      <c r="DR13" s="118">
        <v>990</v>
      </c>
      <c r="DS13" s="118">
        <v>990</v>
      </c>
      <c r="DT13" s="118">
        <v>1000</v>
      </c>
      <c r="DU13" s="118">
        <v>1000</v>
      </c>
      <c r="DV13" s="118">
        <v>1000</v>
      </c>
      <c r="DW13" s="118">
        <v>1020</v>
      </c>
      <c r="DX13" s="118">
        <v>1020</v>
      </c>
      <c r="DY13" s="118">
        <v>1020</v>
      </c>
      <c r="DZ13" s="118">
        <v>1030</v>
      </c>
      <c r="EA13" s="118">
        <v>1030</v>
      </c>
      <c r="EB13" s="118">
        <v>1030</v>
      </c>
      <c r="EC13" s="118">
        <v>1030</v>
      </c>
      <c r="ED13" s="118">
        <v>1030</v>
      </c>
      <c r="EE13" s="118">
        <v>990</v>
      </c>
      <c r="EF13" s="118">
        <v>980</v>
      </c>
      <c r="EG13" s="118">
        <v>980</v>
      </c>
      <c r="EH13" s="118">
        <v>970</v>
      </c>
      <c r="EI13" s="118">
        <v>960</v>
      </c>
      <c r="EJ13" s="118">
        <v>960</v>
      </c>
      <c r="EK13" s="118">
        <v>960</v>
      </c>
      <c r="EL13" s="118">
        <v>960</v>
      </c>
      <c r="EM13" s="118">
        <v>950</v>
      </c>
      <c r="EN13" s="118">
        <v>950</v>
      </c>
      <c r="EO13" s="118">
        <v>950</v>
      </c>
      <c r="EP13" s="118">
        <v>950</v>
      </c>
      <c r="EQ13" s="118">
        <v>950</v>
      </c>
      <c r="ER13" s="118">
        <v>970</v>
      </c>
      <c r="ES13" s="118">
        <v>970</v>
      </c>
      <c r="ET13" s="118">
        <v>970</v>
      </c>
      <c r="EU13" s="118">
        <v>970</v>
      </c>
      <c r="EV13" s="118">
        <v>970</v>
      </c>
      <c r="EW13" s="118">
        <v>960</v>
      </c>
      <c r="EX13" s="118">
        <v>960</v>
      </c>
      <c r="EY13" s="118">
        <v>960</v>
      </c>
      <c r="EZ13" s="118">
        <v>960</v>
      </c>
      <c r="FA13" s="118">
        <v>960</v>
      </c>
      <c r="FB13" s="118">
        <v>960</v>
      </c>
      <c r="FC13" s="118">
        <v>970</v>
      </c>
      <c r="FD13" s="118">
        <v>970</v>
      </c>
      <c r="FE13" s="118">
        <v>980</v>
      </c>
      <c r="FF13" s="118">
        <v>970</v>
      </c>
      <c r="FG13" s="118">
        <v>1000</v>
      </c>
      <c r="FH13" s="118">
        <v>990</v>
      </c>
      <c r="FI13" s="118">
        <v>980</v>
      </c>
      <c r="FJ13" s="118">
        <v>980</v>
      </c>
      <c r="FK13" s="118">
        <v>980</v>
      </c>
      <c r="FL13" s="118">
        <v>980</v>
      </c>
      <c r="FM13" s="118">
        <v>980</v>
      </c>
      <c r="FN13" s="118">
        <v>980</v>
      </c>
      <c r="FO13" s="118">
        <v>970</v>
      </c>
      <c r="FP13" s="118">
        <v>960</v>
      </c>
      <c r="FQ13" s="118">
        <v>950</v>
      </c>
      <c r="FR13" s="118">
        <v>950</v>
      </c>
      <c r="FS13" s="118">
        <v>930</v>
      </c>
      <c r="FT13" s="118">
        <v>930</v>
      </c>
      <c r="FU13" s="118">
        <v>930</v>
      </c>
      <c r="FV13" s="118">
        <v>920</v>
      </c>
      <c r="FW13" s="118">
        <v>920</v>
      </c>
      <c r="FX13" s="118">
        <v>910</v>
      </c>
      <c r="FY13" s="118">
        <v>930</v>
      </c>
      <c r="FZ13" s="118">
        <v>930</v>
      </c>
      <c r="GA13" s="118">
        <v>930</v>
      </c>
      <c r="GB13" s="118">
        <v>930</v>
      </c>
      <c r="GC13" s="118">
        <v>930</v>
      </c>
      <c r="GD13" s="118">
        <v>900</v>
      </c>
      <c r="GE13" s="118">
        <v>900</v>
      </c>
      <c r="GF13" s="118">
        <v>900</v>
      </c>
      <c r="GG13" s="118">
        <v>900</v>
      </c>
      <c r="GH13" s="118">
        <v>890</v>
      </c>
      <c r="GI13" s="118">
        <v>890</v>
      </c>
      <c r="GJ13" s="118">
        <v>890</v>
      </c>
      <c r="GK13" s="118">
        <v>870</v>
      </c>
      <c r="GL13" s="118">
        <v>870</v>
      </c>
      <c r="GM13" s="118">
        <v>850</v>
      </c>
      <c r="GN13" s="118">
        <v>850</v>
      </c>
      <c r="GO13" s="118">
        <v>850</v>
      </c>
      <c r="GP13" s="118">
        <v>840</v>
      </c>
      <c r="GQ13" s="118">
        <v>840</v>
      </c>
      <c r="GR13" s="118">
        <v>830</v>
      </c>
      <c r="GS13" s="118">
        <v>830</v>
      </c>
      <c r="GT13" s="118">
        <v>830</v>
      </c>
      <c r="GU13" s="118">
        <v>830</v>
      </c>
      <c r="GV13" s="118">
        <v>820</v>
      </c>
      <c r="GW13" s="118">
        <v>820</v>
      </c>
      <c r="GX13" s="118">
        <v>820</v>
      </c>
      <c r="GY13" s="118">
        <v>820</v>
      </c>
      <c r="GZ13" s="118">
        <v>820</v>
      </c>
      <c r="HA13" s="118">
        <v>810</v>
      </c>
      <c r="HB13" s="118">
        <v>810</v>
      </c>
      <c r="HC13" s="118">
        <v>820</v>
      </c>
      <c r="HD13" s="118">
        <v>820</v>
      </c>
      <c r="HE13" s="118">
        <v>820</v>
      </c>
      <c r="HF13" s="118">
        <v>840</v>
      </c>
      <c r="HG13" s="118">
        <v>850</v>
      </c>
      <c r="HH13" s="118">
        <v>850</v>
      </c>
      <c r="HI13" s="118">
        <v>850</v>
      </c>
      <c r="HJ13" s="118">
        <v>1000</v>
      </c>
      <c r="HK13" s="118">
        <v>1200</v>
      </c>
      <c r="HL13" s="118">
        <v>1400</v>
      </c>
      <c r="HM13" s="118">
        <v>1400</v>
      </c>
      <c r="HN13" s="118">
        <v>1400</v>
      </c>
      <c r="HO13" s="118">
        <v>1450</v>
      </c>
      <c r="HP13" s="118">
        <f>+(1340+1550)/2</f>
        <v>1445</v>
      </c>
      <c r="HQ13" s="118">
        <f>+(1340+1550)/2</f>
        <v>1445</v>
      </c>
      <c r="HR13" s="118">
        <f>+(1340+1550)/2</f>
        <v>1445</v>
      </c>
      <c r="HS13" s="118">
        <f>+(1340+1550)/2</f>
        <v>1445</v>
      </c>
      <c r="HT13" s="118">
        <f>+(1300+1500)/2</f>
        <v>1400</v>
      </c>
      <c r="HU13" s="118">
        <v>1310</v>
      </c>
      <c r="HV13" s="118">
        <v>1270</v>
      </c>
      <c r="HW13" s="118">
        <v>1240</v>
      </c>
      <c r="HX13" s="118">
        <v>1220</v>
      </c>
      <c r="HY13" s="118">
        <v>1190</v>
      </c>
      <c r="HZ13" s="118">
        <v>1050</v>
      </c>
      <c r="IA13" s="118">
        <v>1030</v>
      </c>
      <c r="IB13" s="118">
        <v>1020</v>
      </c>
      <c r="IC13" s="118"/>
      <c r="ID13" s="118"/>
      <c r="IE13" s="118"/>
    </row>
    <row r="14" spans="1:239" ht="14">
      <c r="F14" s="117" t="s">
        <v>82</v>
      </c>
      <c r="H14" s="117" t="s">
        <v>82</v>
      </c>
      <c r="I14" s="131">
        <f t="shared" ref="I14:O14" si="32">I13</f>
        <v>1045</v>
      </c>
      <c r="J14" s="131">
        <f t="shared" si="32"/>
        <v>1087.5</v>
      </c>
      <c r="K14" s="131">
        <f t="shared" si="32"/>
        <v>1040</v>
      </c>
      <c r="L14" s="131">
        <f t="shared" si="32"/>
        <v>1027.5</v>
      </c>
      <c r="M14" s="131">
        <f t="shared" si="32"/>
        <v>967.5</v>
      </c>
      <c r="N14" s="131">
        <f t="shared" si="32"/>
        <v>887.5</v>
      </c>
      <c r="O14" s="131">
        <f t="shared" si="32"/>
        <v>900</v>
      </c>
      <c r="P14" s="131">
        <f t="shared" ref="P14:U14" si="33">P13</f>
        <v>958</v>
      </c>
      <c r="Q14" s="131">
        <f t="shared" si="33"/>
        <v>980</v>
      </c>
      <c r="R14" s="131">
        <f t="shared" si="33"/>
        <v>967.5</v>
      </c>
      <c r="S14" s="131">
        <f t="shared" si="33"/>
        <v>927.5</v>
      </c>
      <c r="T14" s="131">
        <f t="shared" si="33"/>
        <v>926</v>
      </c>
      <c r="U14" s="131">
        <f t="shared" si="33"/>
        <v>962.5</v>
      </c>
      <c r="V14" s="131">
        <f t="shared" ref="V14:W14" si="34">V13</f>
        <v>986.66666666666663</v>
      </c>
      <c r="W14" s="131">
        <f t="shared" si="34"/>
        <v>990</v>
      </c>
      <c r="X14" s="131">
        <f t="shared" ref="X14:AC14" si="35">X13</f>
        <v>992.5</v>
      </c>
      <c r="Y14" s="131">
        <f t="shared" si="35"/>
        <v>1002</v>
      </c>
      <c r="Z14" s="131">
        <f t="shared" si="35"/>
        <v>1025</v>
      </c>
      <c r="AA14" s="131">
        <f t="shared" si="35"/>
        <v>1020</v>
      </c>
      <c r="AB14" s="131">
        <f t="shared" si="35"/>
        <v>970</v>
      </c>
      <c r="AC14" s="131">
        <f t="shared" si="35"/>
        <v>955</v>
      </c>
      <c r="AD14" s="131">
        <f t="shared" ref="AD14:AE14" si="36">AD13</f>
        <v>956.66666666666663</v>
      </c>
      <c r="AE14" s="131">
        <f t="shared" si="36"/>
        <v>968</v>
      </c>
      <c r="AF14" s="131">
        <f t="shared" ref="AF14:AG14" si="37">AF13</f>
        <v>960</v>
      </c>
      <c r="AG14" s="131">
        <f t="shared" si="37"/>
        <v>970</v>
      </c>
      <c r="AH14" s="131">
        <f t="shared" ref="AH14:AI14" si="38">AH13</f>
        <v>985</v>
      </c>
      <c r="AI14" s="131">
        <f t="shared" si="38"/>
        <v>980</v>
      </c>
      <c r="AJ14" s="131">
        <f t="shared" ref="AJ14:AK14" si="39">AJ13</f>
        <v>965</v>
      </c>
      <c r="AK14" s="131">
        <f t="shared" si="39"/>
        <v>932</v>
      </c>
      <c r="AL14" s="131">
        <f t="shared" ref="AL14:AM14" si="40">AL13</f>
        <v>922.5</v>
      </c>
      <c r="AM14" s="131">
        <f t="shared" si="40"/>
        <v>918</v>
      </c>
      <c r="AN14" s="131">
        <f t="shared" ref="AN14:AO14" si="41">AN13</f>
        <v>895</v>
      </c>
      <c r="AO14" s="131">
        <f t="shared" si="41"/>
        <v>870</v>
      </c>
      <c r="AP14" s="131">
        <f t="shared" ref="AP14:AQ14" si="42">AP13</f>
        <v>842</v>
      </c>
      <c r="AQ14" s="131">
        <f t="shared" si="42"/>
        <v>827.5</v>
      </c>
      <c r="AR14" s="131">
        <f t="shared" ref="AR14:AS14" si="43">AR13</f>
        <v>820</v>
      </c>
      <c r="AS14" s="131">
        <f t="shared" si="43"/>
        <v>816</v>
      </c>
      <c r="AT14" s="131">
        <f t="shared" ref="AT14:AU14" si="44">AT13</f>
        <v>847.5</v>
      </c>
      <c r="AU14" s="131">
        <f t="shared" si="44"/>
        <v>1250</v>
      </c>
      <c r="AV14" s="131">
        <f t="shared" ref="AV14:AW14" si="45">AV13</f>
        <v>1437</v>
      </c>
      <c r="AW14" s="131">
        <f t="shared" si="45"/>
        <v>1356.25</v>
      </c>
      <c r="AX14" s="131">
        <f t="shared" ref="AX14:AY14" si="46">AX13</f>
        <v>1175</v>
      </c>
      <c r="AY14" s="131">
        <f t="shared" si="46"/>
        <v>1025</v>
      </c>
      <c r="BC14" s="117" t="s">
        <v>82</v>
      </c>
      <c r="BD14" s="41">
        <f t="shared" ref="BD14:BP14" si="47">BD13</f>
        <v>1000</v>
      </c>
      <c r="BE14" s="41">
        <f>BE13</f>
        <v>1000</v>
      </c>
      <c r="BF14" s="41">
        <f t="shared" si="47"/>
        <v>1010</v>
      </c>
      <c r="BG14" s="41">
        <f t="shared" si="47"/>
        <v>1070</v>
      </c>
      <c r="BH14" s="41">
        <f t="shared" si="47"/>
        <v>1100</v>
      </c>
      <c r="BI14" s="41">
        <f t="shared" si="47"/>
        <v>1100</v>
      </c>
      <c r="BJ14" s="41">
        <f t="shared" si="47"/>
        <v>1100</v>
      </c>
      <c r="BK14" s="41">
        <f t="shared" si="47"/>
        <v>1090</v>
      </c>
      <c r="BL14" s="41">
        <f t="shared" si="47"/>
        <v>1060</v>
      </c>
      <c r="BM14" s="41">
        <f t="shared" si="47"/>
        <v>1060</v>
      </c>
      <c r="BN14" s="41">
        <f t="shared" si="47"/>
        <v>1040</v>
      </c>
      <c r="BO14" s="41">
        <f t="shared" si="47"/>
        <v>1040</v>
      </c>
      <c r="BP14" s="41">
        <f t="shared" si="47"/>
        <v>1040</v>
      </c>
      <c r="BQ14" s="41">
        <f>BQ13</f>
        <v>1020</v>
      </c>
      <c r="BR14" s="41">
        <f>BR13</f>
        <v>1020</v>
      </c>
      <c r="BS14" s="41">
        <f>BS13</f>
        <v>1030</v>
      </c>
      <c r="BT14" s="41">
        <f>BT13</f>
        <v>1030</v>
      </c>
      <c r="BU14" s="41">
        <f t="shared" ref="BU14:BZ14" si="48">BU13</f>
        <v>1030</v>
      </c>
      <c r="BV14" s="41">
        <f t="shared" si="48"/>
        <v>1030</v>
      </c>
      <c r="BW14" s="41">
        <f t="shared" si="48"/>
        <v>1000</v>
      </c>
      <c r="BX14" s="41">
        <f t="shared" si="48"/>
        <v>920</v>
      </c>
      <c r="BY14" s="41">
        <f t="shared" si="48"/>
        <v>920</v>
      </c>
      <c r="BZ14" s="41">
        <f t="shared" si="48"/>
        <v>910</v>
      </c>
      <c r="CA14" s="41">
        <f t="shared" ref="CA14:CF14" si="49">CA13</f>
        <v>880</v>
      </c>
      <c r="CB14" s="41">
        <f t="shared" si="49"/>
        <v>880</v>
      </c>
      <c r="CC14" s="41">
        <f t="shared" si="49"/>
        <v>880</v>
      </c>
      <c r="CD14" s="41">
        <f t="shared" si="49"/>
        <v>870</v>
      </c>
      <c r="CE14" s="41">
        <f t="shared" si="49"/>
        <v>890</v>
      </c>
      <c r="CF14" s="41">
        <f t="shared" si="49"/>
        <v>920</v>
      </c>
      <c r="CG14" s="41">
        <f t="shared" ref="CG14:CM14" si="50">CG13</f>
        <v>920</v>
      </c>
      <c r="CH14" s="41">
        <f t="shared" si="50"/>
        <v>950</v>
      </c>
      <c r="CI14" s="41">
        <f t="shared" si="50"/>
        <v>960</v>
      </c>
      <c r="CJ14" s="41">
        <f t="shared" si="50"/>
        <v>960</v>
      </c>
      <c r="CK14" s="41">
        <f t="shared" si="50"/>
        <v>960</v>
      </c>
      <c r="CL14" s="41">
        <f t="shared" si="50"/>
        <v>960</v>
      </c>
      <c r="CM14" s="41">
        <f t="shared" si="50"/>
        <v>950</v>
      </c>
      <c r="CN14" s="41">
        <f t="shared" ref="CN14:CS14" si="51">CN13</f>
        <v>990</v>
      </c>
      <c r="CO14" s="41">
        <f t="shared" si="51"/>
        <v>990</v>
      </c>
      <c r="CP14" s="41">
        <f t="shared" si="51"/>
        <v>990</v>
      </c>
      <c r="CQ14" s="41">
        <f t="shared" si="51"/>
        <v>980</v>
      </c>
      <c r="CR14" s="41">
        <f t="shared" si="51"/>
        <v>970</v>
      </c>
      <c r="CS14" s="41">
        <f t="shared" si="51"/>
        <v>970</v>
      </c>
      <c r="CT14" s="41">
        <f t="shared" ref="CT14:CY14" si="52">CT13</f>
        <v>950</v>
      </c>
      <c r="CU14" s="41">
        <f t="shared" si="52"/>
        <v>950</v>
      </c>
      <c r="CV14" s="41">
        <f t="shared" si="52"/>
        <v>920</v>
      </c>
      <c r="CW14" s="41">
        <f t="shared" si="52"/>
        <v>920</v>
      </c>
      <c r="CX14" s="41">
        <f t="shared" si="52"/>
        <v>920</v>
      </c>
      <c r="CY14" s="41">
        <f t="shared" si="52"/>
        <v>920</v>
      </c>
      <c r="CZ14" s="41">
        <f t="shared" ref="CZ14:DA14" si="53">CZ13</f>
        <v>920</v>
      </c>
      <c r="DA14" s="41">
        <f t="shared" si="53"/>
        <v>930</v>
      </c>
      <c r="DB14" s="41">
        <f t="shared" ref="DB14:DC14" si="54">DB13</f>
        <v>930</v>
      </c>
      <c r="DC14" s="41">
        <f t="shared" si="54"/>
        <v>930</v>
      </c>
      <c r="DD14" s="41">
        <f t="shared" ref="DD14:DE14" si="55">DD13</f>
        <v>930</v>
      </c>
      <c r="DE14" s="41">
        <f t="shared" si="55"/>
        <v>970</v>
      </c>
      <c r="DF14" s="41">
        <f t="shared" ref="DF14:DG14" si="56">DF13</f>
        <v>970</v>
      </c>
      <c r="DG14" s="41">
        <f t="shared" si="56"/>
        <v>980</v>
      </c>
      <c r="DH14" s="41">
        <f t="shared" ref="DH14:DI14" si="57">DH13</f>
        <v>1000</v>
      </c>
      <c r="DI14" s="41">
        <f t="shared" si="57"/>
        <v>980</v>
      </c>
      <c r="DJ14" s="41">
        <f t="shared" ref="DJ14:DK14" si="58">DJ13</f>
        <v>980</v>
      </c>
      <c r="DK14" s="41">
        <f t="shared" si="58"/>
        <v>980</v>
      </c>
      <c r="DL14" s="41">
        <f t="shared" ref="DL14:DM14" si="59">DL13</f>
        <v>980</v>
      </c>
      <c r="DM14" s="41">
        <f t="shared" si="59"/>
        <v>1000</v>
      </c>
      <c r="DN14" s="41">
        <f t="shared" ref="DN14:DO14" si="60">DN13</f>
        <v>1000</v>
      </c>
      <c r="DO14" s="41">
        <f t="shared" si="60"/>
        <v>1000</v>
      </c>
      <c r="DP14" s="41">
        <f t="shared" ref="DP14:DR14" si="61">DP13</f>
        <v>990</v>
      </c>
      <c r="DQ14" s="41">
        <f t="shared" si="61"/>
        <v>990</v>
      </c>
      <c r="DR14" s="41">
        <f t="shared" si="61"/>
        <v>990</v>
      </c>
      <c r="DS14" s="41">
        <f t="shared" ref="DS14:DT14" si="62">DS13</f>
        <v>990</v>
      </c>
      <c r="DT14" s="41">
        <f t="shared" si="62"/>
        <v>1000</v>
      </c>
      <c r="DU14" s="41">
        <f t="shared" ref="DU14:DV14" si="63">DU13</f>
        <v>1000</v>
      </c>
      <c r="DV14" s="41">
        <f t="shared" si="63"/>
        <v>1000</v>
      </c>
      <c r="DW14" s="41">
        <f t="shared" ref="DW14:DX14" si="64">DW13</f>
        <v>1020</v>
      </c>
      <c r="DX14" s="41">
        <f t="shared" si="64"/>
        <v>1020</v>
      </c>
      <c r="DY14" s="41">
        <f t="shared" ref="DY14:DZ14" si="65">DY13</f>
        <v>1020</v>
      </c>
      <c r="DZ14" s="41">
        <f t="shared" si="65"/>
        <v>1030</v>
      </c>
      <c r="EA14" s="41">
        <f t="shared" ref="EA14:EB14" si="66">EA13</f>
        <v>1030</v>
      </c>
      <c r="EB14" s="41">
        <f t="shared" si="66"/>
        <v>1030</v>
      </c>
      <c r="EC14" s="41">
        <f t="shared" ref="EC14:ED14" si="67">EC13</f>
        <v>1030</v>
      </c>
      <c r="ED14" s="41">
        <f t="shared" si="67"/>
        <v>1030</v>
      </c>
      <c r="EE14" s="41">
        <f t="shared" ref="EE14:EF14" si="68">EE13</f>
        <v>990</v>
      </c>
      <c r="EF14" s="41">
        <f t="shared" si="68"/>
        <v>980</v>
      </c>
      <c r="EG14" s="41">
        <f t="shared" ref="EG14:EH14" si="69">EG13</f>
        <v>980</v>
      </c>
      <c r="EH14" s="41">
        <f t="shared" si="69"/>
        <v>970</v>
      </c>
      <c r="EI14" s="41">
        <f t="shared" ref="EI14:EK14" si="70">EI13</f>
        <v>960</v>
      </c>
      <c r="EJ14" s="41">
        <f t="shared" si="70"/>
        <v>960</v>
      </c>
      <c r="EK14" s="41">
        <f t="shared" si="70"/>
        <v>960</v>
      </c>
      <c r="EL14" s="41">
        <f t="shared" ref="EL14:EM14" si="71">EL13</f>
        <v>960</v>
      </c>
      <c r="EM14" s="41">
        <f t="shared" si="71"/>
        <v>950</v>
      </c>
      <c r="EN14" s="41">
        <f t="shared" ref="EN14:EP14" si="72">EN13</f>
        <v>950</v>
      </c>
      <c r="EO14" s="41">
        <f t="shared" si="72"/>
        <v>950</v>
      </c>
      <c r="EP14" s="41">
        <f t="shared" si="72"/>
        <v>950</v>
      </c>
      <c r="EQ14" s="41">
        <f t="shared" ref="EQ14:ER14" si="73">EQ13</f>
        <v>950</v>
      </c>
      <c r="ER14" s="41">
        <f t="shared" si="73"/>
        <v>970</v>
      </c>
      <c r="ES14" s="41">
        <f t="shared" ref="ES14:EW14" si="74">ES13</f>
        <v>970</v>
      </c>
      <c r="ET14" s="41">
        <f t="shared" si="74"/>
        <v>970</v>
      </c>
      <c r="EU14" s="41">
        <f t="shared" si="74"/>
        <v>970</v>
      </c>
      <c r="EV14" s="41">
        <f t="shared" si="74"/>
        <v>970</v>
      </c>
      <c r="EW14" s="41">
        <f t="shared" si="74"/>
        <v>960</v>
      </c>
      <c r="EX14" s="41">
        <f t="shared" ref="EX14:FA14" si="75">EX13</f>
        <v>960</v>
      </c>
      <c r="EY14" s="41">
        <f t="shared" si="75"/>
        <v>960</v>
      </c>
      <c r="EZ14" s="41">
        <f t="shared" si="75"/>
        <v>960</v>
      </c>
      <c r="FA14" s="41">
        <f t="shared" si="75"/>
        <v>960</v>
      </c>
      <c r="FB14" s="41">
        <f t="shared" ref="FB14:FC14" si="76">FB13</f>
        <v>960</v>
      </c>
      <c r="FC14" s="41">
        <f t="shared" si="76"/>
        <v>970</v>
      </c>
      <c r="FD14" s="41">
        <f t="shared" ref="FD14:FE14" si="77">FD13</f>
        <v>970</v>
      </c>
      <c r="FE14" s="41">
        <f t="shared" si="77"/>
        <v>980</v>
      </c>
      <c r="FF14" s="41">
        <f t="shared" ref="FF14:FH14" si="78">FF13</f>
        <v>970</v>
      </c>
      <c r="FG14" s="41">
        <f t="shared" si="78"/>
        <v>1000</v>
      </c>
      <c r="FH14" s="41">
        <f t="shared" si="78"/>
        <v>990</v>
      </c>
      <c r="FI14" s="41">
        <f t="shared" ref="FI14:FJ14" si="79">FI13</f>
        <v>980</v>
      </c>
      <c r="FJ14" s="41">
        <f t="shared" si="79"/>
        <v>980</v>
      </c>
      <c r="FK14" s="41">
        <f t="shared" ref="FK14:FM14" si="80">FK13</f>
        <v>980</v>
      </c>
      <c r="FL14" s="41">
        <f t="shared" si="80"/>
        <v>980</v>
      </c>
      <c r="FM14" s="41">
        <f t="shared" si="80"/>
        <v>980</v>
      </c>
      <c r="FN14" s="41">
        <f t="shared" ref="FN14:FQ14" si="81">FN13</f>
        <v>980</v>
      </c>
      <c r="FO14" s="41">
        <f t="shared" si="81"/>
        <v>970</v>
      </c>
      <c r="FP14" s="41">
        <f t="shared" si="81"/>
        <v>960</v>
      </c>
      <c r="FQ14" s="41">
        <f t="shared" si="81"/>
        <v>950</v>
      </c>
      <c r="FR14" s="41">
        <f t="shared" ref="FR14:FV14" si="82">FR13</f>
        <v>950</v>
      </c>
      <c r="FS14" s="41">
        <f t="shared" si="82"/>
        <v>930</v>
      </c>
      <c r="FT14" s="41">
        <f t="shared" si="82"/>
        <v>930</v>
      </c>
      <c r="FU14" s="41">
        <f t="shared" si="82"/>
        <v>930</v>
      </c>
      <c r="FV14" s="41">
        <f t="shared" si="82"/>
        <v>920</v>
      </c>
      <c r="FW14" s="41">
        <f t="shared" ref="FW14:FZ14" si="83">FW13</f>
        <v>920</v>
      </c>
      <c r="FX14" s="41">
        <f t="shared" si="83"/>
        <v>910</v>
      </c>
      <c r="FY14" s="41">
        <f t="shared" si="83"/>
        <v>930</v>
      </c>
      <c r="FZ14" s="41">
        <f t="shared" si="83"/>
        <v>930</v>
      </c>
      <c r="GA14" s="41">
        <f t="shared" ref="GA14:GE14" si="84">GA13</f>
        <v>930</v>
      </c>
      <c r="GB14" s="41">
        <f t="shared" si="84"/>
        <v>930</v>
      </c>
      <c r="GC14" s="41">
        <f t="shared" si="84"/>
        <v>930</v>
      </c>
      <c r="GD14" s="41">
        <f t="shared" si="84"/>
        <v>900</v>
      </c>
      <c r="GE14" s="41">
        <f t="shared" si="84"/>
        <v>900</v>
      </c>
      <c r="GF14" s="41">
        <f t="shared" ref="GF14:GI14" si="85">GF13</f>
        <v>900</v>
      </c>
      <c r="GG14" s="41">
        <f t="shared" si="85"/>
        <v>900</v>
      </c>
      <c r="GH14" s="41">
        <f t="shared" si="85"/>
        <v>890</v>
      </c>
      <c r="GI14" s="41">
        <f t="shared" si="85"/>
        <v>890</v>
      </c>
      <c r="GJ14" s="41">
        <f t="shared" ref="GJ14:GM14" si="86">GJ13</f>
        <v>890</v>
      </c>
      <c r="GK14" s="41">
        <f t="shared" si="86"/>
        <v>870</v>
      </c>
      <c r="GL14" s="41">
        <f t="shared" si="86"/>
        <v>870</v>
      </c>
      <c r="GM14" s="41">
        <f t="shared" si="86"/>
        <v>850</v>
      </c>
      <c r="GN14" s="41">
        <f t="shared" ref="GN14:GR14" si="87">GN13</f>
        <v>850</v>
      </c>
      <c r="GO14" s="41">
        <f t="shared" si="87"/>
        <v>850</v>
      </c>
      <c r="GP14" s="41">
        <f t="shared" si="87"/>
        <v>840</v>
      </c>
      <c r="GQ14" s="41">
        <f t="shared" si="87"/>
        <v>840</v>
      </c>
      <c r="GR14" s="41">
        <f t="shared" si="87"/>
        <v>830</v>
      </c>
      <c r="GS14" s="41">
        <f t="shared" ref="GS14:GV14" si="88">GS13</f>
        <v>830</v>
      </c>
      <c r="GT14" s="41">
        <f t="shared" si="88"/>
        <v>830</v>
      </c>
      <c r="GU14" s="41">
        <f t="shared" si="88"/>
        <v>830</v>
      </c>
      <c r="GV14" s="41">
        <f t="shared" si="88"/>
        <v>820</v>
      </c>
      <c r="GW14" s="41">
        <f t="shared" ref="GW14:GZ14" si="89">GW13</f>
        <v>820</v>
      </c>
      <c r="GX14" s="41">
        <f t="shared" si="89"/>
        <v>820</v>
      </c>
      <c r="GY14" s="41">
        <f t="shared" si="89"/>
        <v>820</v>
      </c>
      <c r="GZ14" s="41">
        <f t="shared" si="89"/>
        <v>820</v>
      </c>
      <c r="HA14" s="41">
        <f t="shared" ref="HA14:HE14" si="90">HA13</f>
        <v>810</v>
      </c>
      <c r="HB14" s="41">
        <f t="shared" si="90"/>
        <v>810</v>
      </c>
      <c r="HC14" s="41">
        <f t="shared" si="90"/>
        <v>820</v>
      </c>
      <c r="HD14" s="41">
        <f t="shared" si="90"/>
        <v>820</v>
      </c>
      <c r="HE14" s="41">
        <f t="shared" si="90"/>
        <v>820</v>
      </c>
      <c r="HF14" s="41">
        <f t="shared" ref="HF14:HI14" si="91">HF13</f>
        <v>840</v>
      </c>
      <c r="HG14" s="41">
        <f t="shared" si="91"/>
        <v>850</v>
      </c>
      <c r="HH14" s="41">
        <f t="shared" si="91"/>
        <v>850</v>
      </c>
      <c r="HI14" s="41">
        <f t="shared" si="91"/>
        <v>850</v>
      </c>
      <c r="HJ14" s="41">
        <f t="shared" ref="HJ14:HM14" si="92">HJ13</f>
        <v>1000</v>
      </c>
      <c r="HK14" s="41">
        <f t="shared" si="92"/>
        <v>1200</v>
      </c>
      <c r="HL14" s="41">
        <f t="shared" si="92"/>
        <v>1400</v>
      </c>
      <c r="HM14" s="41">
        <f t="shared" si="92"/>
        <v>1400</v>
      </c>
      <c r="HN14" s="41">
        <f t="shared" ref="HN14:HR14" si="93">HN13</f>
        <v>1400</v>
      </c>
      <c r="HO14" s="41">
        <f t="shared" si="93"/>
        <v>1450</v>
      </c>
      <c r="HP14" s="41">
        <f t="shared" si="93"/>
        <v>1445</v>
      </c>
      <c r="HQ14" s="41">
        <f t="shared" si="93"/>
        <v>1445</v>
      </c>
      <c r="HR14" s="41">
        <f t="shared" si="93"/>
        <v>1445</v>
      </c>
      <c r="HS14" s="41">
        <f t="shared" ref="HS14:HV14" si="94">HS13</f>
        <v>1445</v>
      </c>
      <c r="HT14" s="41">
        <f t="shared" si="94"/>
        <v>1400</v>
      </c>
      <c r="HU14" s="41">
        <f t="shared" si="94"/>
        <v>1310</v>
      </c>
      <c r="HV14" s="41">
        <f t="shared" si="94"/>
        <v>1270</v>
      </c>
      <c r="HW14" s="41">
        <f t="shared" ref="HW14:HZ14" si="95">HW13</f>
        <v>1240</v>
      </c>
      <c r="HX14" s="41">
        <f t="shared" si="95"/>
        <v>1220</v>
      </c>
      <c r="HY14" s="41">
        <f t="shared" si="95"/>
        <v>1190</v>
      </c>
      <c r="HZ14" s="41">
        <f t="shared" si="95"/>
        <v>1050</v>
      </c>
      <c r="IA14" s="41">
        <f t="shared" ref="IA14:IE14" si="96">IA13</f>
        <v>1030</v>
      </c>
      <c r="IB14" s="41">
        <f t="shared" si="96"/>
        <v>1020</v>
      </c>
      <c r="IC14" s="41">
        <f t="shared" si="96"/>
        <v>0</v>
      </c>
      <c r="ID14" s="41">
        <f t="shared" si="96"/>
        <v>0</v>
      </c>
      <c r="IE14" s="41">
        <f t="shared" si="96"/>
        <v>0</v>
      </c>
    </row>
    <row r="15" spans="1:239" ht="14">
      <c r="F15" s="117" t="s">
        <v>83</v>
      </c>
      <c r="H15" s="117" t="s">
        <v>83</v>
      </c>
      <c r="I15" s="41">
        <f t="shared" ref="I15:O15" si="97">+I9-I14</f>
        <v>55</v>
      </c>
      <c r="J15" s="41">
        <f t="shared" si="97"/>
        <v>12.5</v>
      </c>
      <c r="K15" s="41">
        <f t="shared" si="97"/>
        <v>60</v>
      </c>
      <c r="L15" s="41">
        <f t="shared" si="97"/>
        <v>72.5</v>
      </c>
      <c r="M15" s="41">
        <f t="shared" si="97"/>
        <v>120</v>
      </c>
      <c r="N15" s="41">
        <f t="shared" si="97"/>
        <v>162.5</v>
      </c>
      <c r="O15" s="41">
        <f t="shared" si="97"/>
        <v>150</v>
      </c>
      <c r="P15" s="41">
        <f t="shared" ref="P15:U15" si="98">+P9-P14</f>
        <v>-8</v>
      </c>
      <c r="Q15" s="41">
        <f t="shared" si="98"/>
        <v>-30</v>
      </c>
      <c r="R15" s="41">
        <f t="shared" si="98"/>
        <v>-17.5</v>
      </c>
      <c r="S15" s="41">
        <f t="shared" si="98"/>
        <v>22.5</v>
      </c>
      <c r="T15" s="41">
        <f t="shared" si="98"/>
        <v>24</v>
      </c>
      <c r="U15" s="41">
        <f t="shared" si="98"/>
        <v>-32.5</v>
      </c>
      <c r="V15" s="41">
        <f t="shared" ref="V15:W15" si="99">+V9-V14</f>
        <v>-56.666666666666629</v>
      </c>
      <c r="W15" s="41">
        <f t="shared" si="99"/>
        <v>-60</v>
      </c>
      <c r="X15" s="41">
        <f t="shared" ref="X15:Y15" si="100">+X9-X14</f>
        <v>-42.5</v>
      </c>
      <c r="Y15" s="41">
        <f t="shared" si="100"/>
        <v>-52</v>
      </c>
      <c r="Z15" s="41">
        <f t="shared" ref="Z15:AA15" si="101">+Z9-Z14</f>
        <v>-75</v>
      </c>
      <c r="AA15" s="41">
        <f t="shared" si="101"/>
        <v>-70</v>
      </c>
      <c r="AB15" s="41">
        <f t="shared" ref="AB15:AC15" si="102">+AB9-AB14</f>
        <v>-20</v>
      </c>
      <c r="AC15" s="41">
        <f t="shared" si="102"/>
        <v>-45</v>
      </c>
      <c r="AD15" s="41">
        <f t="shared" ref="AD15:AE15" si="103">+AD9-AD14</f>
        <v>-56.666666666666629</v>
      </c>
      <c r="AE15" s="41">
        <f t="shared" si="103"/>
        <v>-68</v>
      </c>
      <c r="AF15" s="41">
        <f t="shared" ref="AF15:AG15" si="104">+AF9-AF14</f>
        <v>-60</v>
      </c>
      <c r="AG15" s="41">
        <f t="shared" si="104"/>
        <v>-70</v>
      </c>
      <c r="AH15" s="41">
        <f t="shared" ref="AH15:AI15" si="105">+AH9-AH14</f>
        <v>-165</v>
      </c>
      <c r="AI15" s="41">
        <f t="shared" si="105"/>
        <v>-140</v>
      </c>
      <c r="AJ15" s="41">
        <f t="shared" ref="AJ15:AK15" si="106">+AJ9-AJ14</f>
        <v>-130</v>
      </c>
      <c r="AK15" s="41">
        <f t="shared" si="106"/>
        <v>-117</v>
      </c>
      <c r="AL15" s="41">
        <f t="shared" ref="AL15:AM15" si="107">+AL9-AL14</f>
        <v>-107.5</v>
      </c>
      <c r="AM15" s="41">
        <f t="shared" si="107"/>
        <v>-128.5</v>
      </c>
      <c r="AN15" s="41">
        <f t="shared" ref="AN15:AO15" si="108">+AN9-AN14</f>
        <v>-125.5</v>
      </c>
      <c r="AO15" s="41">
        <f t="shared" si="108"/>
        <v>-115.5</v>
      </c>
      <c r="AP15" s="41">
        <f t="shared" ref="AP15:AQ15" si="109">+AP9-AP14</f>
        <v>-102</v>
      </c>
      <c r="AQ15" s="41">
        <f t="shared" si="109"/>
        <v>-112.5</v>
      </c>
      <c r="AR15" s="41">
        <f t="shared" ref="AR15:AS15" si="110">+AR9-AR14</f>
        <v>-115</v>
      </c>
      <c r="AS15" s="41">
        <f t="shared" si="110"/>
        <v>-121</v>
      </c>
      <c r="AT15" s="41">
        <f t="shared" ref="AT15:AU15" si="111">+AT9-AT14</f>
        <v>-152.5</v>
      </c>
      <c r="AU15" s="41">
        <f t="shared" si="111"/>
        <v>-530</v>
      </c>
      <c r="AV15" s="41">
        <f t="shared" ref="AV15:AW15" si="112">+AV9-AV14</f>
        <v>-247</v>
      </c>
      <c r="AW15" s="41">
        <f t="shared" si="112"/>
        <v>-126.25</v>
      </c>
      <c r="AX15" s="41">
        <f t="shared" ref="AX15:AY15" si="113">+AX9-AX14</f>
        <v>-95</v>
      </c>
      <c r="AY15" s="41">
        <f t="shared" si="113"/>
        <v>-15</v>
      </c>
      <c r="BC15" s="117" t="s">
        <v>83</v>
      </c>
      <c r="BD15" s="41">
        <f t="shared" ref="BD15:BP15" si="114">+BD9-BD14</f>
        <v>250</v>
      </c>
      <c r="BE15" s="41">
        <f>+BE9-BE14</f>
        <v>100</v>
      </c>
      <c r="BF15" s="41">
        <f t="shared" si="114"/>
        <v>90</v>
      </c>
      <c r="BG15" s="41">
        <f t="shared" si="114"/>
        <v>30</v>
      </c>
      <c r="BH15" s="41">
        <f t="shared" si="114"/>
        <v>0</v>
      </c>
      <c r="BI15" s="41">
        <f t="shared" si="114"/>
        <v>0</v>
      </c>
      <c r="BJ15" s="41">
        <f t="shared" si="114"/>
        <v>0</v>
      </c>
      <c r="BK15" s="41">
        <f t="shared" si="114"/>
        <v>10</v>
      </c>
      <c r="BL15" s="41">
        <f t="shared" si="114"/>
        <v>40</v>
      </c>
      <c r="BM15" s="41">
        <f t="shared" si="114"/>
        <v>40</v>
      </c>
      <c r="BN15" s="41">
        <f t="shared" si="114"/>
        <v>60</v>
      </c>
      <c r="BO15" s="41">
        <f t="shared" si="114"/>
        <v>60</v>
      </c>
      <c r="BP15" s="41">
        <f t="shared" si="114"/>
        <v>60</v>
      </c>
      <c r="BQ15" s="41">
        <f>+BQ9-BQ14</f>
        <v>80</v>
      </c>
      <c r="BR15" s="41">
        <f>+BR9-BR14</f>
        <v>80</v>
      </c>
      <c r="BS15" s="41">
        <f>+BS9-BS14</f>
        <v>70</v>
      </c>
      <c r="BT15" s="41">
        <f>+BT9-BT14</f>
        <v>70</v>
      </c>
      <c r="BU15" s="41">
        <f t="shared" ref="BU15:BZ15" si="115">+BU9-BU14</f>
        <v>70</v>
      </c>
      <c r="BV15" s="41">
        <f t="shared" si="115"/>
        <v>70</v>
      </c>
      <c r="BW15" s="41">
        <f t="shared" si="115"/>
        <v>100</v>
      </c>
      <c r="BX15" s="41">
        <f t="shared" si="115"/>
        <v>180</v>
      </c>
      <c r="BY15" s="41">
        <f t="shared" si="115"/>
        <v>130</v>
      </c>
      <c r="BZ15" s="41">
        <f t="shared" si="115"/>
        <v>140</v>
      </c>
      <c r="CA15" s="41">
        <f t="shared" ref="CA15:CF15" si="116">+CA9-CA14</f>
        <v>170</v>
      </c>
      <c r="CB15" s="41">
        <f t="shared" si="116"/>
        <v>170</v>
      </c>
      <c r="CC15" s="41">
        <f t="shared" si="116"/>
        <v>170</v>
      </c>
      <c r="CD15" s="41">
        <f t="shared" si="116"/>
        <v>180</v>
      </c>
      <c r="CE15" s="41">
        <f t="shared" si="116"/>
        <v>160</v>
      </c>
      <c r="CF15" s="41">
        <f t="shared" si="116"/>
        <v>130</v>
      </c>
      <c r="CG15" s="41">
        <f t="shared" ref="CG15:CL15" si="117">+CG9-CG14</f>
        <v>130</v>
      </c>
      <c r="CH15" s="41">
        <f t="shared" si="117"/>
        <v>0</v>
      </c>
      <c r="CI15" s="41">
        <f t="shared" si="117"/>
        <v>-10</v>
      </c>
      <c r="CJ15" s="41">
        <f t="shared" si="117"/>
        <v>-10</v>
      </c>
      <c r="CK15" s="41">
        <f t="shared" si="117"/>
        <v>-10</v>
      </c>
      <c r="CL15" s="41">
        <f t="shared" si="117"/>
        <v>-10</v>
      </c>
      <c r="CM15" s="41">
        <f t="shared" ref="CM15:CR15" si="118">+CM9-CM14</f>
        <v>0</v>
      </c>
      <c r="CN15" s="41">
        <f t="shared" si="118"/>
        <v>-40</v>
      </c>
      <c r="CO15" s="41">
        <f t="shared" si="118"/>
        <v>-40</v>
      </c>
      <c r="CP15" s="41">
        <f t="shared" si="118"/>
        <v>-40</v>
      </c>
      <c r="CQ15" s="41">
        <f t="shared" si="118"/>
        <v>-30</v>
      </c>
      <c r="CR15" s="41">
        <f t="shared" si="118"/>
        <v>-20</v>
      </c>
      <c r="CS15" s="41">
        <f t="shared" ref="CS15:CX15" si="119">+CS9-CS14</f>
        <v>-20</v>
      </c>
      <c r="CT15" s="41">
        <f t="shared" si="119"/>
        <v>0</v>
      </c>
      <c r="CU15" s="41">
        <f t="shared" si="119"/>
        <v>0</v>
      </c>
      <c r="CV15" s="41">
        <f t="shared" si="119"/>
        <v>30</v>
      </c>
      <c r="CW15" s="41">
        <f t="shared" si="119"/>
        <v>30</v>
      </c>
      <c r="CX15" s="41">
        <f t="shared" si="119"/>
        <v>30</v>
      </c>
      <c r="CY15" s="41">
        <f t="shared" ref="CY15:CZ15" si="120">+CY9-CY14</f>
        <v>30</v>
      </c>
      <c r="CZ15" s="41">
        <f t="shared" si="120"/>
        <v>30</v>
      </c>
      <c r="DA15" s="41">
        <f t="shared" ref="DA15:DB15" si="121">+DA9-DA14</f>
        <v>20</v>
      </c>
      <c r="DB15" s="41">
        <f t="shared" si="121"/>
        <v>20</v>
      </c>
      <c r="DC15" s="41">
        <f t="shared" ref="DC15:DD15" si="122">+DC9-DC14</f>
        <v>20</v>
      </c>
      <c r="DD15" s="41">
        <f t="shared" si="122"/>
        <v>0</v>
      </c>
      <c r="DE15" s="41">
        <f t="shared" ref="DE15:DF15" si="123">+DE9-DE14</f>
        <v>-40</v>
      </c>
      <c r="DF15" s="41">
        <f t="shared" si="123"/>
        <v>-40</v>
      </c>
      <c r="DG15" s="41">
        <f t="shared" ref="DG15:DH15" si="124">+DG9-DG14</f>
        <v>-50</v>
      </c>
      <c r="DH15" s="41">
        <f t="shared" si="124"/>
        <v>-70</v>
      </c>
      <c r="DI15" s="41">
        <f t="shared" ref="DI15:DK15" si="125">+DI9-DI14</f>
        <v>-50</v>
      </c>
      <c r="DJ15" s="41">
        <f t="shared" si="125"/>
        <v>-50</v>
      </c>
      <c r="DK15" s="41">
        <f t="shared" si="125"/>
        <v>-50</v>
      </c>
      <c r="DL15" s="41">
        <f t="shared" ref="DL15:DM15" si="126">+DL9-DL14</f>
        <v>-50</v>
      </c>
      <c r="DM15" s="41">
        <f t="shared" si="126"/>
        <v>-70</v>
      </c>
      <c r="DN15" s="41">
        <f t="shared" ref="DN15:DO15" si="127">+DN9-DN14</f>
        <v>-70</v>
      </c>
      <c r="DO15" s="41">
        <f t="shared" si="127"/>
        <v>-50</v>
      </c>
      <c r="DP15" s="41">
        <f t="shared" ref="DP15:DR15" si="128">+DP9-DP14</f>
        <v>-40</v>
      </c>
      <c r="DQ15" s="41">
        <f t="shared" si="128"/>
        <v>-40</v>
      </c>
      <c r="DR15" s="41">
        <f t="shared" si="128"/>
        <v>-40</v>
      </c>
      <c r="DS15" s="41">
        <f t="shared" ref="DS15:DT15" si="129">+DS9-DS14</f>
        <v>-40</v>
      </c>
      <c r="DT15" s="41">
        <f t="shared" si="129"/>
        <v>-50</v>
      </c>
      <c r="DU15" s="41">
        <f t="shared" ref="DU15:DV15" si="130">+DU9-DU14</f>
        <v>-50</v>
      </c>
      <c r="DV15" s="41">
        <f t="shared" si="130"/>
        <v>-50</v>
      </c>
      <c r="DW15" s="41">
        <f t="shared" ref="DW15:DX15" si="131">+DW9-DW14</f>
        <v>-70</v>
      </c>
      <c r="DX15" s="41">
        <f t="shared" si="131"/>
        <v>-70</v>
      </c>
      <c r="DY15" s="41">
        <f t="shared" ref="DY15:DZ15" si="132">+DY9-DY14</f>
        <v>-70</v>
      </c>
      <c r="DZ15" s="41">
        <f t="shared" si="132"/>
        <v>-80</v>
      </c>
      <c r="EA15" s="41">
        <f t="shared" ref="EA15:EB15" si="133">+EA9-EA14</f>
        <v>-80</v>
      </c>
      <c r="EB15" s="41">
        <f t="shared" si="133"/>
        <v>-80</v>
      </c>
      <c r="EC15" s="41">
        <f t="shared" ref="EC15:ED15" si="134">+EC9-EC14</f>
        <v>-80</v>
      </c>
      <c r="ED15" s="41">
        <f t="shared" si="134"/>
        <v>-80</v>
      </c>
      <c r="EE15" s="41">
        <f t="shared" ref="EE15:EF15" si="135">+EE9-EE14</f>
        <v>-40</v>
      </c>
      <c r="EF15" s="41">
        <f t="shared" si="135"/>
        <v>-30</v>
      </c>
      <c r="EG15" s="41">
        <f t="shared" ref="EG15:EH15" si="136">+EG9-EG14</f>
        <v>-30</v>
      </c>
      <c r="EH15" s="41">
        <f t="shared" si="136"/>
        <v>-20</v>
      </c>
      <c r="EI15" s="41">
        <f t="shared" ref="EI15:EK15" si="137">+EI9-EI14</f>
        <v>-10</v>
      </c>
      <c r="EJ15" s="41">
        <f t="shared" si="137"/>
        <v>-10</v>
      </c>
      <c r="EK15" s="41">
        <f t="shared" si="137"/>
        <v>-50</v>
      </c>
      <c r="EL15" s="41">
        <f t="shared" ref="EL15:EM15" si="138">+EL9-EL14</f>
        <v>-50</v>
      </c>
      <c r="EM15" s="41">
        <f t="shared" si="138"/>
        <v>-40</v>
      </c>
      <c r="EN15" s="41">
        <f t="shared" ref="EN15:EP15" si="139">+EN9-EN14</f>
        <v>-40</v>
      </c>
      <c r="EO15" s="41">
        <f t="shared" si="139"/>
        <v>-50</v>
      </c>
      <c r="EP15" s="41">
        <f t="shared" si="139"/>
        <v>-50</v>
      </c>
      <c r="EQ15" s="41">
        <f t="shared" ref="EQ15:ER15" si="140">+EQ9-EQ14</f>
        <v>-50</v>
      </c>
      <c r="ER15" s="41">
        <f t="shared" si="140"/>
        <v>-70</v>
      </c>
      <c r="ES15" s="41">
        <f t="shared" ref="ES15:EW15" si="141">+ES9-ES14</f>
        <v>-70</v>
      </c>
      <c r="ET15" s="41">
        <f t="shared" si="141"/>
        <v>-70</v>
      </c>
      <c r="EU15" s="41">
        <f t="shared" si="141"/>
        <v>-70</v>
      </c>
      <c r="EV15" s="41">
        <f t="shared" si="141"/>
        <v>-70</v>
      </c>
      <c r="EW15" s="41">
        <f t="shared" si="141"/>
        <v>-60</v>
      </c>
      <c r="EX15" s="41">
        <f t="shared" ref="EX15:FA15" si="142">+EX9-EX14</f>
        <v>-60</v>
      </c>
      <c r="EY15" s="41">
        <f t="shared" si="142"/>
        <v>-60</v>
      </c>
      <c r="EZ15" s="41">
        <f t="shared" si="142"/>
        <v>-60</v>
      </c>
      <c r="FA15" s="41">
        <f t="shared" si="142"/>
        <v>-60</v>
      </c>
      <c r="FB15" s="41">
        <f t="shared" ref="FB15:FC15" si="143">+FB9-FB14</f>
        <v>-60</v>
      </c>
      <c r="FC15" s="41">
        <f t="shared" si="143"/>
        <v>-70</v>
      </c>
      <c r="FD15" s="41">
        <f t="shared" ref="FD15:FE15" si="144">+FD9-FD14</f>
        <v>-70</v>
      </c>
      <c r="FE15" s="41">
        <f t="shared" si="144"/>
        <v>-80</v>
      </c>
      <c r="FF15" s="41">
        <f t="shared" ref="FF15:FH15" si="145">+FF9-FF14</f>
        <v>-150</v>
      </c>
      <c r="FG15" s="41">
        <f t="shared" si="145"/>
        <v>-180</v>
      </c>
      <c r="FH15" s="41">
        <f t="shared" si="145"/>
        <v>-170</v>
      </c>
      <c r="FI15" s="41">
        <f t="shared" ref="FI15:FJ15" si="146">+FI9-FI14</f>
        <v>-160</v>
      </c>
      <c r="FJ15" s="41">
        <f t="shared" si="146"/>
        <v>-140</v>
      </c>
      <c r="FK15" s="41">
        <f t="shared" ref="FK15:FM15" si="147">+FK9-FK14</f>
        <v>-140</v>
      </c>
      <c r="FL15" s="41">
        <f t="shared" si="147"/>
        <v>-140</v>
      </c>
      <c r="FM15" s="41">
        <f t="shared" si="147"/>
        <v>-140</v>
      </c>
      <c r="FN15" s="41">
        <f t="shared" ref="FN15:FQ15" si="148">+FN9-FN14</f>
        <v>-145</v>
      </c>
      <c r="FO15" s="41">
        <f t="shared" si="148"/>
        <v>-135</v>
      </c>
      <c r="FP15" s="41">
        <f t="shared" si="148"/>
        <v>-125</v>
      </c>
      <c r="FQ15" s="41">
        <f t="shared" si="148"/>
        <v>-115</v>
      </c>
      <c r="FR15" s="41">
        <f t="shared" ref="FR15:FV15" si="149">+FR9-FR14</f>
        <v>-135</v>
      </c>
      <c r="FS15" s="41">
        <f t="shared" si="149"/>
        <v>-115</v>
      </c>
      <c r="FT15" s="41">
        <f t="shared" si="149"/>
        <v>-115</v>
      </c>
      <c r="FU15" s="41">
        <f t="shared" si="149"/>
        <v>-115</v>
      </c>
      <c r="FV15" s="41">
        <f t="shared" si="149"/>
        <v>-105</v>
      </c>
      <c r="FW15" s="41">
        <f t="shared" ref="FW15:FZ15" si="150">+FW9-FW14</f>
        <v>-105</v>
      </c>
      <c r="FX15" s="41">
        <f t="shared" si="150"/>
        <v>-95</v>
      </c>
      <c r="FY15" s="41">
        <f t="shared" si="150"/>
        <v>-115</v>
      </c>
      <c r="FZ15" s="41">
        <f t="shared" si="150"/>
        <v>-115</v>
      </c>
      <c r="GA15" s="41">
        <f t="shared" ref="GA15:GE15" si="151">+GA9-GA14</f>
        <v>-140.5</v>
      </c>
      <c r="GB15" s="41">
        <f t="shared" si="151"/>
        <v>-140.5</v>
      </c>
      <c r="GC15" s="41">
        <f t="shared" si="151"/>
        <v>-140.5</v>
      </c>
      <c r="GD15" s="41">
        <f t="shared" si="151"/>
        <v>-110.5</v>
      </c>
      <c r="GE15" s="41">
        <f t="shared" si="151"/>
        <v>-110.5</v>
      </c>
      <c r="GF15" s="41">
        <f t="shared" ref="GF15:GI15" si="152">+GF9-GF14</f>
        <v>-130.5</v>
      </c>
      <c r="GG15" s="41">
        <f t="shared" si="152"/>
        <v>-130.5</v>
      </c>
      <c r="GH15" s="41">
        <f t="shared" si="152"/>
        <v>-120.5</v>
      </c>
      <c r="GI15" s="41">
        <f t="shared" si="152"/>
        <v>-120.5</v>
      </c>
      <c r="GJ15" s="41">
        <f t="shared" ref="GJ15:GM15" si="153">+GJ9-GJ14</f>
        <v>-135.5</v>
      </c>
      <c r="GK15" s="41">
        <f t="shared" si="153"/>
        <v>-115.5</v>
      </c>
      <c r="GL15" s="41">
        <f t="shared" si="153"/>
        <v>-115.5</v>
      </c>
      <c r="GM15" s="41">
        <f t="shared" si="153"/>
        <v>-95.5</v>
      </c>
      <c r="GN15" s="41">
        <f t="shared" ref="GN15:GR15" si="154">+GN9-GN14</f>
        <v>-110</v>
      </c>
      <c r="GO15" s="41">
        <f t="shared" si="154"/>
        <v>-110</v>
      </c>
      <c r="GP15" s="41">
        <f t="shared" si="154"/>
        <v>-100</v>
      </c>
      <c r="GQ15" s="41">
        <f t="shared" si="154"/>
        <v>-100</v>
      </c>
      <c r="GR15" s="41">
        <f t="shared" si="154"/>
        <v>-90</v>
      </c>
      <c r="GS15" s="41">
        <f t="shared" ref="GS15:GV15" si="155">+GS9-GS14</f>
        <v>-115</v>
      </c>
      <c r="GT15" s="41">
        <f t="shared" si="155"/>
        <v>-115</v>
      </c>
      <c r="GU15" s="41">
        <f t="shared" si="155"/>
        <v>-115</v>
      </c>
      <c r="GV15" s="41">
        <f t="shared" si="155"/>
        <v>-105</v>
      </c>
      <c r="GW15" s="41">
        <f t="shared" ref="GW15:GZ15" si="156">+GW9-GW14</f>
        <v>-115</v>
      </c>
      <c r="GX15" s="41">
        <f t="shared" si="156"/>
        <v>-115</v>
      </c>
      <c r="GY15" s="41">
        <f t="shared" si="156"/>
        <v>-115</v>
      </c>
      <c r="GZ15" s="41">
        <f t="shared" si="156"/>
        <v>-115</v>
      </c>
      <c r="HA15" s="41">
        <f t="shared" ref="HA15:HE15" si="157">+HA9-HA14</f>
        <v>-115</v>
      </c>
      <c r="HB15" s="41">
        <f t="shared" si="157"/>
        <v>-115</v>
      </c>
      <c r="HC15" s="41">
        <f t="shared" si="157"/>
        <v>-125</v>
      </c>
      <c r="HD15" s="41">
        <f t="shared" si="157"/>
        <v>-125</v>
      </c>
      <c r="HE15" s="41">
        <f t="shared" si="157"/>
        <v>-125</v>
      </c>
      <c r="HF15" s="41">
        <f t="shared" ref="HF15:HI15" si="158">+HF9-HF14</f>
        <v>-145</v>
      </c>
      <c r="HG15" s="41">
        <f t="shared" si="158"/>
        <v>-155</v>
      </c>
      <c r="HH15" s="41">
        <f t="shared" si="158"/>
        <v>-155</v>
      </c>
      <c r="HI15" s="41">
        <f t="shared" si="158"/>
        <v>-155</v>
      </c>
      <c r="HJ15" s="41">
        <f t="shared" ref="HJ15:HM15" si="159">+HJ9-HJ14</f>
        <v>-280</v>
      </c>
      <c r="HK15" s="41">
        <f t="shared" si="159"/>
        <v>-480</v>
      </c>
      <c r="HL15" s="41">
        <f t="shared" si="159"/>
        <v>-630</v>
      </c>
      <c r="HM15" s="41">
        <f t="shared" si="159"/>
        <v>-630</v>
      </c>
      <c r="HN15" s="41">
        <f t="shared" ref="HN15:HR15" si="160">+HN9-HN14</f>
        <v>-210</v>
      </c>
      <c r="HO15" s="41">
        <f t="shared" si="160"/>
        <v>-260</v>
      </c>
      <c r="HP15" s="41">
        <f t="shared" si="160"/>
        <v>-255</v>
      </c>
      <c r="HQ15" s="41">
        <f t="shared" si="160"/>
        <v>-255</v>
      </c>
      <c r="HR15" s="41">
        <f t="shared" si="160"/>
        <v>-255</v>
      </c>
      <c r="HS15" s="41">
        <f t="shared" ref="HS15:HV15" si="161">+HS9-HS14</f>
        <v>-215</v>
      </c>
      <c r="HT15" s="41">
        <f t="shared" si="161"/>
        <v>-170</v>
      </c>
      <c r="HU15" s="41">
        <f t="shared" si="161"/>
        <v>-80</v>
      </c>
      <c r="HV15" s="41">
        <f t="shared" si="161"/>
        <v>-40</v>
      </c>
      <c r="HW15" s="41">
        <f t="shared" ref="HW15:HZ15" si="162">+HW9-HW14</f>
        <v>-160</v>
      </c>
      <c r="HX15" s="41">
        <f t="shared" si="162"/>
        <v>-140</v>
      </c>
      <c r="HY15" s="41">
        <f t="shared" si="162"/>
        <v>-110</v>
      </c>
      <c r="HZ15" s="41">
        <f t="shared" si="162"/>
        <v>30</v>
      </c>
      <c r="IA15" s="41">
        <f t="shared" ref="IA15:IE15" si="163">+IA9-IA14</f>
        <v>-20</v>
      </c>
      <c r="IB15" s="41">
        <f t="shared" si="163"/>
        <v>-10</v>
      </c>
      <c r="IC15" s="41">
        <f t="shared" si="163"/>
        <v>1010</v>
      </c>
      <c r="ID15" s="41">
        <f t="shared" si="163"/>
        <v>1010</v>
      </c>
      <c r="IE15" s="41">
        <f t="shared" si="163"/>
        <v>1010</v>
      </c>
    </row>
    <row r="16" spans="1:239">
      <c r="F16" s="1" t="s">
        <v>81</v>
      </c>
      <c r="H16" s="1" t="s">
        <v>81</v>
      </c>
      <c r="I16" s="51">
        <f t="shared" ref="I16:O16" si="164">+I15/I14</f>
        <v>5.2631578947368418E-2</v>
      </c>
      <c r="J16" s="51">
        <f t="shared" si="164"/>
        <v>1.1494252873563218E-2</v>
      </c>
      <c r="K16" s="51">
        <f t="shared" si="164"/>
        <v>5.7692307692307696E-2</v>
      </c>
      <c r="L16" s="51">
        <f t="shared" si="164"/>
        <v>7.0559610705596104E-2</v>
      </c>
      <c r="M16" s="51">
        <f t="shared" si="164"/>
        <v>0.12403100775193798</v>
      </c>
      <c r="N16" s="51">
        <f t="shared" si="164"/>
        <v>0.18309859154929578</v>
      </c>
      <c r="O16" s="51">
        <f t="shared" si="164"/>
        <v>0.16666666666666666</v>
      </c>
      <c r="P16" s="51">
        <f t="shared" ref="P16:U16" si="165">+P15/P14</f>
        <v>-8.350730688935281E-3</v>
      </c>
      <c r="Q16" s="51">
        <f t="shared" si="165"/>
        <v>-3.0612244897959183E-2</v>
      </c>
      <c r="R16" s="51">
        <f t="shared" si="165"/>
        <v>-1.8087855297157621E-2</v>
      </c>
      <c r="S16" s="51">
        <f t="shared" si="165"/>
        <v>2.4258760107816711E-2</v>
      </c>
      <c r="T16" s="51">
        <f t="shared" si="165"/>
        <v>2.591792656587473E-2</v>
      </c>
      <c r="U16" s="51">
        <f t="shared" si="165"/>
        <v>-3.3766233766233764E-2</v>
      </c>
      <c r="V16" s="51">
        <f t="shared" ref="V16:W16" si="166">+V15/V14</f>
        <v>-5.7432432432432394E-2</v>
      </c>
      <c r="W16" s="51">
        <f t="shared" si="166"/>
        <v>-6.0606060606060608E-2</v>
      </c>
      <c r="X16" s="51">
        <f t="shared" ref="X16:Y16" si="167">+X15/X14</f>
        <v>-4.2821158690176324E-2</v>
      </c>
      <c r="Y16" s="51">
        <f t="shared" si="167"/>
        <v>-5.1896207584830337E-2</v>
      </c>
      <c r="Z16" s="51">
        <f t="shared" ref="Z16:AA16" si="168">+Z15/Z14</f>
        <v>-7.3170731707317069E-2</v>
      </c>
      <c r="AA16" s="51">
        <f t="shared" si="168"/>
        <v>-6.8627450980392163E-2</v>
      </c>
      <c r="AB16" s="51">
        <f t="shared" ref="AB16:AC16" si="169">+AB15/AB14</f>
        <v>-2.0618556701030927E-2</v>
      </c>
      <c r="AC16" s="51">
        <f t="shared" si="169"/>
        <v>-4.712041884816754E-2</v>
      </c>
      <c r="AD16" s="51">
        <f t="shared" ref="AD16:AE16" si="170">+AD15/AD14</f>
        <v>-5.9233449477351881E-2</v>
      </c>
      <c r="AE16" s="51">
        <f t="shared" si="170"/>
        <v>-7.0247933884297523E-2</v>
      </c>
      <c r="AF16" s="51">
        <f t="shared" ref="AF16:AG16" si="171">+AF15/AF14</f>
        <v>-6.25E-2</v>
      </c>
      <c r="AG16" s="51">
        <f t="shared" si="171"/>
        <v>-7.2164948453608241E-2</v>
      </c>
      <c r="AH16" s="51">
        <f t="shared" ref="AH16:AI16" si="172">+AH15/AH14</f>
        <v>-0.16751269035532995</v>
      </c>
      <c r="AI16" s="51">
        <f t="shared" si="172"/>
        <v>-0.14285714285714285</v>
      </c>
      <c r="AJ16" s="51">
        <f t="shared" ref="AJ16:AK16" si="173">+AJ15/AJ14</f>
        <v>-0.13471502590673576</v>
      </c>
      <c r="AK16" s="51">
        <f t="shared" si="173"/>
        <v>-0.12553648068669529</v>
      </c>
      <c r="AL16" s="51">
        <f t="shared" ref="AL16:AM16" si="174">+AL15/AL14</f>
        <v>-0.11653116531165311</v>
      </c>
      <c r="AM16" s="51">
        <f t="shared" si="174"/>
        <v>-0.13997821350762527</v>
      </c>
      <c r="AN16" s="51">
        <f t="shared" ref="AN16:AO16" si="175">+AN15/AN14</f>
        <v>-0.14022346368715083</v>
      </c>
      <c r="AO16" s="51">
        <f t="shared" si="175"/>
        <v>-0.13275862068965516</v>
      </c>
      <c r="AP16" s="51">
        <f t="shared" ref="AP16:AQ16" si="176">+AP15/AP14</f>
        <v>-0.12114014251781473</v>
      </c>
      <c r="AQ16" s="51">
        <f t="shared" si="176"/>
        <v>-0.13595166163141995</v>
      </c>
      <c r="AR16" s="51">
        <f t="shared" ref="AR16:AS16" si="177">+AR15/AR14</f>
        <v>-0.1402439024390244</v>
      </c>
      <c r="AS16" s="51">
        <f t="shared" si="177"/>
        <v>-0.1482843137254902</v>
      </c>
      <c r="AT16" s="51">
        <f t="shared" ref="AT16:AU16" si="178">+AT15/AT14</f>
        <v>-0.17994100294985252</v>
      </c>
      <c r="AU16" s="51">
        <f t="shared" si="178"/>
        <v>-0.42399999999999999</v>
      </c>
      <c r="AV16" s="51">
        <f t="shared" ref="AV16:AW16" si="179">+AV15/AV14</f>
        <v>-0.17188587334725122</v>
      </c>
      <c r="AW16" s="51">
        <f t="shared" si="179"/>
        <v>-9.308755760368663E-2</v>
      </c>
      <c r="AX16" s="51">
        <f t="shared" ref="AX16:AY16" si="180">+AX15/AX14</f>
        <v>-8.085106382978724E-2</v>
      </c>
      <c r="AY16" s="51">
        <f t="shared" si="180"/>
        <v>-1.4634146341463415E-2</v>
      </c>
      <c r="BC16" s="1" t="s">
        <v>81</v>
      </c>
      <c r="BD16" s="51">
        <f t="shared" ref="BD16:BO16" si="181">+BD15/BD14</f>
        <v>0.25</v>
      </c>
      <c r="BE16" s="51">
        <f>+BE15/BE14</f>
        <v>0.1</v>
      </c>
      <c r="BF16" s="51">
        <f t="shared" si="181"/>
        <v>8.9108910891089105E-2</v>
      </c>
      <c r="BG16" s="51">
        <f t="shared" si="181"/>
        <v>2.8037383177570093E-2</v>
      </c>
      <c r="BH16" s="51">
        <f t="shared" si="181"/>
        <v>0</v>
      </c>
      <c r="BI16" s="51">
        <f t="shared" si="181"/>
        <v>0</v>
      </c>
      <c r="BJ16" s="51">
        <f t="shared" si="181"/>
        <v>0</v>
      </c>
      <c r="BK16" s="51">
        <f t="shared" si="181"/>
        <v>9.1743119266055051E-3</v>
      </c>
      <c r="BL16" s="51">
        <f t="shared" si="181"/>
        <v>3.7735849056603772E-2</v>
      </c>
      <c r="BM16" s="51">
        <f>+BM15/BM14</f>
        <v>3.7735849056603772E-2</v>
      </c>
      <c r="BN16" s="51">
        <f t="shared" si="181"/>
        <v>5.7692307692307696E-2</v>
      </c>
      <c r="BO16" s="51">
        <f t="shared" si="181"/>
        <v>5.7692307692307696E-2</v>
      </c>
      <c r="BP16" s="51">
        <f>+BP15/BP14</f>
        <v>5.7692307692307696E-2</v>
      </c>
      <c r="BQ16" s="51">
        <f>+BQ15/BQ14</f>
        <v>7.8431372549019607E-2</v>
      </c>
      <c r="BR16" s="51">
        <f>+BR15/BR14</f>
        <v>7.8431372549019607E-2</v>
      </c>
      <c r="BS16" s="51">
        <f>+BS15/BS14</f>
        <v>6.7961165048543687E-2</v>
      </c>
      <c r="BT16" s="51">
        <f>+BT15/BT14</f>
        <v>6.7961165048543687E-2</v>
      </c>
      <c r="BU16" s="51">
        <f t="shared" ref="BU16:BZ16" si="182">+BU15/BU14</f>
        <v>6.7961165048543687E-2</v>
      </c>
      <c r="BV16" s="51">
        <f t="shared" si="182"/>
        <v>6.7961165048543687E-2</v>
      </c>
      <c r="BW16" s="51">
        <f t="shared" si="182"/>
        <v>0.1</v>
      </c>
      <c r="BX16" s="51">
        <f t="shared" si="182"/>
        <v>0.19565217391304349</v>
      </c>
      <c r="BY16" s="51">
        <f t="shared" si="182"/>
        <v>0.14130434782608695</v>
      </c>
      <c r="BZ16" s="51">
        <f t="shared" si="182"/>
        <v>0.15384615384615385</v>
      </c>
      <c r="CA16" s="51">
        <f t="shared" ref="CA16:CF16" si="183">+CA15/CA14</f>
        <v>0.19318181818181818</v>
      </c>
      <c r="CB16" s="51">
        <f t="shared" si="183"/>
        <v>0.19318181818181818</v>
      </c>
      <c r="CC16" s="51">
        <f t="shared" si="183"/>
        <v>0.19318181818181818</v>
      </c>
      <c r="CD16" s="51">
        <f t="shared" si="183"/>
        <v>0.20689655172413793</v>
      </c>
      <c r="CE16" s="51">
        <f t="shared" si="183"/>
        <v>0.1797752808988764</v>
      </c>
      <c r="CF16" s="51">
        <f t="shared" si="183"/>
        <v>0.14130434782608695</v>
      </c>
      <c r="CG16" s="51">
        <f t="shared" ref="CG16:CT16" si="184">+CG15/CG14</f>
        <v>0.14130434782608695</v>
      </c>
      <c r="CH16" s="51">
        <f t="shared" si="184"/>
        <v>0</v>
      </c>
      <c r="CI16" s="51">
        <f t="shared" si="184"/>
        <v>-1.0416666666666666E-2</v>
      </c>
      <c r="CJ16" s="51">
        <f t="shared" si="184"/>
        <v>-1.0416666666666666E-2</v>
      </c>
      <c r="CK16" s="51">
        <f t="shared" si="184"/>
        <v>-1.0416666666666666E-2</v>
      </c>
      <c r="CL16" s="51">
        <f t="shared" si="184"/>
        <v>-1.0416666666666666E-2</v>
      </c>
      <c r="CM16" s="51">
        <f t="shared" si="184"/>
        <v>0</v>
      </c>
      <c r="CN16" s="51">
        <f t="shared" si="184"/>
        <v>-4.0404040404040407E-2</v>
      </c>
      <c r="CO16" s="51">
        <f t="shared" si="184"/>
        <v>-4.0404040404040407E-2</v>
      </c>
      <c r="CP16" s="51">
        <f t="shared" si="184"/>
        <v>-4.0404040404040407E-2</v>
      </c>
      <c r="CQ16" s="51">
        <f t="shared" si="184"/>
        <v>-3.0612244897959183E-2</v>
      </c>
      <c r="CR16" s="51">
        <f t="shared" si="184"/>
        <v>-2.0618556701030927E-2</v>
      </c>
      <c r="CS16" s="51">
        <f t="shared" si="184"/>
        <v>-2.0618556701030927E-2</v>
      </c>
      <c r="CT16" s="51">
        <f t="shared" si="184"/>
        <v>0</v>
      </c>
      <c r="CU16" s="51">
        <f t="shared" ref="CU16:CV16" si="185">+CU15/CU14</f>
        <v>0</v>
      </c>
      <c r="CV16" s="51">
        <f t="shared" si="185"/>
        <v>3.2608695652173912E-2</v>
      </c>
      <c r="CW16" s="51">
        <f t="shared" ref="CW16:CX16" si="186">+CW15/CW14</f>
        <v>3.2608695652173912E-2</v>
      </c>
      <c r="CX16" s="51">
        <f t="shared" si="186"/>
        <v>3.2608695652173912E-2</v>
      </c>
      <c r="CY16" s="51">
        <f t="shared" ref="CY16:CZ16" si="187">+CY15/CY14</f>
        <v>3.2608695652173912E-2</v>
      </c>
      <c r="CZ16" s="51">
        <f t="shared" si="187"/>
        <v>3.2608695652173912E-2</v>
      </c>
      <c r="DA16" s="51">
        <f t="shared" ref="DA16:DB16" si="188">+DA15/DA14</f>
        <v>2.1505376344086023E-2</v>
      </c>
      <c r="DB16" s="51">
        <f t="shared" si="188"/>
        <v>2.1505376344086023E-2</v>
      </c>
      <c r="DC16" s="51">
        <f t="shared" ref="DC16:DD16" si="189">+DC15/DC14</f>
        <v>2.1505376344086023E-2</v>
      </c>
      <c r="DD16" s="51">
        <f t="shared" si="189"/>
        <v>0</v>
      </c>
      <c r="DE16" s="51">
        <f t="shared" ref="DE16:DF16" si="190">+DE15/DE14</f>
        <v>-4.1237113402061855E-2</v>
      </c>
      <c r="DF16" s="51">
        <f t="shared" si="190"/>
        <v>-4.1237113402061855E-2</v>
      </c>
      <c r="DG16" s="51">
        <f t="shared" ref="DG16:DH16" si="191">+DG15/DG14</f>
        <v>-5.1020408163265307E-2</v>
      </c>
      <c r="DH16" s="51">
        <f t="shared" si="191"/>
        <v>-7.0000000000000007E-2</v>
      </c>
      <c r="DI16" s="51">
        <f t="shared" ref="DI16:DK16" si="192">+DI15/DI14</f>
        <v>-5.1020408163265307E-2</v>
      </c>
      <c r="DJ16" s="51">
        <f t="shared" si="192"/>
        <v>-5.1020408163265307E-2</v>
      </c>
      <c r="DK16" s="51">
        <f t="shared" si="192"/>
        <v>-5.1020408163265307E-2</v>
      </c>
      <c r="DL16" s="51">
        <f t="shared" ref="DL16:DM16" si="193">+DL15/DL14</f>
        <v>-5.1020408163265307E-2</v>
      </c>
      <c r="DM16" s="51">
        <f t="shared" si="193"/>
        <v>-7.0000000000000007E-2</v>
      </c>
      <c r="DN16" s="51">
        <f t="shared" ref="DN16:DO16" si="194">+DN15/DN14</f>
        <v>-7.0000000000000007E-2</v>
      </c>
      <c r="DO16" s="51">
        <f t="shared" si="194"/>
        <v>-0.05</v>
      </c>
      <c r="DP16" s="51">
        <f t="shared" ref="DP16:DR16" si="195">+DP15/DP14</f>
        <v>-4.0404040404040407E-2</v>
      </c>
      <c r="DQ16" s="51">
        <f t="shared" si="195"/>
        <v>-4.0404040404040407E-2</v>
      </c>
      <c r="DR16" s="51">
        <f t="shared" si="195"/>
        <v>-4.0404040404040407E-2</v>
      </c>
      <c r="DS16" s="51">
        <f t="shared" ref="DS16:DT16" si="196">+DS15/DS14</f>
        <v>-4.0404040404040407E-2</v>
      </c>
      <c r="DT16" s="51">
        <f t="shared" si="196"/>
        <v>-0.05</v>
      </c>
      <c r="DU16" s="51">
        <f t="shared" ref="DU16:DV16" si="197">+DU15/DU14</f>
        <v>-0.05</v>
      </c>
      <c r="DV16" s="51">
        <f t="shared" si="197"/>
        <v>-0.05</v>
      </c>
      <c r="DW16" s="51">
        <f t="shared" ref="DW16:DX16" si="198">+DW15/DW14</f>
        <v>-6.8627450980392163E-2</v>
      </c>
      <c r="DX16" s="51">
        <f t="shared" si="198"/>
        <v>-6.8627450980392163E-2</v>
      </c>
      <c r="DY16" s="51">
        <f t="shared" ref="DY16:DZ16" si="199">+DY15/DY14</f>
        <v>-6.8627450980392163E-2</v>
      </c>
      <c r="DZ16" s="51">
        <f t="shared" si="199"/>
        <v>-7.7669902912621352E-2</v>
      </c>
      <c r="EA16" s="51">
        <f t="shared" ref="EA16:EB16" si="200">+EA15/EA14</f>
        <v>-7.7669902912621352E-2</v>
      </c>
      <c r="EB16" s="51">
        <f t="shared" si="200"/>
        <v>-7.7669902912621352E-2</v>
      </c>
      <c r="EC16" s="51">
        <f t="shared" ref="EC16:ED16" si="201">+EC15/EC14</f>
        <v>-7.7669902912621352E-2</v>
      </c>
      <c r="ED16" s="51">
        <f t="shared" si="201"/>
        <v>-7.7669902912621352E-2</v>
      </c>
      <c r="EE16" s="51">
        <f t="shared" ref="EE16:EF16" si="202">+EE15/EE14</f>
        <v>-4.0404040404040407E-2</v>
      </c>
      <c r="EF16" s="51">
        <f t="shared" si="202"/>
        <v>-3.0612244897959183E-2</v>
      </c>
      <c r="EG16" s="51">
        <f t="shared" ref="EG16:EH16" si="203">+EG15/EG14</f>
        <v>-3.0612244897959183E-2</v>
      </c>
      <c r="EH16" s="51">
        <f t="shared" si="203"/>
        <v>-2.0618556701030927E-2</v>
      </c>
      <c r="EI16" s="51">
        <f t="shared" ref="EI16:EK16" si="204">+EI15/EI14</f>
        <v>-1.0416666666666666E-2</v>
      </c>
      <c r="EJ16" s="51">
        <f t="shared" si="204"/>
        <v>-1.0416666666666666E-2</v>
      </c>
      <c r="EK16" s="51">
        <f t="shared" si="204"/>
        <v>-5.2083333333333336E-2</v>
      </c>
      <c r="EL16" s="51">
        <f t="shared" ref="EL16:EM16" si="205">+EL15/EL14</f>
        <v>-5.2083333333333336E-2</v>
      </c>
      <c r="EM16" s="51">
        <f t="shared" si="205"/>
        <v>-4.2105263157894736E-2</v>
      </c>
      <c r="EN16" s="51">
        <f t="shared" ref="EN16:EP16" si="206">+EN15/EN14</f>
        <v>-4.2105263157894736E-2</v>
      </c>
      <c r="EO16" s="51">
        <f t="shared" si="206"/>
        <v>-5.2631578947368418E-2</v>
      </c>
      <c r="EP16" s="51">
        <f t="shared" si="206"/>
        <v>-5.2631578947368418E-2</v>
      </c>
      <c r="EQ16" s="51">
        <f t="shared" ref="EQ16:ER16" si="207">+EQ15/EQ14</f>
        <v>-5.2631578947368418E-2</v>
      </c>
      <c r="ER16" s="51">
        <f t="shared" si="207"/>
        <v>-7.2164948453608241E-2</v>
      </c>
      <c r="ES16" s="51">
        <f t="shared" ref="ES16:EW16" si="208">+ES15/ES14</f>
        <v>-7.2164948453608241E-2</v>
      </c>
      <c r="ET16" s="51">
        <f t="shared" si="208"/>
        <v>-7.2164948453608241E-2</v>
      </c>
      <c r="EU16" s="51">
        <f t="shared" si="208"/>
        <v>-7.2164948453608241E-2</v>
      </c>
      <c r="EV16" s="51">
        <f t="shared" si="208"/>
        <v>-7.2164948453608241E-2</v>
      </c>
      <c r="EW16" s="51">
        <f t="shared" si="208"/>
        <v>-6.25E-2</v>
      </c>
      <c r="EX16" s="51">
        <f t="shared" ref="EX16:FA16" si="209">+EX15/EX14</f>
        <v>-6.25E-2</v>
      </c>
      <c r="EY16" s="51">
        <f t="shared" si="209"/>
        <v>-6.25E-2</v>
      </c>
      <c r="EZ16" s="51">
        <f t="shared" si="209"/>
        <v>-6.25E-2</v>
      </c>
      <c r="FA16" s="51">
        <f t="shared" si="209"/>
        <v>-6.25E-2</v>
      </c>
      <c r="FB16" s="51">
        <f t="shared" ref="FB16:FC16" si="210">+FB15/FB14</f>
        <v>-6.25E-2</v>
      </c>
      <c r="FC16" s="51">
        <f t="shared" si="210"/>
        <v>-7.2164948453608241E-2</v>
      </c>
      <c r="FD16" s="51">
        <f t="shared" ref="FD16:FE16" si="211">+FD15/FD14</f>
        <v>-7.2164948453608241E-2</v>
      </c>
      <c r="FE16" s="51">
        <f t="shared" si="211"/>
        <v>-8.1632653061224483E-2</v>
      </c>
      <c r="FF16" s="51">
        <f t="shared" ref="FF16:FH16" si="212">+FF15/FF14</f>
        <v>-0.15463917525773196</v>
      </c>
      <c r="FG16" s="51">
        <f t="shared" si="212"/>
        <v>-0.18</v>
      </c>
      <c r="FH16" s="51">
        <f t="shared" si="212"/>
        <v>-0.17171717171717171</v>
      </c>
      <c r="FI16" s="51">
        <f t="shared" ref="FI16:FJ16" si="213">+FI15/FI14</f>
        <v>-0.16326530612244897</v>
      </c>
      <c r="FJ16" s="51">
        <f t="shared" si="213"/>
        <v>-0.14285714285714285</v>
      </c>
      <c r="FK16" s="51">
        <f t="shared" ref="FK16:FM16" si="214">+FK15/FK14</f>
        <v>-0.14285714285714285</v>
      </c>
      <c r="FL16" s="51">
        <f t="shared" si="214"/>
        <v>-0.14285714285714285</v>
      </c>
      <c r="FM16" s="51">
        <f t="shared" si="214"/>
        <v>-0.14285714285714285</v>
      </c>
      <c r="FN16" s="51">
        <f t="shared" ref="FN16:FQ16" si="215">+FN15/FN14</f>
        <v>-0.14795918367346939</v>
      </c>
      <c r="FO16" s="51">
        <f t="shared" si="215"/>
        <v>-0.13917525773195877</v>
      </c>
      <c r="FP16" s="51">
        <f t="shared" si="215"/>
        <v>-0.13020833333333334</v>
      </c>
      <c r="FQ16" s="51">
        <f t="shared" si="215"/>
        <v>-0.12105263157894737</v>
      </c>
      <c r="FR16" s="51">
        <f t="shared" ref="FR16:FV16" si="216">+FR15/FR14</f>
        <v>-0.14210526315789473</v>
      </c>
      <c r="FS16" s="51">
        <f t="shared" si="216"/>
        <v>-0.12365591397849462</v>
      </c>
      <c r="FT16" s="51">
        <f t="shared" si="216"/>
        <v>-0.12365591397849462</v>
      </c>
      <c r="FU16" s="51">
        <f t="shared" si="216"/>
        <v>-0.12365591397849462</v>
      </c>
      <c r="FV16" s="51">
        <f t="shared" si="216"/>
        <v>-0.11413043478260869</v>
      </c>
      <c r="FW16" s="51">
        <f t="shared" ref="FW16:FZ16" si="217">+FW15/FW14</f>
        <v>-0.11413043478260869</v>
      </c>
      <c r="FX16" s="51">
        <f t="shared" si="217"/>
        <v>-0.1043956043956044</v>
      </c>
      <c r="FY16" s="51">
        <f t="shared" si="217"/>
        <v>-0.12365591397849462</v>
      </c>
      <c r="FZ16" s="51">
        <f t="shared" si="217"/>
        <v>-0.12365591397849462</v>
      </c>
      <c r="GA16" s="51">
        <f t="shared" ref="GA16:GE16" si="218">+GA15/GA14</f>
        <v>-0.15107526881720429</v>
      </c>
      <c r="GB16" s="51">
        <f t="shared" si="218"/>
        <v>-0.15107526881720429</v>
      </c>
      <c r="GC16" s="51">
        <f t="shared" si="218"/>
        <v>-0.15107526881720429</v>
      </c>
      <c r="GD16" s="51">
        <f t="shared" si="218"/>
        <v>-0.12277777777777778</v>
      </c>
      <c r="GE16" s="51">
        <f t="shared" si="218"/>
        <v>-0.12277777777777778</v>
      </c>
      <c r="GF16" s="51">
        <f t="shared" ref="GF16:GI16" si="219">+GF15/GF14</f>
        <v>-0.14499999999999999</v>
      </c>
      <c r="GG16" s="51">
        <f t="shared" si="219"/>
        <v>-0.14499999999999999</v>
      </c>
      <c r="GH16" s="51">
        <f t="shared" si="219"/>
        <v>-0.13539325842696628</v>
      </c>
      <c r="GI16" s="51">
        <f t="shared" si="219"/>
        <v>-0.13539325842696628</v>
      </c>
      <c r="GJ16" s="51">
        <f t="shared" ref="GJ16:GM16" si="220">+GJ15/GJ14</f>
        <v>-0.15224719101123596</v>
      </c>
      <c r="GK16" s="51">
        <f t="shared" si="220"/>
        <v>-0.13275862068965516</v>
      </c>
      <c r="GL16" s="51">
        <f t="shared" si="220"/>
        <v>-0.13275862068965516</v>
      </c>
      <c r="GM16" s="51">
        <f t="shared" si="220"/>
        <v>-0.11235294117647059</v>
      </c>
      <c r="GN16" s="51">
        <f t="shared" ref="GN16:GR16" si="221">+GN15/GN14</f>
        <v>-0.12941176470588237</v>
      </c>
      <c r="GO16" s="51">
        <f t="shared" si="221"/>
        <v>-0.12941176470588237</v>
      </c>
      <c r="GP16" s="51">
        <f t="shared" si="221"/>
        <v>-0.11904761904761904</v>
      </c>
      <c r="GQ16" s="51">
        <f t="shared" si="221"/>
        <v>-0.11904761904761904</v>
      </c>
      <c r="GR16" s="51">
        <f t="shared" si="221"/>
        <v>-0.10843373493975904</v>
      </c>
      <c r="GS16" s="51">
        <f t="shared" ref="GS16:GV16" si="222">+GS15/GS14</f>
        <v>-0.13855421686746988</v>
      </c>
      <c r="GT16" s="51">
        <f t="shared" si="222"/>
        <v>-0.13855421686746988</v>
      </c>
      <c r="GU16" s="51">
        <f t="shared" si="222"/>
        <v>-0.13855421686746988</v>
      </c>
      <c r="GV16" s="51">
        <f t="shared" si="222"/>
        <v>-0.12804878048780488</v>
      </c>
      <c r="GW16" s="51">
        <f t="shared" ref="GW16:GZ16" si="223">+GW15/GW14</f>
        <v>-0.1402439024390244</v>
      </c>
      <c r="GX16" s="51">
        <f t="shared" si="223"/>
        <v>-0.1402439024390244</v>
      </c>
      <c r="GY16" s="51">
        <f t="shared" si="223"/>
        <v>-0.1402439024390244</v>
      </c>
      <c r="GZ16" s="51">
        <f t="shared" si="223"/>
        <v>-0.1402439024390244</v>
      </c>
      <c r="HA16" s="51">
        <f t="shared" ref="HA16:HE16" si="224">+HA15/HA14</f>
        <v>-0.1419753086419753</v>
      </c>
      <c r="HB16" s="51">
        <f t="shared" si="224"/>
        <v>-0.1419753086419753</v>
      </c>
      <c r="HC16" s="51">
        <f t="shared" si="224"/>
        <v>-0.1524390243902439</v>
      </c>
      <c r="HD16" s="51">
        <f t="shared" si="224"/>
        <v>-0.1524390243902439</v>
      </c>
      <c r="HE16" s="51">
        <f t="shared" si="224"/>
        <v>-0.1524390243902439</v>
      </c>
      <c r="HF16" s="51">
        <f t="shared" ref="HF16:HI16" si="225">+HF15/HF14</f>
        <v>-0.17261904761904762</v>
      </c>
      <c r="HG16" s="51">
        <f t="shared" si="225"/>
        <v>-0.18235294117647058</v>
      </c>
      <c r="HH16" s="51">
        <f t="shared" si="225"/>
        <v>-0.18235294117647058</v>
      </c>
      <c r="HI16" s="51">
        <f t="shared" si="225"/>
        <v>-0.18235294117647058</v>
      </c>
      <c r="HJ16" s="51">
        <f t="shared" ref="HJ16:HM16" si="226">+HJ15/HJ14</f>
        <v>-0.28000000000000003</v>
      </c>
      <c r="HK16" s="51">
        <f t="shared" si="226"/>
        <v>-0.4</v>
      </c>
      <c r="HL16" s="51">
        <f t="shared" si="226"/>
        <v>-0.45</v>
      </c>
      <c r="HM16" s="51">
        <f t="shared" si="226"/>
        <v>-0.45</v>
      </c>
      <c r="HN16" s="51">
        <f t="shared" ref="HN16:HR16" si="227">+HN15/HN14</f>
        <v>-0.15</v>
      </c>
      <c r="HO16" s="51">
        <f t="shared" si="227"/>
        <v>-0.1793103448275862</v>
      </c>
      <c r="HP16" s="51">
        <f t="shared" si="227"/>
        <v>-0.17647058823529413</v>
      </c>
      <c r="HQ16" s="51">
        <f t="shared" si="227"/>
        <v>-0.17647058823529413</v>
      </c>
      <c r="HR16" s="51">
        <f t="shared" si="227"/>
        <v>-0.17647058823529413</v>
      </c>
      <c r="HS16" s="51">
        <f t="shared" ref="HS16:HV16" si="228">+HS15/HS14</f>
        <v>-0.14878892733564014</v>
      </c>
      <c r="HT16" s="51">
        <f t="shared" si="228"/>
        <v>-0.12142857142857143</v>
      </c>
      <c r="HU16" s="51">
        <f t="shared" si="228"/>
        <v>-6.1068702290076333E-2</v>
      </c>
      <c r="HV16" s="51">
        <f t="shared" si="228"/>
        <v>-3.1496062992125984E-2</v>
      </c>
      <c r="HW16" s="51">
        <f t="shared" ref="HW16:HZ16" si="229">+HW15/HW14</f>
        <v>-0.12903225806451613</v>
      </c>
      <c r="HX16" s="51">
        <f t="shared" si="229"/>
        <v>-0.11475409836065574</v>
      </c>
      <c r="HY16" s="51">
        <f t="shared" si="229"/>
        <v>-9.2436974789915971E-2</v>
      </c>
      <c r="HZ16" s="51">
        <f t="shared" si="229"/>
        <v>2.8571428571428571E-2</v>
      </c>
      <c r="IA16" s="51">
        <f t="shared" ref="IA16:IE16" si="230">+IA15/IA14</f>
        <v>-1.9417475728155338E-2</v>
      </c>
      <c r="IB16" s="51">
        <f t="shared" si="230"/>
        <v>-9.8039215686274508E-3</v>
      </c>
      <c r="IC16" s="51" t="e">
        <f t="shared" si="230"/>
        <v>#DIV/0!</v>
      </c>
      <c r="ID16" s="51" t="e">
        <f t="shared" si="230"/>
        <v>#DIV/0!</v>
      </c>
      <c r="IE16" s="51" t="e">
        <f t="shared" si="230"/>
        <v>#DIV/0!</v>
      </c>
    </row>
    <row r="17" spans="6:239" ht="14.5">
      <c r="F17" s="1" t="s">
        <v>87</v>
      </c>
      <c r="H17" s="1" t="s">
        <v>87</v>
      </c>
      <c r="I17" s="41">
        <v>885</v>
      </c>
      <c r="J17" s="41">
        <v>885</v>
      </c>
      <c r="K17" s="41">
        <v>885</v>
      </c>
      <c r="L17" s="41">
        <v>885</v>
      </c>
      <c r="M17" s="41">
        <v>885</v>
      </c>
      <c r="N17" s="41">
        <v>885</v>
      </c>
      <c r="O17" s="41">
        <v>885</v>
      </c>
      <c r="P17" s="41">
        <v>885</v>
      </c>
      <c r="Q17" s="41">
        <v>885</v>
      </c>
      <c r="R17" s="41">
        <v>885</v>
      </c>
      <c r="S17" s="41">
        <v>885</v>
      </c>
      <c r="T17" s="41">
        <v>885</v>
      </c>
      <c r="U17" s="41">
        <v>885</v>
      </c>
      <c r="V17" s="41">
        <v>885</v>
      </c>
      <c r="W17" s="41">
        <v>885</v>
      </c>
      <c r="X17" s="41">
        <v>861</v>
      </c>
      <c r="Y17" s="41">
        <v>861</v>
      </c>
      <c r="Z17" s="41">
        <v>850</v>
      </c>
      <c r="AA17" s="41">
        <v>794</v>
      </c>
      <c r="AB17" s="41">
        <v>836.80121639671654</v>
      </c>
      <c r="AC17" s="41">
        <v>856.16419630615974</v>
      </c>
      <c r="AD17" s="41">
        <v>856.16419630615974</v>
      </c>
      <c r="AE17" s="41">
        <v>856.16419630615974</v>
      </c>
      <c r="AF17" s="41">
        <v>827.7737832482228</v>
      </c>
      <c r="AG17" s="41">
        <v>842.58758463763786</v>
      </c>
      <c r="AH17" s="41">
        <v>835.02956014903214</v>
      </c>
      <c r="AI17" s="41">
        <v>835.02956014903214</v>
      </c>
      <c r="AJ17" s="41">
        <v>821.92388317274299</v>
      </c>
      <c r="AK17" s="41">
        <v>838</v>
      </c>
      <c r="AL17" s="41">
        <v>863.68590309795047</v>
      </c>
      <c r="AM17" s="41">
        <v>864.84654926023097</v>
      </c>
      <c r="AN17" s="41">
        <v>864.84654926023097</v>
      </c>
      <c r="AO17" s="41">
        <v>864.84654926023097</v>
      </c>
      <c r="AP17" s="41">
        <v>877</v>
      </c>
      <c r="AQ17" s="41">
        <v>899.20414893105215</v>
      </c>
      <c r="AR17" s="41">
        <v>896.54965726587238</v>
      </c>
      <c r="AS17" s="41">
        <v>896.54965726587238</v>
      </c>
      <c r="AT17" s="41">
        <v>872.02588664698362</v>
      </c>
      <c r="AU17" s="41">
        <v>886.41271510495631</v>
      </c>
      <c r="AV17" s="41">
        <v>955.23708175223555</v>
      </c>
      <c r="AW17" s="41">
        <v>915.30164067795647</v>
      </c>
      <c r="AX17" s="41">
        <v>915.30164067795647</v>
      </c>
      <c r="AY17" s="41">
        <v>915.30164067795647</v>
      </c>
      <c r="BC17" s="1" t="s">
        <v>87</v>
      </c>
      <c r="BD17" s="41">
        <v>1110</v>
      </c>
      <c r="BE17" s="41">
        <v>885</v>
      </c>
      <c r="BF17" s="41">
        <v>885</v>
      </c>
      <c r="BG17" s="41">
        <v>885</v>
      </c>
      <c r="BH17" s="41">
        <v>885</v>
      </c>
      <c r="BI17" s="41">
        <v>885</v>
      </c>
      <c r="BJ17" s="41">
        <v>885</v>
      </c>
      <c r="BK17" s="41">
        <v>885</v>
      </c>
      <c r="BL17" s="41">
        <v>885</v>
      </c>
      <c r="BM17" s="41">
        <v>885</v>
      </c>
      <c r="BN17" s="41">
        <v>885</v>
      </c>
      <c r="BO17" s="41">
        <v>885</v>
      </c>
      <c r="BP17" s="41">
        <v>885</v>
      </c>
      <c r="BQ17" s="41">
        <v>885</v>
      </c>
      <c r="BR17" s="41">
        <v>885</v>
      </c>
      <c r="BS17" s="41">
        <v>885</v>
      </c>
      <c r="BT17" s="41">
        <v>885</v>
      </c>
      <c r="BU17" s="41">
        <v>885</v>
      </c>
      <c r="BV17" s="41">
        <v>885</v>
      </c>
      <c r="BW17" s="41">
        <v>885</v>
      </c>
      <c r="BX17" s="41">
        <v>885</v>
      </c>
      <c r="BY17" s="41">
        <v>885</v>
      </c>
      <c r="BZ17" s="41">
        <v>885</v>
      </c>
      <c r="CA17" s="41">
        <v>885</v>
      </c>
      <c r="CB17" s="41">
        <v>885</v>
      </c>
      <c r="CC17" s="41">
        <v>885</v>
      </c>
      <c r="CD17" s="41">
        <v>885</v>
      </c>
      <c r="CE17" s="41">
        <v>885</v>
      </c>
      <c r="CF17" s="41">
        <v>885</v>
      </c>
      <c r="CG17" s="41">
        <v>885</v>
      </c>
      <c r="CH17" s="41">
        <v>885</v>
      </c>
      <c r="CI17" s="41">
        <v>885</v>
      </c>
      <c r="CJ17" s="41">
        <v>885</v>
      </c>
      <c r="CK17" s="41">
        <v>885</v>
      </c>
      <c r="CL17" s="41">
        <v>885</v>
      </c>
      <c r="CM17" s="41">
        <v>885</v>
      </c>
      <c r="CN17" s="41">
        <v>885</v>
      </c>
      <c r="CO17" s="41">
        <v>885</v>
      </c>
      <c r="CP17" s="41">
        <v>885</v>
      </c>
      <c r="CQ17" s="41">
        <v>885</v>
      </c>
      <c r="CR17" s="41">
        <v>885</v>
      </c>
      <c r="CS17" s="41">
        <v>885</v>
      </c>
      <c r="CT17" s="41">
        <v>885</v>
      </c>
      <c r="CU17" s="41">
        <v>885</v>
      </c>
      <c r="CV17" s="41">
        <v>885</v>
      </c>
      <c r="CW17" s="41">
        <v>885</v>
      </c>
      <c r="CX17" s="41">
        <v>885</v>
      </c>
      <c r="CY17" s="41">
        <v>885</v>
      </c>
      <c r="CZ17" s="41">
        <v>885</v>
      </c>
      <c r="DA17" s="41">
        <v>885</v>
      </c>
      <c r="DB17" s="41">
        <v>885</v>
      </c>
      <c r="DC17" s="41">
        <v>885</v>
      </c>
      <c r="DD17" s="41">
        <v>885</v>
      </c>
      <c r="DE17" s="41">
        <v>885</v>
      </c>
      <c r="DF17" s="41">
        <v>885</v>
      </c>
      <c r="DG17" s="41">
        <v>885</v>
      </c>
      <c r="DH17" s="41">
        <v>885</v>
      </c>
      <c r="DI17" s="41">
        <v>885</v>
      </c>
      <c r="DJ17" s="41">
        <v>885</v>
      </c>
      <c r="DK17" s="41">
        <v>885</v>
      </c>
      <c r="DL17" s="41">
        <v>885</v>
      </c>
      <c r="DM17" s="41">
        <v>885</v>
      </c>
      <c r="DN17" s="41">
        <v>885</v>
      </c>
      <c r="DO17" s="168">
        <v>861</v>
      </c>
      <c r="DP17" s="168">
        <v>861</v>
      </c>
      <c r="DQ17" s="168">
        <v>861</v>
      </c>
      <c r="DR17" s="168">
        <v>861</v>
      </c>
      <c r="DS17" s="168">
        <v>861</v>
      </c>
      <c r="DT17" s="168">
        <v>861</v>
      </c>
      <c r="DU17" s="168">
        <v>861</v>
      </c>
      <c r="DV17" s="168">
        <v>861</v>
      </c>
      <c r="DW17" s="168">
        <v>861</v>
      </c>
      <c r="DX17" s="168">
        <v>861</v>
      </c>
      <c r="DY17" s="168">
        <v>861</v>
      </c>
      <c r="DZ17" s="168">
        <v>861</v>
      </c>
      <c r="EA17" s="168">
        <v>861</v>
      </c>
      <c r="EB17" s="168">
        <v>794</v>
      </c>
      <c r="EC17" s="168">
        <v>794</v>
      </c>
      <c r="ED17" s="168">
        <v>794</v>
      </c>
      <c r="EE17" s="168">
        <v>794</v>
      </c>
      <c r="EF17" s="174">
        <v>836.80121639671654</v>
      </c>
      <c r="EG17" s="174">
        <v>836.80121639671654</v>
      </c>
      <c r="EH17" s="174">
        <v>836.80121639671654</v>
      </c>
      <c r="EI17" s="174">
        <v>836.80121639671654</v>
      </c>
      <c r="EJ17" s="174">
        <v>836.80121639671654</v>
      </c>
      <c r="EK17" s="174">
        <v>856</v>
      </c>
      <c r="EL17" s="174">
        <v>856</v>
      </c>
      <c r="EM17" s="174">
        <v>856</v>
      </c>
      <c r="EN17" s="174">
        <v>856</v>
      </c>
      <c r="EO17" s="41">
        <v>856.16419630615974</v>
      </c>
      <c r="EP17" s="41">
        <v>856.16419630615974</v>
      </c>
      <c r="EQ17" s="41">
        <v>856.16419630615974</v>
      </c>
      <c r="ER17" s="41">
        <v>856.16419630615974</v>
      </c>
      <c r="ES17" s="41">
        <v>856.16419630615974</v>
      </c>
      <c r="ET17" s="41">
        <v>856.16419630615974</v>
      </c>
      <c r="EU17" s="41">
        <v>856.16419630615974</v>
      </c>
      <c r="EV17" s="41">
        <v>856.16419630615974</v>
      </c>
      <c r="EW17" s="41">
        <v>856.16419630615974</v>
      </c>
      <c r="EX17" s="41">
        <v>827.7737832482228</v>
      </c>
      <c r="EY17" s="41">
        <v>827.7737832482228</v>
      </c>
      <c r="EZ17" s="41">
        <v>827.7737832482228</v>
      </c>
      <c r="FA17" s="41">
        <v>827.7737832482228</v>
      </c>
      <c r="FB17" s="41">
        <v>842.58758463763786</v>
      </c>
      <c r="FC17" s="41">
        <v>842.58758463763786</v>
      </c>
      <c r="FD17" s="41">
        <v>842.58758463763786</v>
      </c>
      <c r="FE17" s="41">
        <v>842.58758463763786</v>
      </c>
      <c r="FF17" s="41">
        <v>835.02956014903214</v>
      </c>
      <c r="FG17" s="41">
        <v>835.02956014903214</v>
      </c>
      <c r="FH17" s="41">
        <v>835.02956014903214</v>
      </c>
      <c r="FI17" s="41">
        <v>835.02956014903214</v>
      </c>
      <c r="FJ17" s="41">
        <v>835.02956014903214</v>
      </c>
      <c r="FK17" s="41">
        <v>835.02956014903214</v>
      </c>
      <c r="FL17" s="41">
        <v>835.02956014903214</v>
      </c>
      <c r="FM17" s="41">
        <v>835.02956014903214</v>
      </c>
      <c r="FN17" s="41">
        <v>821.92388317274299</v>
      </c>
      <c r="FO17" s="41">
        <v>821.92388317274299</v>
      </c>
      <c r="FP17" s="41">
        <v>821.92388317274299</v>
      </c>
      <c r="FQ17" s="41">
        <v>821.92388317274299</v>
      </c>
      <c r="FR17" s="41">
        <v>838</v>
      </c>
      <c r="FS17" s="41">
        <v>838</v>
      </c>
      <c r="FT17" s="41">
        <v>838</v>
      </c>
      <c r="FU17" s="41">
        <v>838</v>
      </c>
      <c r="FV17" s="41">
        <v>838</v>
      </c>
      <c r="FW17" s="41">
        <v>863.68590309795047</v>
      </c>
      <c r="FX17" s="41">
        <v>863.68590309795047</v>
      </c>
      <c r="FY17" s="41">
        <v>863.68590309795047</v>
      </c>
      <c r="FZ17" s="41">
        <v>863.68590309795047</v>
      </c>
      <c r="GA17" s="41">
        <v>864.84654926023097</v>
      </c>
      <c r="GB17" s="41">
        <v>864.84654926023097</v>
      </c>
      <c r="GC17" s="41">
        <v>864.84654926023097</v>
      </c>
      <c r="GD17" s="41">
        <v>864.84654926023097</v>
      </c>
      <c r="GE17" s="41">
        <v>864.84654926023097</v>
      </c>
      <c r="GF17" s="41">
        <v>864.84654926023097</v>
      </c>
      <c r="GG17" s="41">
        <v>864.84654926023097</v>
      </c>
      <c r="GH17" s="41">
        <v>864.84654926023097</v>
      </c>
      <c r="GI17" s="41">
        <v>864.84654926023097</v>
      </c>
      <c r="GJ17" s="41">
        <v>864.84654926023097</v>
      </c>
      <c r="GK17" s="41">
        <v>864.84654926023097</v>
      </c>
      <c r="GL17" s="41">
        <v>864.84654926023097</v>
      </c>
      <c r="GM17" s="41">
        <v>864.84654926023097</v>
      </c>
      <c r="GN17" s="41">
        <v>877</v>
      </c>
      <c r="GO17" s="41">
        <v>877</v>
      </c>
      <c r="GP17" s="41">
        <v>877</v>
      </c>
      <c r="GQ17" s="41">
        <v>877</v>
      </c>
      <c r="GR17" s="41">
        <v>877</v>
      </c>
      <c r="GS17" s="41">
        <v>899.20414893105215</v>
      </c>
      <c r="GT17" s="41">
        <v>899.20414893105215</v>
      </c>
      <c r="GU17" s="41">
        <v>899.20414893105215</v>
      </c>
      <c r="GV17" s="41">
        <v>899.20414893105215</v>
      </c>
      <c r="GW17" s="41">
        <v>896.54965726587238</v>
      </c>
      <c r="GX17" s="41">
        <v>896.54965726587238</v>
      </c>
      <c r="GY17" s="41">
        <v>896.54965726587238</v>
      </c>
      <c r="GZ17" s="41">
        <v>896.54965726587238</v>
      </c>
      <c r="HA17" s="41">
        <v>896.54965726587238</v>
      </c>
      <c r="HB17" s="41">
        <v>896.54965726587238</v>
      </c>
      <c r="HC17" s="41">
        <v>896.54965726587238</v>
      </c>
      <c r="HD17" s="41">
        <v>896.54965726587238</v>
      </c>
      <c r="HE17" s="41">
        <v>896.54965726587238</v>
      </c>
      <c r="HF17" s="41">
        <v>872.02588664698362</v>
      </c>
      <c r="HG17" s="41">
        <v>872.02588664698362</v>
      </c>
      <c r="HH17" s="41">
        <v>872.02588664698362</v>
      </c>
      <c r="HI17" s="41">
        <v>872.02588664698362</v>
      </c>
      <c r="HJ17" s="41">
        <v>886.41271510495631</v>
      </c>
      <c r="HK17" s="41">
        <v>886.41271510495631</v>
      </c>
      <c r="HL17" s="41">
        <v>886.41271510495631</v>
      </c>
      <c r="HM17" s="41">
        <v>886.41271510495631</v>
      </c>
      <c r="HN17" s="41">
        <v>955.23708175223555</v>
      </c>
      <c r="HO17" s="41">
        <v>955.23708175223555</v>
      </c>
      <c r="HP17" s="41">
        <v>955.23708175223555</v>
      </c>
      <c r="HQ17" s="41">
        <v>955.23708175223555</v>
      </c>
      <c r="HR17" s="41">
        <v>955.23708175223555</v>
      </c>
      <c r="HS17" s="41">
        <v>915.30164067795647</v>
      </c>
      <c r="HT17" s="41">
        <v>915.30164067795647</v>
      </c>
      <c r="HU17" s="41">
        <v>915.30164067795647</v>
      </c>
      <c r="HV17" s="41">
        <v>915.30164067795647</v>
      </c>
      <c r="HW17" s="41">
        <v>915.30164067795647</v>
      </c>
      <c r="HX17" s="41">
        <v>915.30164067795647</v>
      </c>
      <c r="HY17" s="41">
        <v>915.30164067795647</v>
      </c>
      <c r="HZ17" s="41">
        <v>915.30164067795647</v>
      </c>
      <c r="IA17" s="41">
        <v>915.30164067795647</v>
      </c>
      <c r="IB17" s="41">
        <v>915.30164067795647</v>
      </c>
      <c r="IC17" s="41">
        <v>915.30164067795647</v>
      </c>
      <c r="ID17" s="41">
        <v>915.30164067795647</v>
      </c>
      <c r="IE17" s="41">
        <v>915.30164067795647</v>
      </c>
    </row>
    <row r="18" spans="6:239" ht="15.5">
      <c r="F18" s="1" t="s">
        <v>114</v>
      </c>
      <c r="H18" s="64"/>
      <c r="BC18" s="1" t="s">
        <v>114</v>
      </c>
      <c r="CW18" s="1">
        <v>810</v>
      </c>
      <c r="CX18" s="1">
        <v>810</v>
      </c>
      <c r="CY18" s="1">
        <v>810</v>
      </c>
      <c r="CZ18" s="1">
        <v>810</v>
      </c>
      <c r="DA18" s="1">
        <v>810</v>
      </c>
      <c r="DB18" s="1">
        <v>810</v>
      </c>
      <c r="DC18" s="1">
        <v>810</v>
      </c>
      <c r="DD18" s="1">
        <v>810</v>
      </c>
      <c r="DE18" s="1">
        <v>810</v>
      </c>
      <c r="DF18" s="1">
        <v>810</v>
      </c>
      <c r="DG18" s="1">
        <v>810</v>
      </c>
      <c r="DH18" s="1">
        <f>'Ma trận giá bán vảy PP'!BA6</f>
        <v>840</v>
      </c>
      <c r="DI18" s="1">
        <f>'Ma trận giá bán vảy PP'!BB6</f>
        <v>840</v>
      </c>
      <c r="DJ18" s="1">
        <f>'Ma trận giá bán vảy PP'!BC6</f>
        <v>840</v>
      </c>
      <c r="DK18" s="1">
        <f>'Ma trận giá bán vảy PP'!BD6</f>
        <v>880</v>
      </c>
      <c r="DL18" s="1">
        <f>'Ma trận giá bán vảy PP'!BE6</f>
        <v>880</v>
      </c>
      <c r="DM18" s="1">
        <f>'Ma trận giá bán vảy PP'!BF6</f>
        <v>880</v>
      </c>
      <c r="DN18" s="1">
        <v>880</v>
      </c>
      <c r="DO18" s="1">
        <v>900</v>
      </c>
      <c r="DP18" s="1">
        <v>900</v>
      </c>
      <c r="DQ18" s="1">
        <v>900</v>
      </c>
      <c r="DR18" s="1">
        <v>900</v>
      </c>
      <c r="DS18" s="1">
        <v>900</v>
      </c>
      <c r="DT18" s="1">
        <v>900</v>
      </c>
      <c r="DU18" s="1">
        <v>900</v>
      </c>
      <c r="DV18" s="1">
        <v>900</v>
      </c>
      <c r="DW18" s="1">
        <v>900</v>
      </c>
      <c r="DX18" s="1">
        <v>900</v>
      </c>
      <c r="DY18" s="1">
        <v>900</v>
      </c>
      <c r="DZ18" s="1">
        <v>900</v>
      </c>
      <c r="EA18" s="1">
        <v>900</v>
      </c>
      <c r="EB18" s="1">
        <v>900</v>
      </c>
      <c r="EC18" s="1">
        <v>900</v>
      </c>
      <c r="ED18" s="1">
        <v>900</v>
      </c>
      <c r="EE18" s="1">
        <v>900</v>
      </c>
      <c r="EF18" s="1">
        <v>900</v>
      </c>
      <c r="EG18" s="1">
        <v>900</v>
      </c>
      <c r="EH18" s="1">
        <v>900</v>
      </c>
      <c r="EI18" s="1">
        <v>900</v>
      </c>
      <c r="EJ18" s="1">
        <v>900</v>
      </c>
      <c r="EK18" s="1">
        <v>860</v>
      </c>
      <c r="EL18" s="1">
        <v>860</v>
      </c>
      <c r="EM18" s="1">
        <v>860</v>
      </c>
      <c r="EN18" s="1">
        <f>'Ma trận giá bán vảy PP'!CG6</f>
        <v>860</v>
      </c>
      <c r="EO18" s="1">
        <f>'Ma trận giá bán vảy PP'!CH6</f>
        <v>855</v>
      </c>
      <c r="EP18" s="1">
        <f>'Ma trận giá bán vảy PP'!CI6</f>
        <v>855</v>
      </c>
      <c r="EQ18" s="1">
        <f>'Ma trận giá bán vảy PP'!CJ6</f>
        <v>855</v>
      </c>
      <c r="ER18" s="1">
        <f>'Ma trận giá bán vảy PP'!CK6</f>
        <v>855</v>
      </c>
      <c r="ES18" s="1">
        <f>'Ma trận giá bán vảy PP'!CL6</f>
        <v>855</v>
      </c>
      <c r="ET18" s="1">
        <f>'Ma trận giá bán vảy PP'!CM6</f>
        <v>855</v>
      </c>
      <c r="EU18" s="1">
        <f>'Ma trận giá bán vảy PP'!CN6</f>
        <v>855</v>
      </c>
      <c r="EV18" s="1">
        <f>'Ma trận giá bán vảy PP'!CO6</f>
        <v>855</v>
      </c>
      <c r="EW18" s="1">
        <f>'Ma trận giá bán vảy PP'!CP6</f>
        <v>855</v>
      </c>
      <c r="EX18" s="1">
        <f>'Ma trận giá bán vảy PP'!CQ6</f>
        <v>855</v>
      </c>
      <c r="EY18" s="1">
        <f>'Ma trận giá bán vảy PP'!CR6</f>
        <v>855</v>
      </c>
      <c r="EZ18" s="1">
        <f>'Ma trận giá bán vảy PP'!CS6</f>
        <v>855</v>
      </c>
      <c r="FA18" s="1">
        <f>'Ma trận giá bán vảy PP'!CT6</f>
        <v>855</v>
      </c>
      <c r="FB18" s="1">
        <f>'Ma trận giá bán vảy PP'!CU6</f>
        <v>855</v>
      </c>
      <c r="FC18" s="1">
        <f>'Ma trận giá bán vảy PP'!CV6</f>
        <v>855</v>
      </c>
      <c r="FD18" s="1">
        <f>'Ma trận giá bán vảy PP'!CW6</f>
        <v>855</v>
      </c>
      <c r="FE18" s="1">
        <f>'Ma trận giá bán vảy PP'!CX6</f>
        <v>855</v>
      </c>
      <c r="FF18" s="1">
        <f>'Ma trận giá bán vảy PP'!CY6</f>
        <v>780</v>
      </c>
      <c r="FG18" s="1">
        <f>'Ma trận giá bán vảy PP'!CZ6</f>
        <v>780</v>
      </c>
      <c r="FH18" s="1">
        <f>'Ma trận giá bán vảy PP'!DA6</f>
        <v>780</v>
      </c>
      <c r="FI18" s="1">
        <f>'Ma trận giá bán vảy PP'!DB6</f>
        <v>780</v>
      </c>
      <c r="FJ18" s="1">
        <f>'Ma trận giá bán vảy PP'!DC6</f>
        <v>790</v>
      </c>
      <c r="FK18" s="1">
        <f>'Ma trận giá bán vảy PP'!DD6</f>
        <v>790</v>
      </c>
      <c r="FL18" s="1">
        <f>'Ma trận giá bán vảy PP'!DE6</f>
        <v>790</v>
      </c>
      <c r="FM18" s="1">
        <f>'Ma trận giá bán vảy PP'!DF6</f>
        <v>790</v>
      </c>
      <c r="FN18" s="1">
        <f>'Ma trận giá bán vảy PP'!DG6</f>
        <v>785</v>
      </c>
      <c r="FO18" s="1">
        <f>'Ma trận giá bán vảy PP'!DH6</f>
        <v>785</v>
      </c>
      <c r="FP18" s="1">
        <f>'Ma trận giá bán vảy PP'!DI6</f>
        <v>785</v>
      </c>
      <c r="FQ18" s="1">
        <f>'Ma trận giá bán vảy PP'!DJ6</f>
        <v>785</v>
      </c>
      <c r="FR18" s="1">
        <f>'Ma trận giá bán vảy PP'!DK6</f>
        <v>765</v>
      </c>
      <c r="FS18" s="1">
        <f>'Ma trận giá bán vảy PP'!DL6</f>
        <v>765</v>
      </c>
      <c r="FT18" s="1">
        <f>'Ma trận giá bán vảy PP'!DM6</f>
        <v>765</v>
      </c>
      <c r="FU18" s="1">
        <f>'Ma trận giá bán vảy PP'!DN6</f>
        <v>765</v>
      </c>
      <c r="FV18" s="1">
        <f>'Ma trận giá bán vảy PP'!DO6</f>
        <v>765</v>
      </c>
      <c r="FW18" s="1">
        <f>'Ma trận giá bán vảy PP'!DP6</f>
        <v>765</v>
      </c>
      <c r="FX18" s="1">
        <f>'Ma trận giá bán vảy PP'!DQ6</f>
        <v>765</v>
      </c>
      <c r="FY18" s="1">
        <f>'Ma trận giá bán vảy PP'!DR6</f>
        <v>765</v>
      </c>
      <c r="FZ18" s="1">
        <f>'Ma trận giá bán vảy PP'!DS6</f>
        <v>765</v>
      </c>
      <c r="GA18" s="1">
        <f>'Ma trận giá bán vảy PP'!DT6</f>
        <v>680</v>
      </c>
      <c r="GB18" s="1">
        <f>'Ma trận giá bán vảy PP'!DU6</f>
        <v>680</v>
      </c>
      <c r="GC18" s="1">
        <f>'Ma trận giá bán vảy PP'!DV6</f>
        <v>680</v>
      </c>
      <c r="GD18" s="1">
        <f>'Ma trận giá bán vảy PP'!DW6</f>
        <v>680</v>
      </c>
      <c r="GE18" s="1">
        <f>'Ma trận giá bán vảy PP'!DX6</f>
        <v>680</v>
      </c>
      <c r="GF18" s="1">
        <f>'Ma trận giá bán vảy PP'!DY6</f>
        <v>660</v>
      </c>
      <c r="GG18" s="1">
        <f>'Ma trận giá bán vảy PP'!DZ6</f>
        <v>660</v>
      </c>
      <c r="GH18" s="1">
        <f>'Ma trận giá bán vảy PP'!EA6</f>
        <v>660</v>
      </c>
      <c r="GI18" s="1">
        <f>'Ma trận giá bán vảy PP'!EB6</f>
        <v>660</v>
      </c>
      <c r="GJ18" s="1">
        <f>'Ma trận giá bán vảy PP'!EC6</f>
        <v>660</v>
      </c>
      <c r="GK18" s="1">
        <f>'Ma trận giá bán vảy PP'!ED6</f>
        <v>660</v>
      </c>
      <c r="GL18" s="1">
        <f>'Ma trận giá bán vảy PP'!EE6</f>
        <v>660</v>
      </c>
      <c r="GM18" s="1">
        <f>'Ma trận giá bán vảy PP'!EF6</f>
        <v>660</v>
      </c>
      <c r="GN18" s="1">
        <f>'Ma trận giá bán vảy PP'!EG6</f>
        <v>650</v>
      </c>
      <c r="GO18" s="1">
        <f>'Ma trận giá bán vảy PP'!EH6</f>
        <v>650</v>
      </c>
      <c r="GP18" s="1">
        <f>'Ma trận giá bán vảy PP'!EI6</f>
        <v>650</v>
      </c>
      <c r="GQ18" s="1">
        <f>'Ma trận giá bán vảy PP'!EJ6</f>
        <v>650</v>
      </c>
      <c r="GR18" s="1">
        <f>'Ma trận giá bán vảy PP'!EK6</f>
        <v>650</v>
      </c>
      <c r="GS18" s="1">
        <f>'Ma trận giá bán vảy PP'!EL6</f>
        <v>650</v>
      </c>
      <c r="GT18" s="1">
        <f>'Ma trận giá bán vảy PP'!EM6</f>
        <v>650</v>
      </c>
      <c r="GU18" s="1">
        <f>'Ma trận giá bán vảy PP'!EN6</f>
        <v>650</v>
      </c>
      <c r="GV18" s="1">
        <f>'Ma trận giá bán vảy PP'!EO6</f>
        <v>650</v>
      </c>
      <c r="GW18" s="1">
        <f>'Ma trận giá bán vảy PP'!EP6</f>
        <v>650</v>
      </c>
      <c r="GX18" s="1">
        <f>'Ma trận giá bán vảy PP'!EQ6</f>
        <v>650</v>
      </c>
      <c r="GY18" s="1">
        <f>'Ma trận giá bán vảy PP'!ER6</f>
        <v>650</v>
      </c>
      <c r="GZ18" s="1">
        <f>'Ma trận giá bán vảy PP'!ES6</f>
        <v>650</v>
      </c>
      <c r="HA18" s="1">
        <f>'Ma trận giá bán vảy PP'!ET6</f>
        <v>650</v>
      </c>
      <c r="HB18" s="1">
        <f>'Ma trận giá bán vảy PP'!EU6</f>
        <v>650</v>
      </c>
      <c r="HC18" s="1">
        <f>'Ma trận giá bán vảy PP'!EV6</f>
        <v>650</v>
      </c>
      <c r="HD18" s="1">
        <f>'Ma trận giá bán vảy PP'!EW6</f>
        <v>650</v>
      </c>
      <c r="HE18" s="1">
        <f>'Ma trận giá bán vảy PP'!EX6</f>
        <v>650</v>
      </c>
      <c r="HF18" s="185">
        <f>'Ma trận giá bán vảy PP'!EY6</f>
        <v>650</v>
      </c>
      <c r="HG18" s="185">
        <f>'Ma trận giá bán vảy PP'!EZ6</f>
        <v>650</v>
      </c>
      <c r="HH18" s="185">
        <f>'Ma trận giá bán vảy PP'!FA6</f>
        <v>650</v>
      </c>
      <c r="HI18" s="185">
        <f>'Ma trận giá bán vảy PP'!FB6</f>
        <v>650</v>
      </c>
      <c r="HJ18" s="185">
        <f>'Ma trận giá bán vảy PP'!FC6</f>
        <v>680</v>
      </c>
      <c r="HK18" s="185">
        <f>'Ma trận giá bán vảy PP'!FD6</f>
        <v>680</v>
      </c>
      <c r="HL18" s="185">
        <f>'Ma trận giá bán vảy PP'!FE6</f>
        <v>730</v>
      </c>
      <c r="HM18" s="185">
        <f>'Ma trận giá bán vảy PP'!FF6</f>
        <v>730</v>
      </c>
      <c r="HN18" s="185">
        <f>'Ma trận giá bán vảy PP'!FG6</f>
        <v>1120</v>
      </c>
      <c r="HO18" s="185">
        <f>'Ma trận giá bán vảy PP'!FH6</f>
        <v>1120</v>
      </c>
      <c r="HP18" s="185">
        <f>'Ma trận giá bán vảy PP'!FI6</f>
        <v>1120</v>
      </c>
      <c r="HQ18" s="185">
        <f>'Ma trận giá bán vảy PP'!FJ6</f>
        <v>1120</v>
      </c>
      <c r="HR18" s="185">
        <f>'Ma trận giá bán vảy PP'!FK6</f>
        <v>1120</v>
      </c>
      <c r="HS18" s="185">
        <f>'Ma trận giá bán vảy PP'!FL6</f>
        <v>1155</v>
      </c>
      <c r="HT18" s="185">
        <f>'Ma trận giá bán vảy PP'!FM6</f>
        <v>1155</v>
      </c>
      <c r="HU18" s="185">
        <f>'Ma trận giá bán vảy PP'!FN6</f>
        <v>1155</v>
      </c>
      <c r="HV18" s="185">
        <f>'Ma trận giá bán vảy PP'!FO6</f>
        <v>1155</v>
      </c>
      <c r="HW18" s="185">
        <f>'Ma trận giá bán vảy PP'!FP6</f>
        <v>1015</v>
      </c>
      <c r="HX18" s="185">
        <f>'Ma trận giá bán vảy PP'!FQ6</f>
        <v>1015</v>
      </c>
      <c r="HY18" s="185">
        <f>'Ma trận giá bán vảy PP'!FR6</f>
        <v>1015</v>
      </c>
      <c r="HZ18" s="185">
        <f>'Ma trận giá bán vảy PP'!FS6</f>
        <v>1015</v>
      </c>
      <c r="IA18" s="185">
        <f>'Ma trận giá bán vảy PP'!FT6</f>
        <v>950</v>
      </c>
      <c r="IB18" s="185">
        <f>'Ma trận giá bán vảy PP'!FU6</f>
        <v>950</v>
      </c>
      <c r="IC18" s="185">
        <f>'Ma trận giá bán vảy PP'!FV6</f>
        <v>950</v>
      </c>
      <c r="ID18" s="185">
        <f>'Ma trận giá bán vảy PP'!FW6</f>
        <v>950</v>
      </c>
      <c r="IE18" s="185">
        <f>'Ma trận giá bán vảy PP'!FX6</f>
        <v>950</v>
      </c>
    </row>
    <row r="19" spans="6:239" ht="15">
      <c r="F19" s="62"/>
      <c r="H19" s="62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</row>
    <row r="31" spans="6:239">
      <c r="F31" s="32"/>
      <c r="G31" s="32"/>
      <c r="H31" s="32"/>
    </row>
    <row r="32" spans="6:239">
      <c r="F32" s="32"/>
      <c r="G32" s="32"/>
      <c r="H32" s="32"/>
    </row>
    <row r="33" spans="6:8">
      <c r="F33" s="32"/>
      <c r="G33" s="32"/>
      <c r="H33" s="32"/>
    </row>
    <row r="34" spans="6:8">
      <c r="F34" s="32"/>
      <c r="G34" s="32"/>
      <c r="H34" s="32"/>
    </row>
    <row r="35" spans="6:8">
      <c r="F35" s="31"/>
      <c r="G35" s="32"/>
      <c r="H35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BB5B-408A-4E4D-98FD-DEDF4C5E225C}">
  <sheetPr>
    <tabColor rgb="FF2CD8D4"/>
  </sheetPr>
  <dimension ref="A1:V72"/>
  <sheetViews>
    <sheetView topLeftCell="A49" zoomScale="80" zoomScaleNormal="80" workbookViewId="0">
      <selection activeCell="H35" sqref="H35"/>
    </sheetView>
  </sheetViews>
  <sheetFormatPr defaultColWidth="8.81640625" defaultRowHeight="14.5"/>
  <cols>
    <col min="1" max="16384" width="8.81640625" style="122"/>
  </cols>
  <sheetData>
    <row r="1" spans="1:1">
      <c r="A1" s="122" t="e" vm="1">
        <v>#VALUE!</v>
      </c>
    </row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CA19-A703-4DEE-B4A1-A163BF41AE5A}">
  <sheetPr>
    <tabColor rgb="FF2CD8D4"/>
  </sheetPr>
  <dimension ref="V71:V72"/>
  <sheetViews>
    <sheetView topLeftCell="A52" zoomScale="80" zoomScaleNormal="80" workbookViewId="0">
      <selection activeCell="I37" sqref="I37"/>
    </sheetView>
  </sheetViews>
  <sheetFormatPr defaultColWidth="8.81640625" defaultRowHeight="14.5"/>
  <cols>
    <col min="1" max="16384" width="8.81640625" style="122"/>
  </cols>
  <sheetData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0F9B-8E8B-4919-9C3C-F61FC3463B66}">
  <dimension ref="A1:FX27"/>
  <sheetViews>
    <sheetView showGridLines="0" topLeftCell="D3" zoomScale="90" zoomScaleNormal="90" workbookViewId="0">
      <pane xSplit="3" ySplit="3" topLeftCell="ET6" activePane="bottomRight" state="frozen"/>
      <selection activeCell="HC36" sqref="HC36"/>
      <selection pane="topRight" activeCell="HC36" sqref="HC36"/>
      <selection pane="bottomLeft" activeCell="HC36" sqref="HC36"/>
      <selection pane="bottomRight" activeCell="FV15" sqref="FV15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6.81640625" style="1" customWidth="1"/>
    <col min="5" max="5" width="33.1796875" style="1" hidden="1" customWidth="1"/>
    <col min="6" max="6" width="40.453125" style="1" hidden="1" customWidth="1"/>
    <col min="7" max="7" width="10.54296875" style="1" hidden="1" customWidth="1"/>
    <col min="8" max="8" width="14.81640625" style="1" customWidth="1"/>
    <col min="9" max="9" width="9.81640625" style="1" hidden="1" customWidth="1"/>
    <col min="10" max="21" width="8" style="1" hidden="1" customWidth="1"/>
    <col min="22" max="40" width="8" style="1" customWidth="1"/>
    <col min="41" max="42" width="9.1796875" style="1"/>
    <col min="43" max="43" width="15.1796875" style="1" customWidth="1"/>
    <col min="44" max="54" width="0" style="1" hidden="1" customWidth="1"/>
    <col min="55" max="149" width="8.1796875" style="1" hidden="1" customWidth="1"/>
    <col min="150" max="180" width="7.7265625" style="1" customWidth="1"/>
    <col min="181" max="16384" width="9.1796875" style="1"/>
  </cols>
  <sheetData>
    <row r="1" spans="1:180" hidden="1"/>
    <row r="2" spans="1:180" hidden="1"/>
    <row r="3" spans="1:180" ht="19.399999999999999" customHeight="1">
      <c r="F3" s="15"/>
      <c r="H3" s="15" t="s">
        <v>118</v>
      </c>
      <c r="AW3" s="170">
        <v>2024</v>
      </c>
      <c r="CU3" s="170">
        <v>2025</v>
      </c>
    </row>
    <row r="4" spans="1:180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24000</v>
      </c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R4" s="74">
        <v>24000</v>
      </c>
      <c r="AS4" s="74">
        <v>24000</v>
      </c>
      <c r="AT4" s="74">
        <v>24000</v>
      </c>
      <c r="AU4" s="74">
        <v>24000</v>
      </c>
      <c r="AV4" s="74">
        <v>24000</v>
      </c>
      <c r="AW4" s="74">
        <v>24000</v>
      </c>
      <c r="AX4" s="74">
        <v>24000</v>
      </c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ET4" s="178">
        <v>2026</v>
      </c>
    </row>
    <row r="5" spans="1:180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86" t="s">
        <v>119</v>
      </c>
      <c r="J5" s="86" t="s">
        <v>122</v>
      </c>
      <c r="K5" s="86">
        <v>2</v>
      </c>
      <c r="L5" s="86">
        <v>3</v>
      </c>
      <c r="M5" s="86">
        <v>4</v>
      </c>
      <c r="N5" s="86">
        <v>5</v>
      </c>
      <c r="O5" s="86">
        <v>6</v>
      </c>
      <c r="P5" s="86">
        <v>7</v>
      </c>
      <c r="Q5" s="86">
        <v>8</v>
      </c>
      <c r="R5" s="86">
        <v>9</v>
      </c>
      <c r="S5" s="86">
        <v>10</v>
      </c>
      <c r="T5" s="86">
        <v>11</v>
      </c>
      <c r="U5" s="86">
        <v>12</v>
      </c>
      <c r="V5" s="86" t="s">
        <v>169</v>
      </c>
      <c r="W5" s="86">
        <v>2</v>
      </c>
      <c r="X5" s="86">
        <v>3</v>
      </c>
      <c r="Y5" s="86">
        <v>4</v>
      </c>
      <c r="Z5" s="86">
        <v>5</v>
      </c>
      <c r="AA5" s="86">
        <v>6</v>
      </c>
      <c r="AB5" s="86">
        <v>7</v>
      </c>
      <c r="AC5" s="86">
        <v>8</v>
      </c>
      <c r="AD5" s="86">
        <v>9</v>
      </c>
      <c r="AE5" s="86">
        <v>10</v>
      </c>
      <c r="AF5" s="86">
        <v>11</v>
      </c>
      <c r="AG5" s="86">
        <v>12</v>
      </c>
      <c r="AH5" s="86" t="s">
        <v>193</v>
      </c>
      <c r="AI5" s="86">
        <v>2</v>
      </c>
      <c r="AJ5" s="86">
        <v>3</v>
      </c>
      <c r="AK5" s="86">
        <v>4</v>
      </c>
      <c r="AL5" s="86">
        <v>5</v>
      </c>
      <c r="AM5" s="86">
        <v>6</v>
      </c>
      <c r="AN5" s="86">
        <v>7</v>
      </c>
      <c r="AP5" s="34" t="s">
        <v>5</v>
      </c>
      <c r="AQ5" s="33" t="s">
        <v>2</v>
      </c>
      <c r="AR5" s="101">
        <v>48</v>
      </c>
      <c r="AS5" s="101">
        <v>49</v>
      </c>
      <c r="AT5" s="101">
        <v>50</v>
      </c>
      <c r="AU5" s="101">
        <v>51</v>
      </c>
      <c r="AV5" s="101">
        <v>52</v>
      </c>
      <c r="AW5" s="90" t="s">
        <v>121</v>
      </c>
      <c r="AX5" s="90" t="s">
        <v>123</v>
      </c>
      <c r="AY5" s="90" t="s">
        <v>124</v>
      </c>
      <c r="AZ5" s="90" t="s">
        <v>125</v>
      </c>
      <c r="BA5" s="90" t="s">
        <v>126</v>
      </c>
      <c r="BB5" s="90" t="s">
        <v>142</v>
      </c>
      <c r="BC5" s="90" t="s">
        <v>143</v>
      </c>
      <c r="BD5" s="90" t="s">
        <v>144</v>
      </c>
      <c r="BE5" s="90" t="s">
        <v>145</v>
      </c>
      <c r="BF5" s="90" t="s">
        <v>146</v>
      </c>
      <c r="BG5" s="90" t="s">
        <v>147</v>
      </c>
      <c r="BH5" s="90" t="s">
        <v>148</v>
      </c>
      <c r="BI5" s="90" t="s">
        <v>149</v>
      </c>
      <c r="BJ5" s="90" t="s">
        <v>150</v>
      </c>
      <c r="BK5" s="90" t="s">
        <v>151</v>
      </c>
      <c r="BL5" s="90" t="s">
        <v>152</v>
      </c>
      <c r="BM5" s="90" t="s">
        <v>153</v>
      </c>
      <c r="BN5" s="90" t="s">
        <v>154</v>
      </c>
      <c r="BO5" s="90" t="s">
        <v>155</v>
      </c>
      <c r="BP5" s="90" t="s">
        <v>157</v>
      </c>
      <c r="BQ5" s="90" t="s">
        <v>158</v>
      </c>
      <c r="BR5" s="90" t="s">
        <v>159</v>
      </c>
      <c r="BS5" s="90" t="s">
        <v>160</v>
      </c>
      <c r="BT5" s="90" t="s">
        <v>161</v>
      </c>
      <c r="BU5" s="90" t="s">
        <v>162</v>
      </c>
      <c r="BV5" s="90" t="s">
        <v>163</v>
      </c>
      <c r="BW5" s="90" t="s">
        <v>164</v>
      </c>
      <c r="BX5" s="90" t="s">
        <v>165</v>
      </c>
      <c r="BY5" s="90" t="s">
        <v>166</v>
      </c>
      <c r="BZ5" s="90" t="s">
        <v>167</v>
      </c>
      <c r="CA5" s="90" t="s">
        <v>168</v>
      </c>
      <c r="CB5" s="90">
        <v>34</v>
      </c>
      <c r="CC5" s="90">
        <v>35</v>
      </c>
      <c r="CD5" s="90">
        <v>36</v>
      </c>
      <c r="CE5" s="90">
        <v>37</v>
      </c>
      <c r="CF5" s="90">
        <v>38</v>
      </c>
      <c r="CG5" s="90">
        <v>39</v>
      </c>
      <c r="CH5" s="90">
        <v>40</v>
      </c>
      <c r="CI5" s="90">
        <v>41</v>
      </c>
      <c r="CJ5" s="90">
        <v>42</v>
      </c>
      <c r="CK5" s="90">
        <v>43</v>
      </c>
      <c r="CL5" s="90">
        <v>44</v>
      </c>
      <c r="CM5" s="90">
        <v>45</v>
      </c>
      <c r="CN5" s="90">
        <v>46</v>
      </c>
      <c r="CO5" s="90">
        <v>47</v>
      </c>
      <c r="CP5" s="90">
        <v>48</v>
      </c>
      <c r="CQ5" s="90">
        <v>49</v>
      </c>
      <c r="CR5" s="90">
        <v>50</v>
      </c>
      <c r="CS5" s="90">
        <v>51</v>
      </c>
      <c r="CT5" s="90">
        <v>52</v>
      </c>
      <c r="CU5" s="90" t="s">
        <v>121</v>
      </c>
      <c r="CV5" s="90" t="s">
        <v>123</v>
      </c>
      <c r="CW5" s="90" t="s">
        <v>124</v>
      </c>
      <c r="CX5" s="90" t="s">
        <v>125</v>
      </c>
      <c r="CY5" s="90" t="s">
        <v>170</v>
      </c>
      <c r="CZ5" s="90" t="s">
        <v>172</v>
      </c>
      <c r="DA5" s="90" t="s">
        <v>142</v>
      </c>
      <c r="DB5" s="90" t="s">
        <v>143</v>
      </c>
      <c r="DC5" s="90" t="s">
        <v>144</v>
      </c>
      <c r="DD5" s="90" t="s">
        <v>145</v>
      </c>
      <c r="DE5" s="90" t="s">
        <v>146</v>
      </c>
      <c r="DF5" s="90" t="s">
        <v>147</v>
      </c>
      <c r="DG5" s="90" t="s">
        <v>148</v>
      </c>
      <c r="DH5" s="90" t="s">
        <v>149</v>
      </c>
      <c r="DI5" s="90" t="s">
        <v>150</v>
      </c>
      <c r="DJ5" s="90" t="s">
        <v>151</v>
      </c>
      <c r="DK5" s="90" t="s">
        <v>152</v>
      </c>
      <c r="DL5" s="90" t="s">
        <v>153</v>
      </c>
      <c r="DM5" s="90" t="s">
        <v>154</v>
      </c>
      <c r="DN5" s="90" t="s">
        <v>155</v>
      </c>
      <c r="DO5" s="90" t="s">
        <v>157</v>
      </c>
      <c r="DP5" s="90" t="s">
        <v>158</v>
      </c>
      <c r="DQ5" s="90" t="s">
        <v>159</v>
      </c>
      <c r="DR5" s="90" t="s">
        <v>160</v>
      </c>
      <c r="DS5" s="90" t="s">
        <v>161</v>
      </c>
      <c r="DT5" s="90" t="s">
        <v>162</v>
      </c>
      <c r="DU5" s="90" t="s">
        <v>163</v>
      </c>
      <c r="DV5" s="90" t="s">
        <v>164</v>
      </c>
      <c r="DW5" s="90" t="s">
        <v>165</v>
      </c>
      <c r="DX5" s="90" t="s">
        <v>166</v>
      </c>
      <c r="DY5" s="90" t="s">
        <v>167</v>
      </c>
      <c r="DZ5" s="90" t="s">
        <v>168</v>
      </c>
      <c r="EA5" s="90" t="s">
        <v>174</v>
      </c>
      <c r="EB5" s="90" t="s">
        <v>175</v>
      </c>
      <c r="EC5" s="90" t="s">
        <v>176</v>
      </c>
      <c r="ED5" s="90" t="s">
        <v>177</v>
      </c>
      <c r="EE5" s="90" t="s">
        <v>178</v>
      </c>
      <c r="EF5" s="90" t="s">
        <v>179</v>
      </c>
      <c r="EG5" s="90">
        <v>40</v>
      </c>
      <c r="EH5" s="90">
        <v>41</v>
      </c>
      <c r="EI5" s="90">
        <v>42</v>
      </c>
      <c r="EJ5" s="90">
        <v>43</v>
      </c>
      <c r="EK5" s="90">
        <v>44</v>
      </c>
      <c r="EL5" s="90">
        <v>45</v>
      </c>
      <c r="EM5" s="90">
        <v>46</v>
      </c>
      <c r="EN5" s="90">
        <v>47</v>
      </c>
      <c r="EO5" s="90">
        <v>48</v>
      </c>
      <c r="EP5" s="90">
        <v>49</v>
      </c>
      <c r="EQ5" s="90">
        <v>50</v>
      </c>
      <c r="ER5" s="90">
        <v>51</v>
      </c>
      <c r="ES5" s="90">
        <v>52</v>
      </c>
      <c r="ET5" s="90" t="s">
        <v>121</v>
      </c>
      <c r="EU5" s="90" t="s">
        <v>123</v>
      </c>
      <c r="EV5" s="90" t="s">
        <v>124</v>
      </c>
      <c r="EW5" s="90" t="s">
        <v>125</v>
      </c>
      <c r="EX5" s="90" t="s">
        <v>126</v>
      </c>
      <c r="EY5" s="90" t="s">
        <v>170</v>
      </c>
      <c r="EZ5" s="90" t="s">
        <v>172</v>
      </c>
      <c r="FA5" s="90" t="s">
        <v>142</v>
      </c>
      <c r="FB5" s="90" t="s">
        <v>143</v>
      </c>
      <c r="FC5" s="182">
        <v>10</v>
      </c>
      <c r="FD5" s="182">
        <v>11</v>
      </c>
      <c r="FE5" s="182">
        <v>12</v>
      </c>
      <c r="FF5" s="182">
        <v>13</v>
      </c>
      <c r="FG5" s="182">
        <v>14</v>
      </c>
      <c r="FH5" s="182">
        <v>15</v>
      </c>
      <c r="FI5" s="182">
        <v>16</v>
      </c>
      <c r="FJ5" s="182">
        <v>17</v>
      </c>
      <c r="FK5" s="182">
        <v>18</v>
      </c>
      <c r="FL5" s="182">
        <v>19</v>
      </c>
      <c r="FM5" s="182">
        <v>20</v>
      </c>
      <c r="FN5" s="182">
        <v>21</v>
      </c>
      <c r="FO5" s="182">
        <v>22</v>
      </c>
      <c r="FP5" s="182">
        <v>23</v>
      </c>
      <c r="FQ5" s="182">
        <v>24</v>
      </c>
      <c r="FR5" s="182">
        <v>25</v>
      </c>
      <c r="FS5" s="182">
        <v>26</v>
      </c>
      <c r="FT5" s="182">
        <v>27</v>
      </c>
      <c r="FU5" s="182">
        <v>28</v>
      </c>
      <c r="FV5" s="182">
        <v>29</v>
      </c>
      <c r="FW5" s="182">
        <v>30</v>
      </c>
      <c r="FX5" s="182">
        <v>31</v>
      </c>
    </row>
    <row r="6" spans="1:180" ht="14">
      <c r="A6" s="9">
        <v>5</v>
      </c>
      <c r="B6" s="11" t="s">
        <v>25</v>
      </c>
      <c r="C6" s="11" t="s">
        <v>26</v>
      </c>
      <c r="D6" s="9"/>
      <c r="E6" s="11" t="s">
        <v>28</v>
      </c>
      <c r="F6" s="11" t="s">
        <v>29</v>
      </c>
      <c r="G6" s="9" t="s">
        <v>24</v>
      </c>
      <c r="H6" s="11" t="s">
        <v>137</v>
      </c>
      <c r="I6" s="50">
        <v>810</v>
      </c>
      <c r="J6" s="50">
        <v>810</v>
      </c>
      <c r="K6" s="50">
        <v>840</v>
      </c>
      <c r="L6" s="50">
        <v>880</v>
      </c>
      <c r="M6" s="50">
        <v>900</v>
      </c>
      <c r="N6" s="50">
        <v>900</v>
      </c>
      <c r="O6" s="50">
        <v>900</v>
      </c>
      <c r="P6" s="50">
        <v>900</v>
      </c>
      <c r="Q6" s="50">
        <v>900</v>
      </c>
      <c r="R6" s="50">
        <v>860</v>
      </c>
      <c r="S6" s="50">
        <v>855</v>
      </c>
      <c r="T6" s="50">
        <v>855</v>
      </c>
      <c r="U6" s="50">
        <v>855</v>
      </c>
      <c r="V6" s="50">
        <f>+SUM(CU6:CX6)/COUNT(CU6:CX6)</f>
        <v>855</v>
      </c>
      <c r="W6" s="50">
        <f>+SUM(CY6:DB6)/COUNT(CY6:DB6)</f>
        <v>780</v>
      </c>
      <c r="X6" s="50">
        <f>+SUM(DC6:DF6)/COUNT(DC6:DF6)</f>
        <v>790</v>
      </c>
      <c r="Y6" s="50">
        <v>785</v>
      </c>
      <c r="Z6" s="50">
        <v>765</v>
      </c>
      <c r="AA6" s="50">
        <v>765</v>
      </c>
      <c r="AB6" s="50">
        <v>680</v>
      </c>
      <c r="AC6" s="50">
        <f>680-20</f>
        <v>660</v>
      </c>
      <c r="AD6" s="50">
        <f>680-20</f>
        <v>660</v>
      </c>
      <c r="AE6" s="50">
        <v>650</v>
      </c>
      <c r="AF6" s="50">
        <v>650</v>
      </c>
      <c r="AG6" s="50">
        <v>650</v>
      </c>
      <c r="AH6" s="50">
        <v>650</v>
      </c>
      <c r="AI6" s="50">
        <v>650</v>
      </c>
      <c r="AJ6" s="50">
        <v>680</v>
      </c>
      <c r="AK6" s="50">
        <v>1120</v>
      </c>
      <c r="AL6" s="50">
        <v>1155</v>
      </c>
      <c r="AM6" s="50">
        <v>1015</v>
      </c>
      <c r="AN6" s="50">
        <v>950</v>
      </c>
      <c r="AP6" s="9"/>
      <c r="AQ6" s="11" t="s">
        <v>137</v>
      </c>
      <c r="AR6" s="50">
        <v>810</v>
      </c>
      <c r="AS6" s="50">
        <v>810</v>
      </c>
      <c r="AT6" s="50">
        <v>810</v>
      </c>
      <c r="AU6" s="50">
        <v>810</v>
      </c>
      <c r="AV6" s="50">
        <v>810</v>
      </c>
      <c r="AW6" s="50">
        <v>810</v>
      </c>
      <c r="AX6" s="50">
        <v>810</v>
      </c>
      <c r="AY6" s="50">
        <v>810</v>
      </c>
      <c r="AZ6" s="50">
        <v>810</v>
      </c>
      <c r="BA6" s="50">
        <v>840</v>
      </c>
      <c r="BB6" s="50">
        <v>840</v>
      </c>
      <c r="BC6" s="50">
        <v>840</v>
      </c>
      <c r="BD6" s="50">
        <v>880</v>
      </c>
      <c r="BE6" s="50">
        <v>880</v>
      </c>
      <c r="BF6" s="50">
        <v>880</v>
      </c>
      <c r="BG6" s="50">
        <v>880</v>
      </c>
      <c r="BH6" s="50">
        <v>900</v>
      </c>
      <c r="BI6" s="50">
        <v>900</v>
      </c>
      <c r="BJ6" s="50">
        <v>900</v>
      </c>
      <c r="BK6" s="50">
        <v>900</v>
      </c>
      <c r="BL6" s="50">
        <v>900</v>
      </c>
      <c r="BM6" s="50">
        <v>900</v>
      </c>
      <c r="BN6" s="50">
        <v>900</v>
      </c>
      <c r="BO6" s="50">
        <v>900</v>
      </c>
      <c r="BP6" s="50">
        <v>900</v>
      </c>
      <c r="BQ6" s="50">
        <v>900</v>
      </c>
      <c r="BR6" s="50">
        <v>900</v>
      </c>
      <c r="BS6" s="50">
        <v>900</v>
      </c>
      <c r="BT6" s="50">
        <v>900</v>
      </c>
      <c r="BU6" s="50">
        <v>900</v>
      </c>
      <c r="BV6" s="50">
        <v>900</v>
      </c>
      <c r="BW6" s="50">
        <v>900</v>
      </c>
      <c r="BX6" s="50">
        <v>900</v>
      </c>
      <c r="BY6" s="50">
        <v>900</v>
      </c>
      <c r="BZ6" s="50">
        <v>900</v>
      </c>
      <c r="CA6" s="50">
        <v>900</v>
      </c>
      <c r="CB6" s="50">
        <v>900</v>
      </c>
      <c r="CC6" s="50">
        <v>900</v>
      </c>
      <c r="CD6" s="50">
        <v>860</v>
      </c>
      <c r="CE6" s="50">
        <v>860</v>
      </c>
      <c r="CF6" s="50">
        <v>860</v>
      </c>
      <c r="CG6" s="50">
        <v>860</v>
      </c>
      <c r="CH6" s="50">
        <v>855</v>
      </c>
      <c r="CI6" s="50">
        <v>855</v>
      </c>
      <c r="CJ6" s="50">
        <v>855</v>
      </c>
      <c r="CK6" s="50">
        <v>855</v>
      </c>
      <c r="CL6" s="50">
        <v>855</v>
      </c>
      <c r="CM6" s="50">
        <v>855</v>
      </c>
      <c r="CN6" s="50">
        <v>855</v>
      </c>
      <c r="CO6" s="50">
        <v>855</v>
      </c>
      <c r="CP6" s="50">
        <v>855</v>
      </c>
      <c r="CQ6" s="50">
        <v>855</v>
      </c>
      <c r="CR6" s="50">
        <v>855</v>
      </c>
      <c r="CS6" s="50">
        <v>855</v>
      </c>
      <c r="CT6" s="50">
        <v>855</v>
      </c>
      <c r="CU6" s="50">
        <v>855</v>
      </c>
      <c r="CV6" s="50">
        <v>855</v>
      </c>
      <c r="CW6" s="50">
        <v>855</v>
      </c>
      <c r="CX6" s="50">
        <v>855</v>
      </c>
      <c r="CY6" s="50">
        <v>780</v>
      </c>
      <c r="CZ6" s="50">
        <v>780</v>
      </c>
      <c r="DA6" s="50">
        <v>780</v>
      </c>
      <c r="DB6" s="50">
        <v>780</v>
      </c>
      <c r="DC6" s="50">
        <v>790</v>
      </c>
      <c r="DD6" s="50">
        <v>790</v>
      </c>
      <c r="DE6" s="50">
        <v>790</v>
      </c>
      <c r="DF6" s="50">
        <v>790</v>
      </c>
      <c r="DG6" s="50">
        <v>785</v>
      </c>
      <c r="DH6" s="50">
        <v>785</v>
      </c>
      <c r="DI6" s="50">
        <v>785</v>
      </c>
      <c r="DJ6" s="50">
        <v>785</v>
      </c>
      <c r="DK6" s="50">
        <v>765</v>
      </c>
      <c r="DL6" s="50">
        <v>765</v>
      </c>
      <c r="DM6" s="50">
        <v>765</v>
      </c>
      <c r="DN6" s="50">
        <v>765</v>
      </c>
      <c r="DO6" s="50">
        <v>765</v>
      </c>
      <c r="DP6" s="50">
        <v>765</v>
      </c>
      <c r="DQ6" s="50">
        <v>765</v>
      </c>
      <c r="DR6" s="50">
        <v>765</v>
      </c>
      <c r="DS6" s="50">
        <v>765</v>
      </c>
      <c r="DT6" s="50">
        <v>680</v>
      </c>
      <c r="DU6" s="50">
        <v>680</v>
      </c>
      <c r="DV6" s="50">
        <v>680</v>
      </c>
      <c r="DW6" s="50">
        <v>680</v>
      </c>
      <c r="DX6" s="50">
        <v>680</v>
      </c>
      <c r="DY6" s="50">
        <f>680-20</f>
        <v>660</v>
      </c>
      <c r="DZ6" s="50">
        <f t="shared" ref="DZ6:EF6" si="0">680-20</f>
        <v>660</v>
      </c>
      <c r="EA6" s="50">
        <f t="shared" si="0"/>
        <v>660</v>
      </c>
      <c r="EB6" s="50">
        <f t="shared" si="0"/>
        <v>660</v>
      </c>
      <c r="EC6" s="50">
        <f t="shared" si="0"/>
        <v>660</v>
      </c>
      <c r="ED6" s="50">
        <f t="shared" si="0"/>
        <v>660</v>
      </c>
      <c r="EE6" s="50">
        <f t="shared" si="0"/>
        <v>660</v>
      </c>
      <c r="EF6" s="50">
        <f t="shared" si="0"/>
        <v>660</v>
      </c>
      <c r="EG6" s="50">
        <v>650</v>
      </c>
      <c r="EH6" s="50">
        <v>650</v>
      </c>
      <c r="EI6" s="50">
        <v>650</v>
      </c>
      <c r="EJ6" s="50">
        <v>650</v>
      </c>
      <c r="EK6" s="50">
        <v>650</v>
      </c>
      <c r="EL6" s="50">
        <v>650</v>
      </c>
      <c r="EM6" s="50">
        <v>650</v>
      </c>
      <c r="EN6" s="50">
        <v>650</v>
      </c>
      <c r="EO6" s="50">
        <v>650</v>
      </c>
      <c r="EP6" s="50">
        <v>650</v>
      </c>
      <c r="EQ6" s="50">
        <v>650</v>
      </c>
      <c r="ER6" s="50">
        <v>650</v>
      </c>
      <c r="ES6" s="50">
        <v>650</v>
      </c>
      <c r="ET6" s="50">
        <v>650</v>
      </c>
      <c r="EU6" s="50">
        <v>650</v>
      </c>
      <c r="EV6" s="50">
        <v>650</v>
      </c>
      <c r="EW6" s="50">
        <v>650</v>
      </c>
      <c r="EX6" s="50">
        <v>650</v>
      </c>
      <c r="EY6" s="50">
        <v>650</v>
      </c>
      <c r="EZ6" s="50">
        <v>650</v>
      </c>
      <c r="FA6" s="50">
        <v>650</v>
      </c>
      <c r="FB6" s="50">
        <v>650</v>
      </c>
      <c r="FC6" s="50">
        <v>680</v>
      </c>
      <c r="FD6" s="50">
        <v>680</v>
      </c>
      <c r="FE6" s="50">
        <f>680+50</f>
        <v>730</v>
      </c>
      <c r="FF6" s="50">
        <f>680+50</f>
        <v>730</v>
      </c>
      <c r="FG6" s="50">
        <v>1120</v>
      </c>
      <c r="FH6" s="50">
        <v>1120</v>
      </c>
      <c r="FI6" s="50">
        <v>1120</v>
      </c>
      <c r="FJ6" s="50">
        <v>1120</v>
      </c>
      <c r="FK6" s="50">
        <v>1120</v>
      </c>
      <c r="FL6" s="50">
        <v>1155</v>
      </c>
      <c r="FM6" s="50">
        <v>1155</v>
      </c>
      <c r="FN6" s="50">
        <v>1155</v>
      </c>
      <c r="FO6" s="50">
        <v>1155</v>
      </c>
      <c r="FP6" s="50">
        <v>1015</v>
      </c>
      <c r="FQ6" s="50">
        <v>1015</v>
      </c>
      <c r="FR6" s="50">
        <v>1015</v>
      </c>
      <c r="FS6" s="50">
        <v>1015</v>
      </c>
      <c r="FT6" s="50">
        <v>950</v>
      </c>
      <c r="FU6" s="50">
        <v>950</v>
      </c>
      <c r="FV6" s="50">
        <v>950</v>
      </c>
      <c r="FW6" s="50">
        <v>950</v>
      </c>
      <c r="FX6" s="50">
        <v>950</v>
      </c>
    </row>
    <row r="7" spans="1:180" ht="14">
      <c r="D7" s="54" t="s">
        <v>41</v>
      </c>
      <c r="E7" s="25"/>
      <c r="F7" s="59" t="s">
        <v>94</v>
      </c>
      <c r="G7" s="54" t="s">
        <v>24</v>
      </c>
      <c r="H7" s="111" t="s">
        <v>130</v>
      </c>
      <c r="I7" s="129">
        <f>+SUM(AR7:AV7)/COUNT(AR7:AV7)</f>
        <v>926</v>
      </c>
      <c r="J7" s="129">
        <f>+SUM(AW7:AZ7)/COUNT(AW7:AZ7)</f>
        <v>962.5</v>
      </c>
      <c r="K7" s="129">
        <f>+SUM(BA7:BC7)/COUNT(BA7:BC7)</f>
        <v>986.66666666666663</v>
      </c>
      <c r="L7" s="129">
        <f>+SUM(BD7:BG7)/COUNT(BD7:BG7)</f>
        <v>990</v>
      </c>
      <c r="M7" s="129">
        <f>+SUM(BH7:BK7)/COUNT(BH7:BK7)</f>
        <v>992.5</v>
      </c>
      <c r="N7" s="129">
        <f>+SUM(BL7:BP7)/COUNT(BL7:BP7)</f>
        <v>1002</v>
      </c>
      <c r="O7" s="129">
        <f>+SUM(BQ7:BT7)/COUNT(BQ7:BT7)</f>
        <v>1025</v>
      </c>
      <c r="P7" s="129">
        <f>+SUM(BU7:BX7)/COUNT(BU7:BX7)</f>
        <v>1020</v>
      </c>
      <c r="Q7" s="129">
        <f>+SUM(BY7:CC7)/COUNT(BY7:CC7)</f>
        <v>970</v>
      </c>
      <c r="R7" s="129">
        <f>+SUM(CD7:CG7)/COUNT(CD7:CG7)</f>
        <v>955</v>
      </c>
      <c r="S7" s="129">
        <f>+SUM(CH7:CK7)/COUNT(CH7:CK7)</f>
        <v>955</v>
      </c>
      <c r="T7" s="129">
        <f>+SUM(CL7:CP7)/COUNT(CL7:CP7)</f>
        <v>968</v>
      </c>
      <c r="U7" s="129">
        <f>+SUM(CQ7:CT7)/COUNT(CQ7:CT7)</f>
        <v>960</v>
      </c>
      <c r="V7" s="129">
        <f>+SUM(CU7:CX7)/COUNT(CU7:CX7)</f>
        <v>970</v>
      </c>
      <c r="W7" s="129">
        <f>+SUM(CY7:DB7)/COUNT(CY7:DB7)</f>
        <v>985</v>
      </c>
      <c r="X7" s="129">
        <f>+SUM(DC7:DF7)/COUNT(DC7:DF7)</f>
        <v>980</v>
      </c>
      <c r="Y7" s="129">
        <f>+SUM(DG7:DJ7)/COUNT(DG7:DJ7)</f>
        <v>965</v>
      </c>
      <c r="Z7" s="129">
        <f>+SUM(DK7:DO7)/COUNT(DK7:DO7)</f>
        <v>932</v>
      </c>
      <c r="AA7" s="129">
        <f>+SUM(DP7:DS7)/COUNT(DP7:DS7)</f>
        <v>922.5</v>
      </c>
      <c r="AB7" s="129">
        <f>+SUM(DT7:DX7)/COUNT(DT7:DX7)</f>
        <v>918</v>
      </c>
      <c r="AC7" s="129">
        <f>+SUM(DY7:EB7)/COUNT(DY7:EB7)</f>
        <v>895</v>
      </c>
      <c r="AD7" s="129">
        <f>+SUM(EC7:EF7)/COUNT(EC7:EF7)</f>
        <v>870</v>
      </c>
      <c r="AE7" s="129">
        <f>+SUM(EG7:EK7)/COUNT(EG7:EK7)</f>
        <v>842</v>
      </c>
      <c r="AF7" s="129">
        <f>+SUM(EL7:EO7)/COUNT(EL7:EO7)</f>
        <v>827.5</v>
      </c>
      <c r="AG7" s="129">
        <f>+SUM(EP7:ES7)/COUNT(EP7:ES7)</f>
        <v>820</v>
      </c>
      <c r="AH7" s="129">
        <f>+SUM(ET7:EX7)/COUNT(ET7:EX7)</f>
        <v>816</v>
      </c>
      <c r="AI7" s="129">
        <f>+SUM(EY7:FB7)/COUNT(EY7:FB7)</f>
        <v>847.5</v>
      </c>
      <c r="AJ7" s="129">
        <f>+SUM(FC7:FF7)/COUNT(FC7:FF7)</f>
        <v>1250</v>
      </c>
      <c r="AK7" s="129">
        <f>+SUM(FG7:FK7)/COUNT(FG7:FK7)</f>
        <v>1437</v>
      </c>
      <c r="AL7" s="129">
        <f>+SUM(FL7:FO7)/COUNT(FL7:FO7)</f>
        <v>1356.25</v>
      </c>
      <c r="AM7" s="129">
        <f>+SUM(FP7:FS7)/COUNT(FP7:FS7)</f>
        <v>1175</v>
      </c>
      <c r="AN7" s="129">
        <f>+SUM(FT7:FX7)/COUNT(FT7:FX7)</f>
        <v>1025</v>
      </c>
      <c r="AP7" s="54" t="s">
        <v>41</v>
      </c>
      <c r="AQ7" s="111" t="s">
        <v>130</v>
      </c>
      <c r="AR7" s="118">
        <v>920</v>
      </c>
      <c r="AS7" s="118">
        <v>920</v>
      </c>
      <c r="AT7" s="118">
        <v>930</v>
      </c>
      <c r="AU7" s="118">
        <v>930</v>
      </c>
      <c r="AV7" s="118">
        <v>930</v>
      </c>
      <c r="AW7" s="118">
        <v>930</v>
      </c>
      <c r="AX7" s="118">
        <v>970</v>
      </c>
      <c r="AY7" s="118">
        <v>970</v>
      </c>
      <c r="AZ7" s="118">
        <v>980</v>
      </c>
      <c r="BA7" s="118">
        <v>1000</v>
      </c>
      <c r="BB7" s="118">
        <v>980</v>
      </c>
      <c r="BC7" s="118">
        <v>980</v>
      </c>
      <c r="BD7" s="118">
        <v>980</v>
      </c>
      <c r="BE7" s="118">
        <v>980</v>
      </c>
      <c r="BF7" s="118">
        <v>1000</v>
      </c>
      <c r="BG7" s="118">
        <v>1000</v>
      </c>
      <c r="BH7" s="118">
        <v>1000</v>
      </c>
      <c r="BI7" s="118">
        <v>990</v>
      </c>
      <c r="BJ7" s="118">
        <v>990</v>
      </c>
      <c r="BK7" s="118">
        <v>990</v>
      </c>
      <c r="BL7" s="118">
        <v>990</v>
      </c>
      <c r="BM7" s="118">
        <v>1000</v>
      </c>
      <c r="BN7" s="118">
        <v>1000</v>
      </c>
      <c r="BO7" s="118">
        <v>1000</v>
      </c>
      <c r="BP7" s="118">
        <v>1020</v>
      </c>
      <c r="BQ7" s="118">
        <v>1020</v>
      </c>
      <c r="BR7" s="118">
        <v>1020</v>
      </c>
      <c r="BS7" s="118">
        <v>1030</v>
      </c>
      <c r="BT7" s="118">
        <v>1030</v>
      </c>
      <c r="BU7" s="118">
        <v>1030</v>
      </c>
      <c r="BV7" s="118">
        <v>1030</v>
      </c>
      <c r="BW7" s="118">
        <v>1030</v>
      </c>
      <c r="BX7" s="118">
        <v>990</v>
      </c>
      <c r="BY7" s="118">
        <v>980</v>
      </c>
      <c r="BZ7" s="118">
        <v>980</v>
      </c>
      <c r="CA7" s="118">
        <v>970</v>
      </c>
      <c r="CB7" s="118">
        <v>960</v>
      </c>
      <c r="CC7" s="118">
        <v>960</v>
      </c>
      <c r="CD7" s="118">
        <v>960</v>
      </c>
      <c r="CE7" s="118">
        <v>960</v>
      </c>
      <c r="CF7" s="118">
        <v>950</v>
      </c>
      <c r="CG7" s="118">
        <v>950</v>
      </c>
      <c r="CH7" s="118">
        <v>950</v>
      </c>
      <c r="CI7" s="118">
        <v>950</v>
      </c>
      <c r="CJ7" s="118">
        <v>950</v>
      </c>
      <c r="CK7" s="118">
        <v>970</v>
      </c>
      <c r="CL7" s="118">
        <v>970</v>
      </c>
      <c r="CM7" s="118">
        <v>970</v>
      </c>
      <c r="CN7" s="118">
        <v>970</v>
      </c>
      <c r="CO7" s="118">
        <v>970</v>
      </c>
      <c r="CP7" s="118">
        <v>960</v>
      </c>
      <c r="CQ7" s="118">
        <v>960</v>
      </c>
      <c r="CR7" s="118">
        <v>960</v>
      </c>
      <c r="CS7" s="118">
        <v>960</v>
      </c>
      <c r="CT7" s="118">
        <v>960</v>
      </c>
      <c r="CU7" s="118">
        <v>960</v>
      </c>
      <c r="CV7" s="118">
        <v>970</v>
      </c>
      <c r="CW7" s="118">
        <v>970</v>
      </c>
      <c r="CX7" s="118">
        <v>980</v>
      </c>
      <c r="CY7" s="118">
        <v>970</v>
      </c>
      <c r="CZ7" s="118">
        <v>1000</v>
      </c>
      <c r="DA7" s="118">
        <v>990</v>
      </c>
      <c r="DB7" s="118">
        <v>980</v>
      </c>
      <c r="DC7" s="118">
        <v>980</v>
      </c>
      <c r="DD7" s="118">
        <v>980</v>
      </c>
      <c r="DE7" s="118">
        <v>980</v>
      </c>
      <c r="DF7" s="118">
        <v>980</v>
      </c>
      <c r="DG7" s="118">
        <v>980</v>
      </c>
      <c r="DH7" s="118">
        <v>970</v>
      </c>
      <c r="DI7" s="118">
        <v>960</v>
      </c>
      <c r="DJ7" s="118">
        <v>950</v>
      </c>
      <c r="DK7" s="118">
        <v>950</v>
      </c>
      <c r="DL7" s="118">
        <v>930</v>
      </c>
      <c r="DM7" s="118">
        <v>930</v>
      </c>
      <c r="DN7" s="118">
        <v>930</v>
      </c>
      <c r="DO7" s="118">
        <v>920</v>
      </c>
      <c r="DP7" s="118">
        <v>920</v>
      </c>
      <c r="DQ7" s="118">
        <v>910</v>
      </c>
      <c r="DR7" s="118">
        <v>930</v>
      </c>
      <c r="DS7" s="118">
        <v>930</v>
      </c>
      <c r="DT7" s="118">
        <v>930</v>
      </c>
      <c r="DU7" s="118">
        <v>930</v>
      </c>
      <c r="DV7" s="118">
        <v>930</v>
      </c>
      <c r="DW7" s="118">
        <v>900</v>
      </c>
      <c r="DX7" s="118">
        <v>900</v>
      </c>
      <c r="DY7" s="118">
        <v>900</v>
      </c>
      <c r="DZ7" s="118">
        <v>900</v>
      </c>
      <c r="EA7" s="118">
        <v>890</v>
      </c>
      <c r="EB7" s="118">
        <v>890</v>
      </c>
      <c r="EC7" s="118">
        <v>890</v>
      </c>
      <c r="ED7" s="118">
        <v>870</v>
      </c>
      <c r="EE7" s="118">
        <v>870</v>
      </c>
      <c r="EF7" s="118">
        <v>850</v>
      </c>
      <c r="EG7" s="118">
        <v>850</v>
      </c>
      <c r="EH7" s="118">
        <v>850</v>
      </c>
      <c r="EI7" s="118">
        <v>840</v>
      </c>
      <c r="EJ7" s="118">
        <v>840</v>
      </c>
      <c r="EK7" s="118">
        <v>830</v>
      </c>
      <c r="EL7" s="118">
        <v>830</v>
      </c>
      <c r="EM7" s="118">
        <v>830</v>
      </c>
      <c r="EN7" s="118">
        <v>830</v>
      </c>
      <c r="EO7" s="118">
        <v>820</v>
      </c>
      <c r="EP7" s="118">
        <v>820</v>
      </c>
      <c r="EQ7" s="118">
        <v>820</v>
      </c>
      <c r="ER7" s="118">
        <v>820</v>
      </c>
      <c r="ES7" s="118">
        <v>820</v>
      </c>
      <c r="ET7" s="118">
        <v>810</v>
      </c>
      <c r="EU7" s="118">
        <v>810</v>
      </c>
      <c r="EV7" s="118">
        <v>820</v>
      </c>
      <c r="EW7" s="118">
        <v>820</v>
      </c>
      <c r="EX7" s="118">
        <v>820</v>
      </c>
      <c r="EY7" s="118">
        <v>840</v>
      </c>
      <c r="EZ7" s="118">
        <v>850</v>
      </c>
      <c r="FA7" s="118">
        <v>850</v>
      </c>
      <c r="FB7" s="118">
        <v>850</v>
      </c>
      <c r="FC7" s="118">
        <f>(950+1050)/2</f>
        <v>1000</v>
      </c>
      <c r="FD7" s="118">
        <v>1200</v>
      </c>
      <c r="FE7" s="118">
        <v>1400</v>
      </c>
      <c r="FF7" s="118">
        <v>1400</v>
      </c>
      <c r="FG7" s="118">
        <v>1400</v>
      </c>
      <c r="FH7" s="118">
        <v>1450</v>
      </c>
      <c r="FI7" s="118">
        <f>+(1340+1550)/2</f>
        <v>1445</v>
      </c>
      <c r="FJ7" s="118">
        <f>+(1340+1550)/2</f>
        <v>1445</v>
      </c>
      <c r="FK7" s="118">
        <f>+(1340+1550)/2</f>
        <v>1445</v>
      </c>
      <c r="FL7" s="118">
        <f>+(1340+1550)/2</f>
        <v>1445</v>
      </c>
      <c r="FM7" s="118">
        <f>+(1300+1500)/2</f>
        <v>1400</v>
      </c>
      <c r="FN7" s="118">
        <v>1310</v>
      </c>
      <c r="FO7" s="118">
        <v>1270</v>
      </c>
      <c r="FP7" s="118">
        <v>1240</v>
      </c>
      <c r="FQ7" s="118">
        <v>1220</v>
      </c>
      <c r="FR7" s="118">
        <v>1190</v>
      </c>
      <c r="FS7" s="118">
        <v>1050</v>
      </c>
      <c r="FT7" s="118">
        <v>1030</v>
      </c>
      <c r="FU7" s="118">
        <v>1020</v>
      </c>
      <c r="FV7" s="118"/>
      <c r="FW7" s="118"/>
      <c r="FX7" s="118"/>
    </row>
    <row r="8" spans="1:180" ht="14">
      <c r="F8" s="117"/>
      <c r="H8" s="117" t="s">
        <v>82</v>
      </c>
      <c r="I8" s="131">
        <f t="shared" ref="I8:N8" si="1">I7</f>
        <v>926</v>
      </c>
      <c r="J8" s="131">
        <f t="shared" si="1"/>
        <v>962.5</v>
      </c>
      <c r="K8" s="131">
        <f t="shared" si="1"/>
        <v>986.66666666666663</v>
      </c>
      <c r="L8" s="131">
        <f t="shared" si="1"/>
        <v>990</v>
      </c>
      <c r="M8" s="131">
        <f t="shared" si="1"/>
        <v>992.5</v>
      </c>
      <c r="N8" s="131">
        <f t="shared" si="1"/>
        <v>1002</v>
      </c>
      <c r="O8" s="131">
        <f t="shared" ref="O8:P8" si="2">O7</f>
        <v>1025</v>
      </c>
      <c r="P8" s="131">
        <f t="shared" si="2"/>
        <v>1020</v>
      </c>
      <c r="Q8" s="131">
        <f t="shared" ref="Q8:R8" si="3">Q7</f>
        <v>970</v>
      </c>
      <c r="R8" s="131">
        <f t="shared" si="3"/>
        <v>955</v>
      </c>
      <c r="S8" s="131">
        <f t="shared" ref="S8:T8" si="4">S7</f>
        <v>955</v>
      </c>
      <c r="T8" s="131">
        <f t="shared" si="4"/>
        <v>968</v>
      </c>
      <c r="U8" s="131">
        <f t="shared" ref="U8:V8" si="5">U7</f>
        <v>960</v>
      </c>
      <c r="V8" s="131">
        <f t="shared" si="5"/>
        <v>970</v>
      </c>
      <c r="W8" s="131">
        <f t="shared" ref="W8:X8" si="6">W7</f>
        <v>985</v>
      </c>
      <c r="X8" s="131">
        <f t="shared" si="6"/>
        <v>980</v>
      </c>
      <c r="Y8" s="131">
        <f t="shared" ref="Y8:Z8" si="7">Y7</f>
        <v>965</v>
      </c>
      <c r="Z8" s="131">
        <f t="shared" si="7"/>
        <v>932</v>
      </c>
      <c r="AA8" s="131">
        <f t="shared" ref="AA8:AB8" si="8">AA7</f>
        <v>922.5</v>
      </c>
      <c r="AB8" s="131">
        <f t="shared" si="8"/>
        <v>918</v>
      </c>
      <c r="AC8" s="131">
        <f t="shared" ref="AC8:AD8" si="9">AC7</f>
        <v>895</v>
      </c>
      <c r="AD8" s="131">
        <f t="shared" si="9"/>
        <v>870</v>
      </c>
      <c r="AE8" s="131">
        <f t="shared" ref="AE8:AF8" si="10">AE7</f>
        <v>842</v>
      </c>
      <c r="AF8" s="131">
        <f t="shared" si="10"/>
        <v>827.5</v>
      </c>
      <c r="AG8" s="131">
        <f t="shared" ref="AG8:AH8" si="11">AG7</f>
        <v>820</v>
      </c>
      <c r="AH8" s="131">
        <f t="shared" si="11"/>
        <v>816</v>
      </c>
      <c r="AI8" s="131">
        <f t="shared" ref="AI8:AJ8" si="12">AI7</f>
        <v>847.5</v>
      </c>
      <c r="AJ8" s="131">
        <f t="shared" si="12"/>
        <v>1250</v>
      </c>
      <c r="AK8" s="131">
        <f t="shared" ref="AK8:AL8" si="13">AK7</f>
        <v>1437</v>
      </c>
      <c r="AL8" s="131">
        <f t="shared" si="13"/>
        <v>1356.25</v>
      </c>
      <c r="AM8" s="131">
        <f t="shared" ref="AM8:AN8" si="14">AM7</f>
        <v>1175</v>
      </c>
      <c r="AN8" s="131">
        <f t="shared" si="14"/>
        <v>1025</v>
      </c>
      <c r="AQ8" s="117" t="s">
        <v>82</v>
      </c>
      <c r="AR8" s="41">
        <f t="shared" ref="AR8:AU8" si="15">AR7</f>
        <v>920</v>
      </c>
      <c r="AS8" s="41">
        <f t="shared" si="15"/>
        <v>920</v>
      </c>
      <c r="AT8" s="41">
        <f t="shared" si="15"/>
        <v>930</v>
      </c>
      <c r="AU8" s="41">
        <f t="shared" si="15"/>
        <v>930</v>
      </c>
      <c r="AV8" s="41">
        <f t="shared" ref="AV8:AW8" si="16">AV7</f>
        <v>930</v>
      </c>
      <c r="AW8" s="41">
        <f t="shared" si="16"/>
        <v>930</v>
      </c>
      <c r="AX8" s="41">
        <f t="shared" ref="AX8:AY8" si="17">AX7</f>
        <v>970</v>
      </c>
      <c r="AY8" s="41">
        <f t="shared" si="17"/>
        <v>970</v>
      </c>
      <c r="AZ8" s="41">
        <f t="shared" ref="AZ8:BA8" si="18">AZ7</f>
        <v>980</v>
      </c>
      <c r="BA8" s="41">
        <f t="shared" si="18"/>
        <v>1000</v>
      </c>
      <c r="BB8" s="41">
        <f t="shared" ref="BB8:BC8" si="19">BB7</f>
        <v>980</v>
      </c>
      <c r="BC8" s="41">
        <f t="shared" si="19"/>
        <v>980</v>
      </c>
      <c r="BD8" s="41">
        <f t="shared" ref="BD8:BE8" si="20">BD7</f>
        <v>980</v>
      </c>
      <c r="BE8" s="41">
        <f t="shared" si="20"/>
        <v>980</v>
      </c>
      <c r="BF8" s="41">
        <f t="shared" ref="BF8:BG8" si="21">BF7</f>
        <v>1000</v>
      </c>
      <c r="BG8" s="41">
        <f t="shared" si="21"/>
        <v>1000</v>
      </c>
      <c r="BH8" s="41">
        <f t="shared" ref="BH8:BI8" si="22">BH7</f>
        <v>1000</v>
      </c>
      <c r="BI8" s="41">
        <f t="shared" si="22"/>
        <v>990</v>
      </c>
      <c r="BJ8" s="41">
        <f t="shared" ref="BJ8:BK8" si="23">BJ7</f>
        <v>990</v>
      </c>
      <c r="BK8" s="41">
        <f t="shared" si="23"/>
        <v>990</v>
      </c>
      <c r="BL8" s="41">
        <f t="shared" ref="BL8:BM8" si="24">BL7</f>
        <v>990</v>
      </c>
      <c r="BM8" s="41">
        <f t="shared" si="24"/>
        <v>1000</v>
      </c>
      <c r="BN8" s="41">
        <f t="shared" ref="BN8:BO8" si="25">BN7</f>
        <v>1000</v>
      </c>
      <c r="BO8" s="41">
        <f t="shared" si="25"/>
        <v>1000</v>
      </c>
      <c r="BP8" s="41">
        <f t="shared" ref="BP8:BQ8" si="26">BP7</f>
        <v>1020</v>
      </c>
      <c r="BQ8" s="41">
        <f t="shared" si="26"/>
        <v>1020</v>
      </c>
      <c r="BR8" s="41">
        <f t="shared" ref="BR8:BS8" si="27">BR7</f>
        <v>1020</v>
      </c>
      <c r="BS8" s="41">
        <f t="shared" si="27"/>
        <v>1030</v>
      </c>
      <c r="BT8" s="41">
        <f t="shared" ref="BT8:BU8" si="28">BT7</f>
        <v>1030</v>
      </c>
      <c r="BU8" s="41">
        <f t="shared" si="28"/>
        <v>1030</v>
      </c>
      <c r="BV8" s="41">
        <f t="shared" ref="BV8:BW8" si="29">BV7</f>
        <v>1030</v>
      </c>
      <c r="BW8" s="41">
        <f t="shared" si="29"/>
        <v>1030</v>
      </c>
      <c r="BX8" s="41">
        <f t="shared" ref="BX8:BY8" si="30">BX7</f>
        <v>990</v>
      </c>
      <c r="BY8" s="41">
        <f t="shared" si="30"/>
        <v>980</v>
      </c>
      <c r="BZ8" s="41">
        <f t="shared" ref="BZ8:CA8" si="31">BZ7</f>
        <v>980</v>
      </c>
      <c r="CA8" s="41">
        <f t="shared" si="31"/>
        <v>970</v>
      </c>
      <c r="CB8" s="41">
        <f t="shared" ref="CB8:CD8" si="32">CB7</f>
        <v>960</v>
      </c>
      <c r="CC8" s="41">
        <f t="shared" si="32"/>
        <v>960</v>
      </c>
      <c r="CD8" s="41">
        <f t="shared" si="32"/>
        <v>960</v>
      </c>
      <c r="CE8" s="41">
        <f t="shared" ref="CE8:CF8" si="33">CE7</f>
        <v>960</v>
      </c>
      <c r="CF8" s="41">
        <f t="shared" si="33"/>
        <v>950</v>
      </c>
      <c r="CG8" s="41">
        <f t="shared" ref="CG8:CI8" si="34">CG7</f>
        <v>950</v>
      </c>
      <c r="CH8" s="41">
        <f t="shared" si="34"/>
        <v>950</v>
      </c>
      <c r="CI8" s="41">
        <f t="shared" si="34"/>
        <v>950</v>
      </c>
      <c r="CJ8" s="41">
        <f t="shared" ref="CJ8:CK8" si="35">CJ7</f>
        <v>950</v>
      </c>
      <c r="CK8" s="41">
        <f t="shared" si="35"/>
        <v>970</v>
      </c>
      <c r="CL8" s="41">
        <f t="shared" ref="CL8:CP8" si="36">CL7</f>
        <v>970</v>
      </c>
      <c r="CM8" s="41">
        <f t="shared" si="36"/>
        <v>970</v>
      </c>
      <c r="CN8" s="41">
        <f t="shared" si="36"/>
        <v>970</v>
      </c>
      <c r="CO8" s="41">
        <f t="shared" si="36"/>
        <v>970</v>
      </c>
      <c r="CP8" s="41">
        <f t="shared" si="36"/>
        <v>960</v>
      </c>
      <c r="CQ8" s="41">
        <f t="shared" ref="CQ8:CT8" si="37">CQ7</f>
        <v>960</v>
      </c>
      <c r="CR8" s="41">
        <f t="shared" si="37"/>
        <v>960</v>
      </c>
      <c r="CS8" s="41">
        <f t="shared" si="37"/>
        <v>960</v>
      </c>
      <c r="CT8" s="41">
        <f t="shared" si="37"/>
        <v>960</v>
      </c>
      <c r="CU8" s="41">
        <f t="shared" ref="CU8:CV8" si="38">CU7</f>
        <v>960</v>
      </c>
      <c r="CV8" s="41">
        <f t="shared" si="38"/>
        <v>970</v>
      </c>
      <c r="CW8" s="41">
        <f t="shared" ref="CW8:CX8" si="39">CW7</f>
        <v>970</v>
      </c>
      <c r="CX8" s="41">
        <f t="shared" si="39"/>
        <v>980</v>
      </c>
      <c r="CY8" s="41">
        <f t="shared" ref="CY8:DA8" si="40">CY7</f>
        <v>970</v>
      </c>
      <c r="CZ8" s="41">
        <f t="shared" si="40"/>
        <v>1000</v>
      </c>
      <c r="DA8" s="41">
        <f t="shared" si="40"/>
        <v>990</v>
      </c>
      <c r="DB8" s="41">
        <f t="shared" ref="DB8:DC8" si="41">DB7</f>
        <v>980</v>
      </c>
      <c r="DC8" s="41">
        <f t="shared" si="41"/>
        <v>980</v>
      </c>
      <c r="DD8" s="41">
        <f t="shared" ref="DD8:DF8" si="42">DD7</f>
        <v>980</v>
      </c>
      <c r="DE8" s="41">
        <f t="shared" si="42"/>
        <v>980</v>
      </c>
      <c r="DF8" s="41">
        <f t="shared" si="42"/>
        <v>980</v>
      </c>
      <c r="DG8" s="41">
        <f t="shared" ref="DG8:DJ8" si="43">DG7</f>
        <v>980</v>
      </c>
      <c r="DH8" s="41">
        <f t="shared" si="43"/>
        <v>970</v>
      </c>
      <c r="DI8" s="41">
        <f t="shared" si="43"/>
        <v>960</v>
      </c>
      <c r="DJ8" s="41">
        <f t="shared" si="43"/>
        <v>950</v>
      </c>
      <c r="DK8" s="41">
        <f t="shared" ref="DK8:DO8" si="44">DK7</f>
        <v>950</v>
      </c>
      <c r="DL8" s="41">
        <f t="shared" si="44"/>
        <v>930</v>
      </c>
      <c r="DM8" s="41">
        <f t="shared" si="44"/>
        <v>930</v>
      </c>
      <c r="DN8" s="41">
        <f t="shared" si="44"/>
        <v>930</v>
      </c>
      <c r="DO8" s="41">
        <f t="shared" si="44"/>
        <v>920</v>
      </c>
      <c r="DP8" s="41">
        <f t="shared" ref="DP8:DS8" si="45">DP7</f>
        <v>920</v>
      </c>
      <c r="DQ8" s="41">
        <f t="shared" si="45"/>
        <v>910</v>
      </c>
      <c r="DR8" s="41">
        <f t="shared" si="45"/>
        <v>930</v>
      </c>
      <c r="DS8" s="41">
        <f t="shared" si="45"/>
        <v>930</v>
      </c>
      <c r="DT8" s="41">
        <f t="shared" ref="DT8:DX8" si="46">DT7</f>
        <v>930</v>
      </c>
      <c r="DU8" s="41">
        <f t="shared" si="46"/>
        <v>930</v>
      </c>
      <c r="DV8" s="41">
        <f t="shared" si="46"/>
        <v>930</v>
      </c>
      <c r="DW8" s="41">
        <f t="shared" si="46"/>
        <v>900</v>
      </c>
      <c r="DX8" s="41">
        <f t="shared" si="46"/>
        <v>900</v>
      </c>
      <c r="DY8" s="41">
        <f t="shared" ref="DY8:EB8" si="47">DY7</f>
        <v>900</v>
      </c>
      <c r="DZ8" s="41">
        <f t="shared" si="47"/>
        <v>900</v>
      </c>
      <c r="EA8" s="41">
        <f t="shared" si="47"/>
        <v>890</v>
      </c>
      <c r="EB8" s="41">
        <f t="shared" si="47"/>
        <v>890</v>
      </c>
      <c r="EC8" s="41">
        <f t="shared" ref="EC8:EF8" si="48">EC7</f>
        <v>890</v>
      </c>
      <c r="ED8" s="41">
        <f t="shared" si="48"/>
        <v>870</v>
      </c>
      <c r="EE8" s="41">
        <f t="shared" si="48"/>
        <v>870</v>
      </c>
      <c r="EF8" s="41">
        <f t="shared" si="48"/>
        <v>850</v>
      </c>
      <c r="EG8" s="41">
        <f t="shared" ref="EG8:EK8" si="49">EG7</f>
        <v>850</v>
      </c>
      <c r="EH8" s="41">
        <f t="shared" si="49"/>
        <v>850</v>
      </c>
      <c r="EI8" s="41">
        <f t="shared" si="49"/>
        <v>840</v>
      </c>
      <c r="EJ8" s="41">
        <f t="shared" si="49"/>
        <v>840</v>
      </c>
      <c r="EK8" s="41">
        <f t="shared" si="49"/>
        <v>830</v>
      </c>
      <c r="EL8" s="41">
        <f t="shared" ref="EL8:EO8" si="50">EL7</f>
        <v>830</v>
      </c>
      <c r="EM8" s="41">
        <f t="shared" si="50"/>
        <v>830</v>
      </c>
      <c r="EN8" s="41">
        <f t="shared" si="50"/>
        <v>830</v>
      </c>
      <c r="EO8" s="41">
        <f t="shared" si="50"/>
        <v>820</v>
      </c>
      <c r="EP8" s="41">
        <f t="shared" ref="EP8:ES8" si="51">EP7</f>
        <v>820</v>
      </c>
      <c r="EQ8" s="41">
        <f t="shared" si="51"/>
        <v>820</v>
      </c>
      <c r="ER8" s="41">
        <f t="shared" si="51"/>
        <v>820</v>
      </c>
      <c r="ES8" s="41">
        <f t="shared" si="51"/>
        <v>820</v>
      </c>
      <c r="ET8" s="41">
        <f t="shared" ref="ET8:EX8" si="52">ET7</f>
        <v>810</v>
      </c>
      <c r="EU8" s="41">
        <f t="shared" si="52"/>
        <v>810</v>
      </c>
      <c r="EV8" s="41">
        <f t="shared" si="52"/>
        <v>820</v>
      </c>
      <c r="EW8" s="41">
        <f t="shared" si="52"/>
        <v>820</v>
      </c>
      <c r="EX8" s="41">
        <f t="shared" si="52"/>
        <v>820</v>
      </c>
      <c r="EY8" s="41">
        <f t="shared" ref="EY8:FB8" si="53">EY7</f>
        <v>840</v>
      </c>
      <c r="EZ8" s="41">
        <f t="shared" si="53"/>
        <v>850</v>
      </c>
      <c r="FA8" s="41">
        <f t="shared" si="53"/>
        <v>850</v>
      </c>
      <c r="FB8" s="41">
        <f t="shared" si="53"/>
        <v>850</v>
      </c>
      <c r="FC8" s="41">
        <f t="shared" ref="FC8:FF8" si="54">FC7</f>
        <v>1000</v>
      </c>
      <c r="FD8" s="41">
        <f t="shared" si="54"/>
        <v>1200</v>
      </c>
      <c r="FE8" s="41">
        <f t="shared" si="54"/>
        <v>1400</v>
      </c>
      <c r="FF8" s="41">
        <f t="shared" si="54"/>
        <v>1400</v>
      </c>
      <c r="FG8" s="41">
        <f t="shared" ref="FG8:FK8" si="55">FG7</f>
        <v>1400</v>
      </c>
      <c r="FH8" s="41">
        <f t="shared" si="55"/>
        <v>1450</v>
      </c>
      <c r="FI8" s="41">
        <f t="shared" si="55"/>
        <v>1445</v>
      </c>
      <c r="FJ8" s="41">
        <f t="shared" si="55"/>
        <v>1445</v>
      </c>
      <c r="FK8" s="41">
        <f t="shared" si="55"/>
        <v>1445</v>
      </c>
      <c r="FL8" s="41">
        <f t="shared" ref="FL8:FO8" si="56">FL7</f>
        <v>1445</v>
      </c>
      <c r="FM8" s="41">
        <f t="shared" si="56"/>
        <v>1400</v>
      </c>
      <c r="FN8" s="41">
        <f t="shared" si="56"/>
        <v>1310</v>
      </c>
      <c r="FO8" s="41">
        <f t="shared" si="56"/>
        <v>1270</v>
      </c>
      <c r="FP8" s="41">
        <f t="shared" ref="FP8:FS8" si="57">FP7</f>
        <v>1240</v>
      </c>
      <c r="FQ8" s="41">
        <f t="shared" si="57"/>
        <v>1220</v>
      </c>
      <c r="FR8" s="41">
        <f t="shared" si="57"/>
        <v>1190</v>
      </c>
      <c r="FS8" s="41">
        <f t="shared" si="57"/>
        <v>1050</v>
      </c>
      <c r="FT8" s="41">
        <f t="shared" ref="FT8:FX8" si="58">FT7</f>
        <v>1030</v>
      </c>
      <c r="FU8" s="41">
        <f t="shared" si="58"/>
        <v>1020</v>
      </c>
      <c r="FV8" s="41">
        <f t="shared" si="58"/>
        <v>0</v>
      </c>
      <c r="FW8" s="41">
        <f t="shared" si="58"/>
        <v>0</v>
      </c>
      <c r="FX8" s="41">
        <f t="shared" si="58"/>
        <v>0</v>
      </c>
    </row>
    <row r="9" spans="1:180" ht="14">
      <c r="F9" s="117"/>
      <c r="H9" s="117" t="s">
        <v>83</v>
      </c>
      <c r="I9" s="41">
        <f t="shared" ref="I9:N9" si="59">+I6-I8</f>
        <v>-116</v>
      </c>
      <c r="J9" s="41">
        <f t="shared" si="59"/>
        <v>-152.5</v>
      </c>
      <c r="K9" s="41">
        <f t="shared" si="59"/>
        <v>-146.66666666666663</v>
      </c>
      <c r="L9" s="41">
        <f t="shared" si="59"/>
        <v>-110</v>
      </c>
      <c r="M9" s="41">
        <f t="shared" si="59"/>
        <v>-92.5</v>
      </c>
      <c r="N9" s="41">
        <f t="shared" si="59"/>
        <v>-102</v>
      </c>
      <c r="O9" s="41">
        <f t="shared" ref="O9:P9" si="60">+O6-O8</f>
        <v>-125</v>
      </c>
      <c r="P9" s="41">
        <f t="shared" si="60"/>
        <v>-120</v>
      </c>
      <c r="Q9" s="41">
        <f t="shared" ref="Q9:R9" si="61">+Q6-Q8</f>
        <v>-70</v>
      </c>
      <c r="R9" s="41">
        <f t="shared" si="61"/>
        <v>-95</v>
      </c>
      <c r="S9" s="41">
        <f t="shared" ref="S9:T9" si="62">+S6-S8</f>
        <v>-100</v>
      </c>
      <c r="T9" s="41">
        <f t="shared" si="62"/>
        <v>-113</v>
      </c>
      <c r="U9" s="41">
        <f t="shared" ref="U9:V9" si="63">+U6-U8</f>
        <v>-105</v>
      </c>
      <c r="V9" s="41">
        <f t="shared" si="63"/>
        <v>-115</v>
      </c>
      <c r="W9" s="41">
        <f t="shared" ref="W9:X9" si="64">+W6-W8</f>
        <v>-205</v>
      </c>
      <c r="X9" s="41">
        <f t="shared" si="64"/>
        <v>-190</v>
      </c>
      <c r="Y9" s="41">
        <f t="shared" ref="Y9:Z9" si="65">+Y6-Y8</f>
        <v>-180</v>
      </c>
      <c r="Z9" s="41">
        <f t="shared" si="65"/>
        <v>-167</v>
      </c>
      <c r="AA9" s="41">
        <f t="shared" ref="AA9:AB9" si="66">+AA6-AA8</f>
        <v>-157.5</v>
      </c>
      <c r="AB9" s="41">
        <f t="shared" si="66"/>
        <v>-238</v>
      </c>
      <c r="AC9" s="41">
        <f t="shared" ref="AC9:AD9" si="67">+AC6-AC8</f>
        <v>-235</v>
      </c>
      <c r="AD9" s="41">
        <f t="shared" si="67"/>
        <v>-210</v>
      </c>
      <c r="AE9" s="41">
        <f t="shared" ref="AE9:AF9" si="68">+AE6-AE8</f>
        <v>-192</v>
      </c>
      <c r="AF9" s="41">
        <f t="shared" si="68"/>
        <v>-177.5</v>
      </c>
      <c r="AG9" s="41">
        <f t="shared" ref="AG9:AH9" si="69">+AG6-AG8</f>
        <v>-170</v>
      </c>
      <c r="AH9" s="41">
        <f t="shared" si="69"/>
        <v>-166</v>
      </c>
      <c r="AI9" s="41">
        <f t="shared" ref="AI9:AJ9" si="70">+AI6-AI8</f>
        <v>-197.5</v>
      </c>
      <c r="AJ9" s="41">
        <f t="shared" si="70"/>
        <v>-570</v>
      </c>
      <c r="AK9" s="41">
        <f t="shared" ref="AK9:AL9" si="71">+AK6-AK8</f>
        <v>-317</v>
      </c>
      <c r="AL9" s="41">
        <f t="shared" si="71"/>
        <v>-201.25</v>
      </c>
      <c r="AM9" s="41">
        <f t="shared" ref="AM9:AN9" si="72">+AM6-AM8</f>
        <v>-160</v>
      </c>
      <c r="AN9" s="41">
        <f t="shared" si="72"/>
        <v>-75</v>
      </c>
      <c r="AQ9" s="117" t="s">
        <v>83</v>
      </c>
      <c r="AR9" s="41">
        <f t="shared" ref="AR9:AW9" si="73">+AR6-AR8</f>
        <v>-110</v>
      </c>
      <c r="AS9" s="41">
        <f t="shared" si="73"/>
        <v>-110</v>
      </c>
      <c r="AT9" s="41">
        <f t="shared" si="73"/>
        <v>-120</v>
      </c>
      <c r="AU9" s="41">
        <f t="shared" si="73"/>
        <v>-120</v>
      </c>
      <c r="AV9" s="41">
        <f t="shared" si="73"/>
        <v>-120</v>
      </c>
      <c r="AW9" s="41">
        <f t="shared" si="73"/>
        <v>-120</v>
      </c>
      <c r="AX9" s="41">
        <f t="shared" ref="AX9:AY9" si="74">+AX6-AX8</f>
        <v>-160</v>
      </c>
      <c r="AY9" s="41">
        <f t="shared" si="74"/>
        <v>-160</v>
      </c>
      <c r="AZ9" s="41">
        <f t="shared" ref="AZ9:BA9" si="75">+AZ6-AZ8</f>
        <v>-170</v>
      </c>
      <c r="BA9" s="41">
        <f t="shared" si="75"/>
        <v>-160</v>
      </c>
      <c r="BB9" s="41">
        <f t="shared" ref="BB9:BC9" si="76">+BB6-BB8</f>
        <v>-140</v>
      </c>
      <c r="BC9" s="41">
        <f t="shared" si="76"/>
        <v>-140</v>
      </c>
      <c r="BD9" s="41">
        <f t="shared" ref="BD9:BE9" si="77">+BD6-BD8</f>
        <v>-100</v>
      </c>
      <c r="BE9" s="41">
        <f t="shared" si="77"/>
        <v>-100</v>
      </c>
      <c r="BF9" s="41">
        <f t="shared" ref="BF9:BG9" si="78">+BF6-BF8</f>
        <v>-120</v>
      </c>
      <c r="BG9" s="41">
        <f t="shared" si="78"/>
        <v>-120</v>
      </c>
      <c r="BH9" s="41">
        <f t="shared" ref="BH9:BI9" si="79">+BH6-BH8</f>
        <v>-100</v>
      </c>
      <c r="BI9" s="41">
        <f t="shared" si="79"/>
        <v>-90</v>
      </c>
      <c r="BJ9" s="41">
        <f t="shared" ref="BJ9:BK9" si="80">+BJ6-BJ8</f>
        <v>-90</v>
      </c>
      <c r="BK9" s="41">
        <f t="shared" si="80"/>
        <v>-90</v>
      </c>
      <c r="BL9" s="41">
        <f t="shared" ref="BL9:BM9" si="81">+BL6-BL8</f>
        <v>-90</v>
      </c>
      <c r="BM9" s="41">
        <f t="shared" si="81"/>
        <v>-100</v>
      </c>
      <c r="BN9" s="41">
        <f t="shared" ref="BN9:BO9" si="82">+BN6-BN8</f>
        <v>-100</v>
      </c>
      <c r="BO9" s="41">
        <f t="shared" si="82"/>
        <v>-100</v>
      </c>
      <c r="BP9" s="41">
        <f t="shared" ref="BP9:BQ9" si="83">+BP6-BP8</f>
        <v>-120</v>
      </c>
      <c r="BQ9" s="41">
        <f t="shared" si="83"/>
        <v>-120</v>
      </c>
      <c r="BR9" s="41">
        <f t="shared" ref="BR9:BS9" si="84">+BR6-BR8</f>
        <v>-120</v>
      </c>
      <c r="BS9" s="41">
        <f t="shared" si="84"/>
        <v>-130</v>
      </c>
      <c r="BT9" s="41">
        <f t="shared" ref="BT9:BU9" si="85">+BT6-BT8</f>
        <v>-130</v>
      </c>
      <c r="BU9" s="41">
        <f t="shared" si="85"/>
        <v>-130</v>
      </c>
      <c r="BV9" s="41">
        <f t="shared" ref="BV9:BW9" si="86">+BV6-BV8</f>
        <v>-130</v>
      </c>
      <c r="BW9" s="41">
        <f t="shared" si="86"/>
        <v>-130</v>
      </c>
      <c r="BX9" s="41">
        <f t="shared" ref="BX9:BY9" si="87">+BX6-BX8</f>
        <v>-90</v>
      </c>
      <c r="BY9" s="41">
        <f t="shared" si="87"/>
        <v>-80</v>
      </c>
      <c r="BZ9" s="41">
        <f t="shared" ref="BZ9:CA9" si="88">+BZ6-BZ8</f>
        <v>-80</v>
      </c>
      <c r="CA9" s="41">
        <f t="shared" si="88"/>
        <v>-70</v>
      </c>
      <c r="CB9" s="41">
        <f t="shared" ref="CB9:CD9" si="89">+CB6-CB8</f>
        <v>-60</v>
      </c>
      <c r="CC9" s="41">
        <f t="shared" si="89"/>
        <v>-60</v>
      </c>
      <c r="CD9" s="41">
        <f t="shared" si="89"/>
        <v>-100</v>
      </c>
      <c r="CE9" s="41">
        <f t="shared" ref="CE9:CF9" si="90">+CE6-CE8</f>
        <v>-100</v>
      </c>
      <c r="CF9" s="41">
        <f t="shared" si="90"/>
        <v>-90</v>
      </c>
      <c r="CG9" s="41">
        <f t="shared" ref="CG9:CI9" si="91">+CG6-CG8</f>
        <v>-90</v>
      </c>
      <c r="CH9" s="41">
        <f t="shared" si="91"/>
        <v>-95</v>
      </c>
      <c r="CI9" s="41">
        <f t="shared" si="91"/>
        <v>-95</v>
      </c>
      <c r="CJ9" s="41">
        <f t="shared" ref="CJ9:CK9" si="92">+CJ6-CJ8</f>
        <v>-95</v>
      </c>
      <c r="CK9" s="41">
        <f t="shared" si="92"/>
        <v>-115</v>
      </c>
      <c r="CL9" s="41">
        <f t="shared" ref="CL9:CP9" si="93">+CL6-CL8</f>
        <v>-115</v>
      </c>
      <c r="CM9" s="41">
        <f t="shared" si="93"/>
        <v>-115</v>
      </c>
      <c r="CN9" s="41">
        <f t="shared" si="93"/>
        <v>-115</v>
      </c>
      <c r="CO9" s="41">
        <f t="shared" si="93"/>
        <v>-115</v>
      </c>
      <c r="CP9" s="41">
        <f t="shared" si="93"/>
        <v>-105</v>
      </c>
      <c r="CQ9" s="41">
        <f t="shared" ref="CQ9:CT9" si="94">+CQ6-CQ8</f>
        <v>-105</v>
      </c>
      <c r="CR9" s="41">
        <f t="shared" si="94"/>
        <v>-105</v>
      </c>
      <c r="CS9" s="41">
        <f t="shared" si="94"/>
        <v>-105</v>
      </c>
      <c r="CT9" s="41">
        <f t="shared" si="94"/>
        <v>-105</v>
      </c>
      <c r="CU9" s="41">
        <f t="shared" ref="CU9:CV9" si="95">+CU6-CU8</f>
        <v>-105</v>
      </c>
      <c r="CV9" s="41">
        <f t="shared" si="95"/>
        <v>-115</v>
      </c>
      <c r="CW9" s="41">
        <f t="shared" ref="CW9:CX9" si="96">+CW6-CW8</f>
        <v>-115</v>
      </c>
      <c r="CX9" s="41">
        <f t="shared" si="96"/>
        <v>-125</v>
      </c>
      <c r="CY9" s="41">
        <f t="shared" ref="CY9:DA9" si="97">+CY6-CY8</f>
        <v>-190</v>
      </c>
      <c r="CZ9" s="41">
        <f t="shared" si="97"/>
        <v>-220</v>
      </c>
      <c r="DA9" s="41">
        <f t="shared" si="97"/>
        <v>-210</v>
      </c>
      <c r="DB9" s="41">
        <f t="shared" ref="DB9:DC9" si="98">+DB6-DB8</f>
        <v>-200</v>
      </c>
      <c r="DC9" s="41">
        <f t="shared" si="98"/>
        <v>-190</v>
      </c>
      <c r="DD9" s="41">
        <f t="shared" ref="DD9:DF9" si="99">+DD6-DD8</f>
        <v>-190</v>
      </c>
      <c r="DE9" s="41">
        <f t="shared" si="99"/>
        <v>-190</v>
      </c>
      <c r="DF9" s="41">
        <f t="shared" si="99"/>
        <v>-190</v>
      </c>
      <c r="DG9" s="41">
        <f t="shared" ref="DG9:DJ9" si="100">+DG6-DG8</f>
        <v>-195</v>
      </c>
      <c r="DH9" s="41">
        <f t="shared" si="100"/>
        <v>-185</v>
      </c>
      <c r="DI9" s="41">
        <f t="shared" si="100"/>
        <v>-175</v>
      </c>
      <c r="DJ9" s="41">
        <f t="shared" si="100"/>
        <v>-165</v>
      </c>
      <c r="DK9" s="41">
        <f t="shared" ref="DK9:DO9" si="101">+DK6-DK8</f>
        <v>-185</v>
      </c>
      <c r="DL9" s="41">
        <f t="shared" si="101"/>
        <v>-165</v>
      </c>
      <c r="DM9" s="41">
        <f t="shared" si="101"/>
        <v>-165</v>
      </c>
      <c r="DN9" s="41">
        <f t="shared" si="101"/>
        <v>-165</v>
      </c>
      <c r="DO9" s="41">
        <f t="shared" si="101"/>
        <v>-155</v>
      </c>
      <c r="DP9" s="41">
        <f t="shared" ref="DP9:DS9" si="102">+DP6-DP8</f>
        <v>-155</v>
      </c>
      <c r="DQ9" s="41">
        <f t="shared" si="102"/>
        <v>-145</v>
      </c>
      <c r="DR9" s="41">
        <f t="shared" si="102"/>
        <v>-165</v>
      </c>
      <c r="DS9" s="41">
        <f t="shared" si="102"/>
        <v>-165</v>
      </c>
      <c r="DT9" s="41">
        <f t="shared" ref="DT9:DX9" si="103">+DT6-DT8</f>
        <v>-250</v>
      </c>
      <c r="DU9" s="41">
        <f t="shared" si="103"/>
        <v>-250</v>
      </c>
      <c r="DV9" s="41">
        <f t="shared" si="103"/>
        <v>-250</v>
      </c>
      <c r="DW9" s="41">
        <f t="shared" si="103"/>
        <v>-220</v>
      </c>
      <c r="DX9" s="41">
        <f t="shared" si="103"/>
        <v>-220</v>
      </c>
      <c r="DY9" s="41">
        <f t="shared" ref="DY9:EB9" si="104">+DY6-DY8</f>
        <v>-240</v>
      </c>
      <c r="DZ9" s="41">
        <f t="shared" si="104"/>
        <v>-240</v>
      </c>
      <c r="EA9" s="41">
        <f t="shared" si="104"/>
        <v>-230</v>
      </c>
      <c r="EB9" s="41">
        <f t="shared" si="104"/>
        <v>-230</v>
      </c>
      <c r="EC9" s="41">
        <f t="shared" ref="EC9:EF9" si="105">+EC6-EC8</f>
        <v>-230</v>
      </c>
      <c r="ED9" s="41">
        <f t="shared" si="105"/>
        <v>-210</v>
      </c>
      <c r="EE9" s="41">
        <f t="shared" si="105"/>
        <v>-210</v>
      </c>
      <c r="EF9" s="41">
        <f t="shared" si="105"/>
        <v>-190</v>
      </c>
      <c r="EG9" s="41">
        <f t="shared" ref="EG9:EK9" si="106">+EG6-EG8</f>
        <v>-200</v>
      </c>
      <c r="EH9" s="41">
        <f t="shared" si="106"/>
        <v>-200</v>
      </c>
      <c r="EI9" s="41">
        <f t="shared" si="106"/>
        <v>-190</v>
      </c>
      <c r="EJ9" s="41">
        <f t="shared" si="106"/>
        <v>-190</v>
      </c>
      <c r="EK9" s="41">
        <f t="shared" si="106"/>
        <v>-180</v>
      </c>
      <c r="EL9" s="41">
        <f t="shared" ref="EL9:EO9" si="107">+EL6-EL8</f>
        <v>-180</v>
      </c>
      <c r="EM9" s="41">
        <f t="shared" si="107"/>
        <v>-180</v>
      </c>
      <c r="EN9" s="41">
        <f t="shared" si="107"/>
        <v>-180</v>
      </c>
      <c r="EO9" s="41">
        <f t="shared" si="107"/>
        <v>-170</v>
      </c>
      <c r="EP9" s="41">
        <f t="shared" ref="EP9:ES9" si="108">+EP6-EP8</f>
        <v>-170</v>
      </c>
      <c r="EQ9" s="41">
        <f t="shared" si="108"/>
        <v>-170</v>
      </c>
      <c r="ER9" s="41">
        <f t="shared" si="108"/>
        <v>-170</v>
      </c>
      <c r="ES9" s="41">
        <f t="shared" si="108"/>
        <v>-170</v>
      </c>
      <c r="ET9" s="41">
        <f t="shared" ref="ET9:EX9" si="109">+ET6-ET8</f>
        <v>-160</v>
      </c>
      <c r="EU9" s="41">
        <f t="shared" si="109"/>
        <v>-160</v>
      </c>
      <c r="EV9" s="41">
        <f t="shared" si="109"/>
        <v>-170</v>
      </c>
      <c r="EW9" s="41">
        <f t="shared" si="109"/>
        <v>-170</v>
      </c>
      <c r="EX9" s="41">
        <f t="shared" si="109"/>
        <v>-170</v>
      </c>
      <c r="EY9" s="41">
        <f t="shared" ref="EY9:FB9" si="110">+EY6-EY8</f>
        <v>-190</v>
      </c>
      <c r="EZ9" s="41">
        <f t="shared" si="110"/>
        <v>-200</v>
      </c>
      <c r="FA9" s="41">
        <f t="shared" si="110"/>
        <v>-200</v>
      </c>
      <c r="FB9" s="41">
        <f t="shared" si="110"/>
        <v>-200</v>
      </c>
      <c r="FC9" s="41">
        <f t="shared" ref="FC9:FF9" si="111">+FC6-FC8</f>
        <v>-320</v>
      </c>
      <c r="FD9" s="41">
        <f t="shared" si="111"/>
        <v>-520</v>
      </c>
      <c r="FE9" s="41">
        <f t="shared" si="111"/>
        <v>-670</v>
      </c>
      <c r="FF9" s="41">
        <f t="shared" si="111"/>
        <v>-670</v>
      </c>
      <c r="FG9" s="41">
        <f t="shared" ref="FG9:FK9" si="112">+FG6-FG8</f>
        <v>-280</v>
      </c>
      <c r="FH9" s="41">
        <f t="shared" si="112"/>
        <v>-330</v>
      </c>
      <c r="FI9" s="41">
        <f t="shared" si="112"/>
        <v>-325</v>
      </c>
      <c r="FJ9" s="41">
        <f t="shared" si="112"/>
        <v>-325</v>
      </c>
      <c r="FK9" s="41">
        <f t="shared" si="112"/>
        <v>-325</v>
      </c>
      <c r="FL9" s="41">
        <f t="shared" ref="FL9:FO9" si="113">+FL6-FL8</f>
        <v>-290</v>
      </c>
      <c r="FM9" s="41">
        <f t="shared" si="113"/>
        <v>-245</v>
      </c>
      <c r="FN9" s="41">
        <f t="shared" si="113"/>
        <v>-155</v>
      </c>
      <c r="FO9" s="41">
        <f t="shared" si="113"/>
        <v>-115</v>
      </c>
      <c r="FP9" s="41">
        <f t="shared" ref="FP9:FS9" si="114">+FP6-FP8</f>
        <v>-225</v>
      </c>
      <c r="FQ9" s="41">
        <f t="shared" si="114"/>
        <v>-205</v>
      </c>
      <c r="FR9" s="41">
        <f t="shared" si="114"/>
        <v>-175</v>
      </c>
      <c r="FS9" s="41">
        <f t="shared" si="114"/>
        <v>-35</v>
      </c>
      <c r="FT9" s="41">
        <f t="shared" ref="FT9:FX9" si="115">+FT6-FT8</f>
        <v>-80</v>
      </c>
      <c r="FU9" s="41">
        <f t="shared" si="115"/>
        <v>-70</v>
      </c>
      <c r="FV9" s="41">
        <f t="shared" si="115"/>
        <v>950</v>
      </c>
      <c r="FW9" s="41">
        <f t="shared" si="115"/>
        <v>950</v>
      </c>
      <c r="FX9" s="41">
        <f t="shared" si="115"/>
        <v>950</v>
      </c>
    </row>
    <row r="10" spans="1:180">
      <c r="H10" s="1" t="s">
        <v>81</v>
      </c>
      <c r="I10" s="51">
        <f t="shared" ref="I10:N10" si="116">+I9/I8</f>
        <v>-0.12526997840172785</v>
      </c>
      <c r="J10" s="51">
        <f t="shared" si="116"/>
        <v>-0.15844155844155844</v>
      </c>
      <c r="K10" s="51">
        <f t="shared" si="116"/>
        <v>-0.14864864864864863</v>
      </c>
      <c r="L10" s="51">
        <f t="shared" si="116"/>
        <v>-0.1111111111111111</v>
      </c>
      <c r="M10" s="51">
        <f t="shared" si="116"/>
        <v>-9.3198992443324941E-2</v>
      </c>
      <c r="N10" s="51">
        <f t="shared" si="116"/>
        <v>-0.10179640718562874</v>
      </c>
      <c r="O10" s="51">
        <f t="shared" ref="O10:P10" si="117">+O9/O8</f>
        <v>-0.12195121951219512</v>
      </c>
      <c r="P10" s="51">
        <f t="shared" si="117"/>
        <v>-0.11764705882352941</v>
      </c>
      <c r="Q10" s="51">
        <f t="shared" ref="Q10:R10" si="118">+Q9/Q8</f>
        <v>-7.2164948453608241E-2</v>
      </c>
      <c r="R10" s="51">
        <f t="shared" si="118"/>
        <v>-9.947643979057591E-2</v>
      </c>
      <c r="S10" s="51">
        <f t="shared" ref="S10:T10" si="119">+S9/S8</f>
        <v>-0.10471204188481675</v>
      </c>
      <c r="T10" s="51">
        <f t="shared" si="119"/>
        <v>-0.11673553719008264</v>
      </c>
      <c r="U10" s="51">
        <f t="shared" ref="U10:V10" si="120">+U9/U8</f>
        <v>-0.109375</v>
      </c>
      <c r="V10" s="51">
        <f t="shared" si="120"/>
        <v>-0.11855670103092783</v>
      </c>
      <c r="W10" s="51">
        <f t="shared" ref="W10:X10" si="121">+W9/W8</f>
        <v>-0.20812182741116753</v>
      </c>
      <c r="X10" s="51">
        <f t="shared" si="121"/>
        <v>-0.19387755102040816</v>
      </c>
      <c r="Y10" s="51">
        <f t="shared" ref="Y10:Z10" si="122">+Y9/Y8</f>
        <v>-0.18652849740932642</v>
      </c>
      <c r="Z10" s="51">
        <f t="shared" si="122"/>
        <v>-0.17918454935622319</v>
      </c>
      <c r="AA10" s="51">
        <f t="shared" ref="AA10:AB10" si="123">+AA9/AA8</f>
        <v>-0.17073170731707318</v>
      </c>
      <c r="AB10" s="51">
        <f t="shared" si="123"/>
        <v>-0.25925925925925924</v>
      </c>
      <c r="AC10" s="51">
        <f t="shared" ref="AC10:AD10" si="124">+AC9/AC8</f>
        <v>-0.26256983240223464</v>
      </c>
      <c r="AD10" s="51">
        <f t="shared" si="124"/>
        <v>-0.2413793103448276</v>
      </c>
      <c r="AE10" s="51">
        <f t="shared" ref="AE10:AF10" si="125">+AE9/AE8</f>
        <v>-0.22802850356294538</v>
      </c>
      <c r="AF10" s="51">
        <f t="shared" si="125"/>
        <v>-0.21450151057401812</v>
      </c>
      <c r="AG10" s="51">
        <f t="shared" ref="AG10:AH10" si="126">+AG9/AG8</f>
        <v>-0.2073170731707317</v>
      </c>
      <c r="AH10" s="51">
        <f t="shared" si="126"/>
        <v>-0.20343137254901961</v>
      </c>
      <c r="AI10" s="51">
        <f t="shared" ref="AI10:AJ10" si="127">+AI9/AI8</f>
        <v>-0.23303834808259588</v>
      </c>
      <c r="AJ10" s="51">
        <f t="shared" si="127"/>
        <v>-0.45600000000000002</v>
      </c>
      <c r="AK10" s="51">
        <f t="shared" ref="AK10:AL10" si="128">+AK9/AK8</f>
        <v>-0.22059846903270702</v>
      </c>
      <c r="AL10" s="51">
        <f t="shared" si="128"/>
        <v>-0.14838709677419354</v>
      </c>
      <c r="AM10" s="51">
        <f t="shared" ref="AM10:AN10" si="129">+AM9/AM8</f>
        <v>-0.13617021276595745</v>
      </c>
      <c r="AN10" s="51">
        <f t="shared" si="129"/>
        <v>-7.3170731707317069E-2</v>
      </c>
      <c r="AQ10" s="1" t="s">
        <v>81</v>
      </c>
      <c r="AR10" s="51">
        <f t="shared" ref="AR10:AU10" si="130">+AR9/AR8</f>
        <v>-0.11956521739130435</v>
      </c>
      <c r="AS10" s="51">
        <f t="shared" si="130"/>
        <v>-0.11956521739130435</v>
      </c>
      <c r="AT10" s="51">
        <f t="shared" si="130"/>
        <v>-0.12903225806451613</v>
      </c>
      <c r="AU10" s="51">
        <f t="shared" si="130"/>
        <v>-0.12903225806451613</v>
      </c>
      <c r="AV10" s="51">
        <f t="shared" ref="AV10:AW10" si="131">+AV9/AV8</f>
        <v>-0.12903225806451613</v>
      </c>
      <c r="AW10" s="51">
        <f t="shared" si="131"/>
        <v>-0.12903225806451613</v>
      </c>
      <c r="AX10" s="51">
        <f t="shared" ref="AX10:AY10" si="132">+AX9/AX8</f>
        <v>-0.16494845360824742</v>
      </c>
      <c r="AY10" s="51">
        <f t="shared" si="132"/>
        <v>-0.16494845360824742</v>
      </c>
      <c r="AZ10" s="51">
        <f t="shared" ref="AZ10:BA10" si="133">+AZ9/AZ8</f>
        <v>-0.17346938775510204</v>
      </c>
      <c r="BA10" s="51">
        <f t="shared" si="133"/>
        <v>-0.16</v>
      </c>
      <c r="BB10" s="51">
        <f t="shared" ref="BB10:BC10" si="134">+BB9/BB8</f>
        <v>-0.14285714285714285</v>
      </c>
      <c r="BC10" s="51">
        <f t="shared" si="134"/>
        <v>-0.14285714285714285</v>
      </c>
      <c r="BD10" s="51">
        <f t="shared" ref="BD10:BE10" si="135">+BD9/BD8</f>
        <v>-0.10204081632653061</v>
      </c>
      <c r="BE10" s="51">
        <f t="shared" si="135"/>
        <v>-0.10204081632653061</v>
      </c>
      <c r="BF10" s="51">
        <f t="shared" ref="BF10:BG10" si="136">+BF9/BF8</f>
        <v>-0.12</v>
      </c>
      <c r="BG10" s="51">
        <f t="shared" si="136"/>
        <v>-0.12</v>
      </c>
      <c r="BH10" s="51">
        <f t="shared" ref="BH10:BI10" si="137">+BH9/BH8</f>
        <v>-0.1</v>
      </c>
      <c r="BI10" s="51">
        <f t="shared" si="137"/>
        <v>-9.0909090909090912E-2</v>
      </c>
      <c r="BJ10" s="51">
        <f t="shared" ref="BJ10:BK10" si="138">+BJ9/BJ8</f>
        <v>-9.0909090909090912E-2</v>
      </c>
      <c r="BK10" s="51">
        <f t="shared" si="138"/>
        <v>-9.0909090909090912E-2</v>
      </c>
      <c r="BL10" s="51">
        <f t="shared" ref="BL10:BM10" si="139">+BL9/BL8</f>
        <v>-9.0909090909090912E-2</v>
      </c>
      <c r="BM10" s="51">
        <f t="shared" si="139"/>
        <v>-0.1</v>
      </c>
      <c r="BN10" s="51">
        <f t="shared" ref="BN10:BO10" si="140">+BN9/BN8</f>
        <v>-0.1</v>
      </c>
      <c r="BO10" s="51">
        <f t="shared" si="140"/>
        <v>-0.1</v>
      </c>
      <c r="BP10" s="51">
        <f t="shared" ref="BP10:BQ10" si="141">+BP9/BP8</f>
        <v>-0.11764705882352941</v>
      </c>
      <c r="BQ10" s="51">
        <f t="shared" si="141"/>
        <v>-0.11764705882352941</v>
      </c>
      <c r="BR10" s="51">
        <f t="shared" ref="BR10:BS10" si="142">+BR9/BR8</f>
        <v>-0.11764705882352941</v>
      </c>
      <c r="BS10" s="51">
        <f t="shared" si="142"/>
        <v>-0.12621359223300971</v>
      </c>
      <c r="BT10" s="51">
        <f t="shared" ref="BT10:BU10" si="143">+BT9/BT8</f>
        <v>-0.12621359223300971</v>
      </c>
      <c r="BU10" s="51">
        <f t="shared" si="143"/>
        <v>-0.12621359223300971</v>
      </c>
      <c r="BV10" s="51">
        <f t="shared" ref="BV10:BW10" si="144">+BV9/BV8</f>
        <v>-0.12621359223300971</v>
      </c>
      <c r="BW10" s="51">
        <f t="shared" si="144"/>
        <v>-0.12621359223300971</v>
      </c>
      <c r="BX10" s="51">
        <f t="shared" ref="BX10:BY10" si="145">+BX9/BX8</f>
        <v>-9.0909090909090912E-2</v>
      </c>
      <c r="BY10" s="51">
        <f t="shared" si="145"/>
        <v>-8.1632653061224483E-2</v>
      </c>
      <c r="BZ10" s="51">
        <f t="shared" ref="BZ10:CA10" si="146">+BZ9/BZ8</f>
        <v>-8.1632653061224483E-2</v>
      </c>
      <c r="CA10" s="51">
        <f t="shared" si="146"/>
        <v>-7.2164948453608241E-2</v>
      </c>
      <c r="CB10" s="51">
        <f t="shared" ref="CB10:CD10" si="147">+CB9/CB8</f>
        <v>-6.25E-2</v>
      </c>
      <c r="CC10" s="51">
        <f t="shared" si="147"/>
        <v>-6.25E-2</v>
      </c>
      <c r="CD10" s="51">
        <f t="shared" si="147"/>
        <v>-0.10416666666666667</v>
      </c>
      <c r="CE10" s="51">
        <f t="shared" ref="CE10:CF10" si="148">+CE9/CE8</f>
        <v>-0.10416666666666667</v>
      </c>
      <c r="CF10" s="51">
        <f t="shared" si="148"/>
        <v>-9.4736842105263161E-2</v>
      </c>
      <c r="CG10" s="51">
        <f t="shared" ref="CG10:CI10" si="149">+CG9/CG8</f>
        <v>-9.4736842105263161E-2</v>
      </c>
      <c r="CH10" s="51">
        <f t="shared" si="149"/>
        <v>-0.1</v>
      </c>
      <c r="CI10" s="51">
        <f t="shared" si="149"/>
        <v>-0.1</v>
      </c>
      <c r="CJ10" s="51">
        <f t="shared" ref="CJ10:CK10" si="150">+CJ9/CJ8</f>
        <v>-0.1</v>
      </c>
      <c r="CK10" s="51">
        <f t="shared" si="150"/>
        <v>-0.11855670103092783</v>
      </c>
      <c r="CL10" s="51">
        <f t="shared" ref="CL10:CP10" si="151">+CL9/CL8</f>
        <v>-0.11855670103092783</v>
      </c>
      <c r="CM10" s="51">
        <f t="shared" si="151"/>
        <v>-0.11855670103092783</v>
      </c>
      <c r="CN10" s="51">
        <f t="shared" si="151"/>
        <v>-0.11855670103092783</v>
      </c>
      <c r="CO10" s="51">
        <f t="shared" si="151"/>
        <v>-0.11855670103092783</v>
      </c>
      <c r="CP10" s="51">
        <f t="shared" si="151"/>
        <v>-0.109375</v>
      </c>
      <c r="CQ10" s="51">
        <f t="shared" ref="CQ10:CT10" si="152">+CQ9/CQ8</f>
        <v>-0.109375</v>
      </c>
      <c r="CR10" s="51">
        <f t="shared" si="152"/>
        <v>-0.109375</v>
      </c>
      <c r="CS10" s="51">
        <f t="shared" si="152"/>
        <v>-0.109375</v>
      </c>
      <c r="CT10" s="51">
        <f t="shared" si="152"/>
        <v>-0.109375</v>
      </c>
      <c r="CU10" s="51">
        <f t="shared" ref="CU10:CV10" si="153">+CU9/CU8</f>
        <v>-0.109375</v>
      </c>
      <c r="CV10" s="51">
        <f t="shared" si="153"/>
        <v>-0.11855670103092783</v>
      </c>
      <c r="CW10" s="51">
        <f t="shared" ref="CW10:CX10" si="154">+CW9/CW8</f>
        <v>-0.11855670103092783</v>
      </c>
      <c r="CX10" s="51">
        <f t="shared" si="154"/>
        <v>-0.12755102040816327</v>
      </c>
      <c r="CY10" s="51">
        <f t="shared" ref="CY10:DA10" si="155">+CY9/CY8</f>
        <v>-0.19587628865979381</v>
      </c>
      <c r="CZ10" s="51">
        <f t="shared" si="155"/>
        <v>-0.22</v>
      </c>
      <c r="DA10" s="51">
        <f t="shared" si="155"/>
        <v>-0.21212121212121213</v>
      </c>
      <c r="DB10" s="51">
        <f t="shared" ref="DB10:DC10" si="156">+DB9/DB8</f>
        <v>-0.20408163265306123</v>
      </c>
      <c r="DC10" s="51">
        <f t="shared" si="156"/>
        <v>-0.19387755102040816</v>
      </c>
      <c r="DD10" s="51">
        <f t="shared" ref="DD10:DF10" si="157">+DD9/DD8</f>
        <v>-0.19387755102040816</v>
      </c>
      <c r="DE10" s="51">
        <f t="shared" si="157"/>
        <v>-0.19387755102040816</v>
      </c>
      <c r="DF10" s="51">
        <f t="shared" si="157"/>
        <v>-0.19387755102040816</v>
      </c>
      <c r="DG10" s="51">
        <f t="shared" ref="DG10:DJ10" si="158">+DG9/DG8</f>
        <v>-0.19897959183673469</v>
      </c>
      <c r="DH10" s="51">
        <f t="shared" si="158"/>
        <v>-0.19072164948453607</v>
      </c>
      <c r="DI10" s="51">
        <f t="shared" si="158"/>
        <v>-0.18229166666666666</v>
      </c>
      <c r="DJ10" s="51">
        <f t="shared" si="158"/>
        <v>-0.1736842105263158</v>
      </c>
      <c r="DK10" s="51">
        <f t="shared" ref="DK10:DO10" si="159">+DK9/DK8</f>
        <v>-0.19473684210526315</v>
      </c>
      <c r="DL10" s="51">
        <f t="shared" si="159"/>
        <v>-0.17741935483870969</v>
      </c>
      <c r="DM10" s="51">
        <f t="shared" si="159"/>
        <v>-0.17741935483870969</v>
      </c>
      <c r="DN10" s="51">
        <f t="shared" si="159"/>
        <v>-0.17741935483870969</v>
      </c>
      <c r="DO10" s="51">
        <f t="shared" si="159"/>
        <v>-0.16847826086956522</v>
      </c>
      <c r="DP10" s="51">
        <f t="shared" ref="DP10:DS10" si="160">+DP9/DP8</f>
        <v>-0.16847826086956522</v>
      </c>
      <c r="DQ10" s="51">
        <f t="shared" si="160"/>
        <v>-0.15934065934065933</v>
      </c>
      <c r="DR10" s="51">
        <f t="shared" si="160"/>
        <v>-0.17741935483870969</v>
      </c>
      <c r="DS10" s="51">
        <f t="shared" si="160"/>
        <v>-0.17741935483870969</v>
      </c>
      <c r="DT10" s="51">
        <f t="shared" ref="DT10:DX10" si="161">+DT9/DT8</f>
        <v>-0.26881720430107525</v>
      </c>
      <c r="DU10" s="51">
        <f t="shared" si="161"/>
        <v>-0.26881720430107525</v>
      </c>
      <c r="DV10" s="51">
        <f t="shared" si="161"/>
        <v>-0.26881720430107525</v>
      </c>
      <c r="DW10" s="51">
        <f t="shared" si="161"/>
        <v>-0.24444444444444444</v>
      </c>
      <c r="DX10" s="51">
        <f t="shared" si="161"/>
        <v>-0.24444444444444444</v>
      </c>
      <c r="DY10" s="51">
        <f t="shared" ref="DY10:EB10" si="162">+DY9/DY8</f>
        <v>-0.26666666666666666</v>
      </c>
      <c r="DZ10" s="51">
        <f t="shared" si="162"/>
        <v>-0.26666666666666666</v>
      </c>
      <c r="EA10" s="51">
        <f t="shared" si="162"/>
        <v>-0.25842696629213485</v>
      </c>
      <c r="EB10" s="51">
        <f t="shared" si="162"/>
        <v>-0.25842696629213485</v>
      </c>
      <c r="EC10" s="51">
        <f t="shared" ref="EC10:EF10" si="163">+EC9/EC8</f>
        <v>-0.25842696629213485</v>
      </c>
      <c r="ED10" s="51">
        <f t="shared" si="163"/>
        <v>-0.2413793103448276</v>
      </c>
      <c r="EE10" s="51">
        <f t="shared" si="163"/>
        <v>-0.2413793103448276</v>
      </c>
      <c r="EF10" s="51">
        <f t="shared" si="163"/>
        <v>-0.22352941176470589</v>
      </c>
      <c r="EG10" s="51">
        <f t="shared" ref="EG10:EK10" si="164">+EG9/EG8</f>
        <v>-0.23529411764705882</v>
      </c>
      <c r="EH10" s="51">
        <f t="shared" si="164"/>
        <v>-0.23529411764705882</v>
      </c>
      <c r="EI10" s="51">
        <f t="shared" si="164"/>
        <v>-0.22619047619047619</v>
      </c>
      <c r="EJ10" s="51">
        <f t="shared" si="164"/>
        <v>-0.22619047619047619</v>
      </c>
      <c r="EK10" s="51">
        <f t="shared" si="164"/>
        <v>-0.21686746987951808</v>
      </c>
      <c r="EL10" s="51">
        <f t="shared" ref="EL10:EO10" si="165">+EL9/EL8</f>
        <v>-0.21686746987951808</v>
      </c>
      <c r="EM10" s="51">
        <f t="shared" si="165"/>
        <v>-0.21686746987951808</v>
      </c>
      <c r="EN10" s="51">
        <f t="shared" si="165"/>
        <v>-0.21686746987951808</v>
      </c>
      <c r="EO10" s="51">
        <f t="shared" si="165"/>
        <v>-0.2073170731707317</v>
      </c>
      <c r="EP10" s="51">
        <f t="shared" ref="EP10:ES10" si="166">+EP9/EP8</f>
        <v>-0.2073170731707317</v>
      </c>
      <c r="EQ10" s="51">
        <f t="shared" si="166"/>
        <v>-0.2073170731707317</v>
      </c>
      <c r="ER10" s="51">
        <f t="shared" si="166"/>
        <v>-0.2073170731707317</v>
      </c>
      <c r="ES10" s="51">
        <f t="shared" si="166"/>
        <v>-0.2073170731707317</v>
      </c>
      <c r="ET10" s="51">
        <f t="shared" ref="ET10:EX10" si="167">+ET9/ET8</f>
        <v>-0.19753086419753085</v>
      </c>
      <c r="EU10" s="51">
        <f t="shared" si="167"/>
        <v>-0.19753086419753085</v>
      </c>
      <c r="EV10" s="51">
        <f t="shared" si="167"/>
        <v>-0.2073170731707317</v>
      </c>
      <c r="EW10" s="51">
        <f t="shared" si="167"/>
        <v>-0.2073170731707317</v>
      </c>
      <c r="EX10" s="51">
        <f t="shared" si="167"/>
        <v>-0.2073170731707317</v>
      </c>
      <c r="EY10" s="51">
        <f t="shared" ref="EY10:FB10" si="168">+EY9/EY8</f>
        <v>-0.22619047619047619</v>
      </c>
      <c r="EZ10" s="51">
        <f t="shared" si="168"/>
        <v>-0.23529411764705882</v>
      </c>
      <c r="FA10" s="51">
        <f t="shared" si="168"/>
        <v>-0.23529411764705882</v>
      </c>
      <c r="FB10" s="51">
        <f t="shared" si="168"/>
        <v>-0.23529411764705882</v>
      </c>
      <c r="FC10" s="51">
        <f t="shared" ref="FC10:FF10" si="169">+FC9/FC8</f>
        <v>-0.32</v>
      </c>
      <c r="FD10" s="51">
        <f t="shared" si="169"/>
        <v>-0.43333333333333335</v>
      </c>
      <c r="FE10" s="51">
        <f t="shared" si="169"/>
        <v>-0.47857142857142859</v>
      </c>
      <c r="FF10" s="51">
        <f t="shared" si="169"/>
        <v>-0.47857142857142859</v>
      </c>
      <c r="FG10" s="51">
        <f t="shared" ref="FG10:FK10" si="170">+FG9/FG8</f>
        <v>-0.2</v>
      </c>
      <c r="FH10" s="51">
        <f t="shared" si="170"/>
        <v>-0.22758620689655173</v>
      </c>
      <c r="FI10" s="51">
        <f t="shared" si="170"/>
        <v>-0.22491349480968859</v>
      </c>
      <c r="FJ10" s="51">
        <f t="shared" si="170"/>
        <v>-0.22491349480968859</v>
      </c>
      <c r="FK10" s="51">
        <f t="shared" si="170"/>
        <v>-0.22491349480968859</v>
      </c>
      <c r="FL10" s="51">
        <f t="shared" ref="FL10:FO10" si="171">+FL9/FL8</f>
        <v>-0.20069204152249134</v>
      </c>
      <c r="FM10" s="51">
        <f t="shared" si="171"/>
        <v>-0.17499999999999999</v>
      </c>
      <c r="FN10" s="51">
        <f t="shared" si="171"/>
        <v>-0.1183206106870229</v>
      </c>
      <c r="FO10" s="51">
        <f t="shared" si="171"/>
        <v>-9.055118110236221E-2</v>
      </c>
      <c r="FP10" s="51">
        <f t="shared" ref="FP10:FS10" si="172">+FP9/FP8</f>
        <v>-0.18145161290322581</v>
      </c>
      <c r="FQ10" s="51">
        <f t="shared" si="172"/>
        <v>-0.16803278688524589</v>
      </c>
      <c r="FR10" s="51">
        <f t="shared" si="172"/>
        <v>-0.14705882352941177</v>
      </c>
      <c r="FS10" s="51">
        <f t="shared" si="172"/>
        <v>-3.3333333333333333E-2</v>
      </c>
      <c r="FT10" s="51">
        <f t="shared" ref="FT10:FX10" si="173">+FT9/FT8</f>
        <v>-7.7669902912621352E-2</v>
      </c>
      <c r="FU10" s="51">
        <f t="shared" si="173"/>
        <v>-6.8627450980392163E-2</v>
      </c>
      <c r="FV10" s="51" t="e">
        <f t="shared" si="173"/>
        <v>#DIV/0!</v>
      </c>
      <c r="FW10" s="51" t="e">
        <f t="shared" si="173"/>
        <v>#DIV/0!</v>
      </c>
      <c r="FX10" s="51" t="e">
        <f t="shared" si="173"/>
        <v>#DIV/0!</v>
      </c>
    </row>
    <row r="11" spans="1:180" ht="15.5">
      <c r="F11" s="62"/>
      <c r="H11" s="163" t="s">
        <v>87</v>
      </c>
      <c r="I11" s="1">
        <v>772</v>
      </c>
      <c r="J11" s="1">
        <v>772</v>
      </c>
      <c r="K11" s="1">
        <v>772</v>
      </c>
      <c r="L11" s="1">
        <v>772</v>
      </c>
      <c r="M11" s="1">
        <v>772</v>
      </c>
      <c r="N11" s="1">
        <v>772</v>
      </c>
      <c r="O11" s="1">
        <v>772</v>
      </c>
      <c r="P11" s="1">
        <v>738</v>
      </c>
      <c r="Q11" s="173">
        <v>780.1665026220935</v>
      </c>
      <c r="R11" s="173">
        <v>790.84736542275789</v>
      </c>
      <c r="S11" s="173">
        <v>794.61882076959819</v>
      </c>
      <c r="T11" s="173">
        <v>794.61882076959819</v>
      </c>
      <c r="U11" s="173">
        <v>772.61324687952413</v>
      </c>
      <c r="V11" s="173">
        <v>790.71342693105714</v>
      </c>
      <c r="W11" s="173">
        <v>780.14594515953695</v>
      </c>
      <c r="X11" s="173">
        <v>780.14594515953695</v>
      </c>
      <c r="Y11" s="173">
        <v>767.45783789288964</v>
      </c>
      <c r="Z11" s="173">
        <v>720.25560128568611</v>
      </c>
      <c r="AA11" s="173">
        <v>754.85044113798847</v>
      </c>
      <c r="AB11" s="173">
        <v>757.17190222429883</v>
      </c>
      <c r="AC11" s="173">
        <v>757.17190222429883</v>
      </c>
      <c r="AD11" s="173">
        <v>757.17190222429883</v>
      </c>
      <c r="AE11" s="173">
        <v>760.07393351542305</v>
      </c>
      <c r="AF11" s="173">
        <v>760.79553063281901</v>
      </c>
      <c r="AG11" s="173">
        <v>765.98333885599538</v>
      </c>
      <c r="AH11" s="173">
        <v>765.98333885599538</v>
      </c>
      <c r="AI11" s="173">
        <v>765.48148735896382</v>
      </c>
      <c r="AJ11" s="173">
        <v>799.47433626065799</v>
      </c>
      <c r="AK11" s="173">
        <v>865.31704364872087</v>
      </c>
      <c r="AL11" s="173">
        <v>828.51168622823786</v>
      </c>
      <c r="AM11" s="173">
        <v>828.51168622823786</v>
      </c>
      <c r="AN11" s="173">
        <v>828.51168622823786</v>
      </c>
      <c r="AQ11" s="163" t="s">
        <v>87</v>
      </c>
      <c r="AR11" s="1">
        <v>772</v>
      </c>
      <c r="AS11" s="1">
        <v>772</v>
      </c>
      <c r="AT11" s="1">
        <v>772</v>
      </c>
      <c r="AU11" s="1">
        <v>772</v>
      </c>
      <c r="AV11" s="1">
        <v>772</v>
      </c>
      <c r="AW11" s="1">
        <v>772</v>
      </c>
      <c r="AX11" s="1">
        <v>772</v>
      </c>
      <c r="AY11" s="1">
        <v>772</v>
      </c>
      <c r="AZ11" s="1">
        <v>772</v>
      </c>
      <c r="BA11" s="1">
        <v>772</v>
      </c>
      <c r="BB11" s="1">
        <v>772</v>
      </c>
      <c r="BC11" s="1">
        <v>772</v>
      </c>
      <c r="BD11" s="1">
        <v>772</v>
      </c>
      <c r="BE11" s="1">
        <v>772</v>
      </c>
      <c r="BF11" s="1">
        <v>772</v>
      </c>
      <c r="BG11" s="1">
        <v>772</v>
      </c>
      <c r="BH11" s="1">
        <v>772</v>
      </c>
      <c r="BI11" s="1">
        <v>772</v>
      </c>
      <c r="BJ11" s="1">
        <v>772</v>
      </c>
      <c r="BK11" s="1">
        <v>772</v>
      </c>
      <c r="BL11" s="1">
        <v>772</v>
      </c>
      <c r="BM11" s="1">
        <v>772</v>
      </c>
      <c r="BN11" s="1">
        <v>772</v>
      </c>
      <c r="BO11" s="1">
        <v>772</v>
      </c>
      <c r="BP11" s="1">
        <v>772</v>
      </c>
      <c r="BQ11" s="1">
        <v>772</v>
      </c>
      <c r="BR11" s="1">
        <v>772</v>
      </c>
      <c r="BS11" s="1">
        <v>772</v>
      </c>
      <c r="BT11" s="1">
        <v>772</v>
      </c>
      <c r="BU11" s="1">
        <v>738</v>
      </c>
      <c r="BV11" s="1">
        <v>738</v>
      </c>
      <c r="BW11" s="1">
        <v>738</v>
      </c>
      <c r="BX11" s="1">
        <v>738</v>
      </c>
      <c r="BY11" s="173">
        <v>780.1665026220935</v>
      </c>
      <c r="BZ11" s="173">
        <v>780.1665026220935</v>
      </c>
      <c r="CA11" s="173">
        <v>780.1665026220935</v>
      </c>
      <c r="CB11" s="173">
        <v>780.1665026220935</v>
      </c>
      <c r="CC11" s="173">
        <v>780.1665026220935</v>
      </c>
      <c r="CD11" s="173">
        <v>791</v>
      </c>
      <c r="CE11" s="173">
        <v>791</v>
      </c>
      <c r="CF11" s="173">
        <v>791</v>
      </c>
      <c r="CG11" s="173">
        <v>791</v>
      </c>
      <c r="CH11" s="173">
        <v>794.61882076959819</v>
      </c>
      <c r="CI11" s="173">
        <v>794.61882076959819</v>
      </c>
      <c r="CJ11" s="173">
        <v>794.61882076959819</v>
      </c>
      <c r="CK11" s="173">
        <v>794.61882076959819</v>
      </c>
      <c r="CL11" s="173">
        <v>794.61882076959819</v>
      </c>
      <c r="CM11" s="173">
        <v>794.61882076959819</v>
      </c>
      <c r="CN11" s="173">
        <v>794.61882076959819</v>
      </c>
      <c r="CO11" s="173">
        <v>794.61882076959819</v>
      </c>
      <c r="CP11" s="173">
        <v>794.61882076959819</v>
      </c>
      <c r="CQ11" s="173">
        <v>772.61324687952413</v>
      </c>
      <c r="CR11" s="173">
        <v>772.61324687952413</v>
      </c>
      <c r="CS11" s="173">
        <v>772.61324687952413</v>
      </c>
      <c r="CT11" s="173">
        <v>772.61324687952413</v>
      </c>
      <c r="CU11" s="173">
        <v>790.71342693105714</v>
      </c>
      <c r="CV11" s="173">
        <v>790.71342693105714</v>
      </c>
      <c r="CW11" s="173">
        <v>790.71342693105714</v>
      </c>
      <c r="CX11" s="173">
        <v>790.71342693105714</v>
      </c>
      <c r="CY11" s="173">
        <v>780.14594515953695</v>
      </c>
      <c r="CZ11" s="173">
        <v>780.14594515953695</v>
      </c>
      <c r="DA11" s="173">
        <v>780.14594515953695</v>
      </c>
      <c r="DB11" s="173">
        <v>780.14594515953695</v>
      </c>
      <c r="DC11" s="173">
        <v>780.14594515953695</v>
      </c>
      <c r="DD11" s="173">
        <v>780.14594515953695</v>
      </c>
      <c r="DE11" s="173">
        <v>780.14594515953695</v>
      </c>
      <c r="DF11" s="173">
        <v>780.14594515953695</v>
      </c>
      <c r="DG11" s="173">
        <v>767.45783789288964</v>
      </c>
      <c r="DH11" s="173">
        <v>767.45783789288964</v>
      </c>
      <c r="DI11" s="173">
        <v>767.45783789288964</v>
      </c>
      <c r="DJ11" s="173">
        <v>767.45783789288964</v>
      </c>
      <c r="DK11" s="173">
        <v>720.25560128568611</v>
      </c>
      <c r="DL11" s="173">
        <v>720.25560128568611</v>
      </c>
      <c r="DM11" s="173">
        <v>720.25560128568611</v>
      </c>
      <c r="DN11" s="173">
        <v>720.25560128568611</v>
      </c>
      <c r="DO11" s="173">
        <v>720.25560128568611</v>
      </c>
      <c r="DP11" s="173">
        <v>754.85044113798847</v>
      </c>
      <c r="DQ11" s="173">
        <v>754.85044113798847</v>
      </c>
      <c r="DR11" s="173">
        <v>754.85044113798847</v>
      </c>
      <c r="DS11" s="173">
        <v>754.85044113798847</v>
      </c>
      <c r="DT11" s="173">
        <v>757.17190222429883</v>
      </c>
      <c r="DU11" s="173">
        <v>757.17190222429883</v>
      </c>
      <c r="DV11" s="173">
        <v>757.17190222429883</v>
      </c>
      <c r="DW11" s="173">
        <v>757.17190222429883</v>
      </c>
      <c r="DX11" s="173">
        <v>757.17190222429883</v>
      </c>
      <c r="DY11" s="173">
        <v>757.17190222429883</v>
      </c>
      <c r="DZ11" s="173">
        <v>757.17190222429883</v>
      </c>
      <c r="EA11" s="173">
        <v>757.17190222429883</v>
      </c>
      <c r="EB11" s="173">
        <v>757.17190222429883</v>
      </c>
      <c r="EC11" s="173">
        <v>757.17190222429883</v>
      </c>
      <c r="ED11" s="173">
        <v>757.17190222429883</v>
      </c>
      <c r="EE11" s="173">
        <v>757.17190222429883</v>
      </c>
      <c r="EF11" s="173">
        <v>757.17190222429883</v>
      </c>
      <c r="EG11" s="173">
        <v>760.07393351542305</v>
      </c>
      <c r="EH11" s="173">
        <v>760.07393351542305</v>
      </c>
      <c r="EI11" s="173">
        <v>760.07393351542305</v>
      </c>
      <c r="EJ11" s="173">
        <v>760.07393351542305</v>
      </c>
      <c r="EK11" s="173">
        <v>760.07393351542305</v>
      </c>
      <c r="EL11" s="173">
        <v>760.79553063281901</v>
      </c>
      <c r="EM11" s="173">
        <v>760.79553063281901</v>
      </c>
      <c r="EN11" s="173">
        <v>760.79553063281901</v>
      </c>
      <c r="EO11" s="173">
        <v>760.79553063281901</v>
      </c>
      <c r="EP11" s="173">
        <v>765.98333885599538</v>
      </c>
      <c r="EQ11" s="173">
        <v>765.98333885599538</v>
      </c>
      <c r="ER11" s="173">
        <v>765.98333885599538</v>
      </c>
      <c r="ES11" s="173">
        <v>765.98333885599538</v>
      </c>
      <c r="ET11" s="173">
        <v>765.98333885599538</v>
      </c>
      <c r="EU11" s="173">
        <v>765.98333885599538</v>
      </c>
      <c r="EV11" s="173">
        <v>765.98333885599538</v>
      </c>
      <c r="EW11" s="173">
        <v>765.98333885599538</v>
      </c>
      <c r="EX11" s="173">
        <v>765.98333885599538</v>
      </c>
      <c r="EY11" s="173">
        <v>765.48148735896382</v>
      </c>
      <c r="EZ11" s="173">
        <v>765.48148735896382</v>
      </c>
      <c r="FA11" s="173">
        <v>765.48148735896382</v>
      </c>
      <c r="FB11" s="173">
        <v>765.48148735896382</v>
      </c>
      <c r="FC11" s="173">
        <v>799.47433626065799</v>
      </c>
      <c r="FD11" s="173">
        <v>799.47433626065799</v>
      </c>
      <c r="FE11" s="173">
        <v>799.47433626065799</v>
      </c>
      <c r="FF11" s="173">
        <v>799.47433626065799</v>
      </c>
      <c r="FG11" s="173">
        <v>865.31704364872087</v>
      </c>
      <c r="FH11" s="173">
        <v>865.31704364872087</v>
      </c>
      <c r="FI11" s="173">
        <v>865.31704364872087</v>
      </c>
      <c r="FJ11" s="173">
        <v>865.31704364872087</v>
      </c>
      <c r="FK11" s="173">
        <v>865.31704364872087</v>
      </c>
      <c r="FL11" s="173">
        <v>828.51168622823786</v>
      </c>
      <c r="FM11" s="173">
        <v>828.51168622823786</v>
      </c>
      <c r="FN11" s="173">
        <v>828.51168622823786</v>
      </c>
      <c r="FO11" s="173">
        <v>828.51168622823786</v>
      </c>
      <c r="FP11" s="173">
        <v>828.51168622823786</v>
      </c>
      <c r="FQ11" s="173">
        <v>828.51168622823786</v>
      </c>
      <c r="FR11" s="173">
        <v>828.51168622823786</v>
      </c>
      <c r="FS11" s="173">
        <v>828.51168622823786</v>
      </c>
      <c r="FT11" s="173">
        <v>828.51168622823786</v>
      </c>
      <c r="FU11" s="173">
        <v>828.51168622823786</v>
      </c>
      <c r="FV11" s="173">
        <v>828.51168622823786</v>
      </c>
      <c r="FW11" s="173">
        <v>828.51168622823786</v>
      </c>
      <c r="FX11" s="173">
        <v>828.51168622823786</v>
      </c>
    </row>
    <row r="13" spans="1:180"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</row>
    <row r="23" spans="6:8">
      <c r="F23" s="32"/>
      <c r="G23" s="32"/>
      <c r="H23" s="32"/>
    </row>
    <row r="24" spans="6:8">
      <c r="F24" s="32"/>
      <c r="G24" s="32"/>
      <c r="H24" s="32"/>
    </row>
    <row r="25" spans="6:8">
      <c r="F25" s="32"/>
      <c r="G25" s="32"/>
      <c r="H25" s="32"/>
    </row>
    <row r="26" spans="6:8">
      <c r="F26" s="32"/>
      <c r="G26" s="32"/>
      <c r="H26" s="32"/>
    </row>
    <row r="27" spans="6:8">
      <c r="F27" s="31"/>
      <c r="G27" s="32"/>
      <c r="H27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D43D-FB73-4E3E-B4BD-852FDB28AD1B}">
  <sheetPr>
    <tabColor rgb="FF7030A0"/>
  </sheetPr>
  <dimension ref="V71:V72"/>
  <sheetViews>
    <sheetView topLeftCell="A19" zoomScale="80" zoomScaleNormal="80" workbookViewId="0">
      <selection activeCell="N34" sqref="N34"/>
    </sheetView>
  </sheetViews>
  <sheetFormatPr defaultColWidth="8.81640625" defaultRowHeight="14.5"/>
  <cols>
    <col min="1" max="16384" width="8.81640625" style="122"/>
  </cols>
  <sheetData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8648-1D5A-4923-830F-4A3A9E3DCE5C}">
  <sheetPr>
    <tabColor rgb="FF7030A0"/>
  </sheetPr>
  <dimension ref="V71:V72"/>
  <sheetViews>
    <sheetView topLeftCell="A43" zoomScale="70" zoomScaleNormal="70" workbookViewId="0">
      <selection activeCell="Y23" sqref="Y23"/>
    </sheetView>
  </sheetViews>
  <sheetFormatPr defaultColWidth="8.81640625" defaultRowHeight="14.5"/>
  <cols>
    <col min="1" max="16384" width="8.81640625" style="122"/>
  </cols>
  <sheetData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5E48-658C-44C0-BD34-306C82827A5D}">
  <dimension ref="A1:FS27"/>
  <sheetViews>
    <sheetView showGridLines="0" topLeftCell="A3" zoomScale="90" zoomScaleNormal="90" workbookViewId="0">
      <pane xSplit="2" ySplit="3" topLeftCell="EO6" activePane="bottomRight" state="frozen"/>
      <selection activeCell="AH16" sqref="AH16"/>
      <selection pane="topRight" activeCell="AH16" sqref="AH16"/>
      <selection pane="bottomLeft" activeCell="AH16" sqref="AH16"/>
      <selection pane="bottomRight" activeCell="FP3" sqref="FP1:FP1048576"/>
    </sheetView>
  </sheetViews>
  <sheetFormatPr defaultColWidth="9.81640625" defaultRowHeight="13"/>
  <cols>
    <col min="1" max="1" width="9.81640625" style="1"/>
    <col min="2" max="2" width="23.453125" style="1" hidden="1" customWidth="1"/>
    <col min="3" max="3" width="0" style="1" hidden="1" customWidth="1"/>
    <col min="4" max="4" width="15.81640625" style="1" customWidth="1"/>
    <col min="5" max="5" width="0" style="1" hidden="1" customWidth="1"/>
    <col min="6" max="17" width="8" style="1" hidden="1" customWidth="1"/>
    <col min="18" max="36" width="7.6328125" style="1" customWidth="1"/>
    <col min="37" max="37" width="5.1796875" style="1" customWidth="1"/>
    <col min="38" max="38" width="13.81640625" style="1" customWidth="1"/>
    <col min="39" max="43" width="0" style="1" hidden="1" customWidth="1"/>
    <col min="44" max="125" width="8.453125" style="1" hidden="1" customWidth="1"/>
    <col min="126" max="144" width="7.81640625" style="1" hidden="1" customWidth="1"/>
    <col min="145" max="146" width="7.81640625" style="1" customWidth="1"/>
    <col min="147" max="175" width="7.54296875" style="1" customWidth="1"/>
    <col min="176" max="16384" width="9.81640625" style="1"/>
  </cols>
  <sheetData>
    <row r="1" spans="1:175" hidden="1"/>
    <row r="2" spans="1:175" hidden="1"/>
    <row r="3" spans="1:175" ht="19.399999999999999" customHeight="1">
      <c r="A3" s="15" t="s">
        <v>120</v>
      </c>
      <c r="B3" s="15"/>
      <c r="D3" s="15"/>
      <c r="AR3" s="170">
        <v>2024</v>
      </c>
      <c r="CP3" s="170">
        <v>2025</v>
      </c>
      <c r="EO3" s="178">
        <v>2026</v>
      </c>
    </row>
    <row r="4" spans="1:175" s="61" customFormat="1" ht="17.5">
      <c r="A4" s="72"/>
      <c r="B4" s="73" t="s">
        <v>3</v>
      </c>
      <c r="C4" s="73"/>
      <c r="D4" s="73"/>
      <c r="E4" s="74">
        <v>24000</v>
      </c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M4" s="74">
        <v>24000</v>
      </c>
      <c r="AN4" s="74">
        <v>24000</v>
      </c>
      <c r="AO4" s="74">
        <v>24000</v>
      </c>
      <c r="AP4" s="74">
        <v>24000</v>
      </c>
      <c r="AQ4" s="74">
        <v>24000</v>
      </c>
      <c r="AR4" s="74">
        <v>24000</v>
      </c>
      <c r="AS4" s="74">
        <v>24000</v>
      </c>
      <c r="AT4" s="74"/>
      <c r="AU4" s="74"/>
      <c r="AV4" s="74"/>
      <c r="AW4" s="74"/>
      <c r="AX4" s="74"/>
      <c r="AY4" s="74"/>
      <c r="AZ4" s="74"/>
      <c r="BA4" s="74"/>
    </row>
    <row r="5" spans="1:175" s="32" customFormat="1" ht="19.5" customHeight="1">
      <c r="A5" s="34" t="s">
        <v>5</v>
      </c>
      <c r="B5" s="33" t="s">
        <v>2</v>
      </c>
      <c r="C5" s="33" t="s">
        <v>7</v>
      </c>
      <c r="D5" s="33" t="s">
        <v>2</v>
      </c>
      <c r="E5" s="86" t="s">
        <v>119</v>
      </c>
      <c r="F5" s="86" t="s">
        <v>122</v>
      </c>
      <c r="G5" s="86">
        <v>2</v>
      </c>
      <c r="H5" s="86">
        <v>3</v>
      </c>
      <c r="I5" s="86">
        <v>4</v>
      </c>
      <c r="J5" s="86">
        <v>5</v>
      </c>
      <c r="K5" s="86">
        <v>6</v>
      </c>
      <c r="L5" s="86">
        <v>7</v>
      </c>
      <c r="M5" s="86">
        <v>8</v>
      </c>
      <c r="N5" s="86">
        <v>9</v>
      </c>
      <c r="O5" s="86">
        <v>10</v>
      </c>
      <c r="P5" s="86">
        <v>11</v>
      </c>
      <c r="Q5" s="86">
        <v>12</v>
      </c>
      <c r="R5" s="86" t="s">
        <v>169</v>
      </c>
      <c r="S5" s="86">
        <v>2</v>
      </c>
      <c r="T5" s="86">
        <v>3</v>
      </c>
      <c r="U5" s="86">
        <v>4</v>
      </c>
      <c r="V5" s="86">
        <v>5</v>
      </c>
      <c r="W5" s="86">
        <v>6</v>
      </c>
      <c r="X5" s="86">
        <v>7</v>
      </c>
      <c r="Y5" s="86">
        <v>8</v>
      </c>
      <c r="Z5" s="86">
        <v>9</v>
      </c>
      <c r="AA5" s="86">
        <v>10</v>
      </c>
      <c r="AB5" s="86">
        <v>11</v>
      </c>
      <c r="AC5" s="86">
        <v>12</v>
      </c>
      <c r="AD5" s="86" t="s">
        <v>193</v>
      </c>
      <c r="AE5" s="86">
        <v>2</v>
      </c>
      <c r="AF5" s="86">
        <v>3</v>
      </c>
      <c r="AG5" s="86">
        <v>4</v>
      </c>
      <c r="AH5" s="86">
        <v>5</v>
      </c>
      <c r="AI5" s="86">
        <v>6</v>
      </c>
      <c r="AJ5" s="86">
        <v>7</v>
      </c>
      <c r="AL5" s="33" t="s">
        <v>2</v>
      </c>
      <c r="AM5" s="101">
        <v>48</v>
      </c>
      <c r="AN5" s="101">
        <v>49</v>
      </c>
      <c r="AO5" s="101">
        <v>50</v>
      </c>
      <c r="AP5" s="101">
        <v>51</v>
      </c>
      <c r="AQ5" s="101">
        <v>52</v>
      </c>
      <c r="AR5" s="90" t="s">
        <v>121</v>
      </c>
      <c r="AS5" s="90" t="s">
        <v>123</v>
      </c>
      <c r="AT5" s="90" t="s">
        <v>124</v>
      </c>
      <c r="AU5" s="90" t="s">
        <v>125</v>
      </c>
      <c r="AV5" s="90" t="s">
        <v>126</v>
      </c>
      <c r="AW5" s="90" t="s">
        <v>142</v>
      </c>
      <c r="AX5" s="90" t="s">
        <v>143</v>
      </c>
      <c r="AY5" s="90" t="s">
        <v>144</v>
      </c>
      <c r="AZ5" s="90" t="s">
        <v>145</v>
      </c>
      <c r="BA5" s="90" t="s">
        <v>146</v>
      </c>
      <c r="BB5" s="90" t="s">
        <v>147</v>
      </c>
      <c r="BC5" s="90" t="s">
        <v>148</v>
      </c>
      <c r="BD5" s="90" t="s">
        <v>149</v>
      </c>
      <c r="BE5" s="90" t="s">
        <v>150</v>
      </c>
      <c r="BF5" s="90" t="s">
        <v>151</v>
      </c>
      <c r="BG5" s="90" t="s">
        <v>152</v>
      </c>
      <c r="BH5" s="90" t="s">
        <v>153</v>
      </c>
      <c r="BI5" s="90" t="s">
        <v>154</v>
      </c>
      <c r="BJ5" s="90" t="s">
        <v>155</v>
      </c>
      <c r="BK5" s="90" t="s">
        <v>157</v>
      </c>
      <c r="BL5" s="90" t="s">
        <v>158</v>
      </c>
      <c r="BM5" s="90" t="s">
        <v>159</v>
      </c>
      <c r="BN5" s="90" t="s">
        <v>160</v>
      </c>
      <c r="BO5" s="90" t="s">
        <v>161</v>
      </c>
      <c r="BP5" s="90" t="s">
        <v>162</v>
      </c>
      <c r="BQ5" s="90" t="s">
        <v>163</v>
      </c>
      <c r="BR5" s="90" t="s">
        <v>164</v>
      </c>
      <c r="BS5" s="90" t="s">
        <v>165</v>
      </c>
      <c r="BT5" s="90" t="s">
        <v>166</v>
      </c>
      <c r="BU5" s="90" t="s">
        <v>167</v>
      </c>
      <c r="BV5" s="90" t="s">
        <v>168</v>
      </c>
      <c r="BW5" s="90">
        <v>34</v>
      </c>
      <c r="BX5" s="90">
        <v>35</v>
      </c>
      <c r="BY5" s="90">
        <v>36</v>
      </c>
      <c r="BZ5" s="90">
        <v>37</v>
      </c>
      <c r="CA5" s="90">
        <v>38</v>
      </c>
      <c r="CB5" s="90">
        <v>39</v>
      </c>
      <c r="CC5" s="90">
        <v>40</v>
      </c>
      <c r="CD5" s="90">
        <v>41</v>
      </c>
      <c r="CE5" s="90">
        <v>42</v>
      </c>
      <c r="CF5" s="90">
        <v>43</v>
      </c>
      <c r="CG5" s="90">
        <v>44</v>
      </c>
      <c r="CH5" s="90">
        <v>45</v>
      </c>
      <c r="CI5" s="90">
        <v>46</v>
      </c>
      <c r="CJ5" s="90">
        <v>47</v>
      </c>
      <c r="CK5" s="90">
        <v>48</v>
      </c>
      <c r="CL5" s="90">
        <v>49</v>
      </c>
      <c r="CM5" s="90">
        <v>50</v>
      </c>
      <c r="CN5" s="90">
        <v>51</v>
      </c>
      <c r="CO5" s="90">
        <v>52</v>
      </c>
      <c r="CP5" s="90" t="s">
        <v>121</v>
      </c>
      <c r="CQ5" s="90" t="s">
        <v>123</v>
      </c>
      <c r="CR5" s="90" t="s">
        <v>124</v>
      </c>
      <c r="CS5" s="90" t="s">
        <v>125</v>
      </c>
      <c r="CT5" s="90" t="s">
        <v>170</v>
      </c>
      <c r="CU5" s="90" t="s">
        <v>172</v>
      </c>
      <c r="CV5" s="90" t="s">
        <v>142</v>
      </c>
      <c r="CW5" s="90" t="s">
        <v>143</v>
      </c>
      <c r="CX5" s="90" t="s">
        <v>144</v>
      </c>
      <c r="CY5" s="90" t="s">
        <v>145</v>
      </c>
      <c r="CZ5" s="90" t="s">
        <v>146</v>
      </c>
      <c r="DA5" s="90" t="s">
        <v>147</v>
      </c>
      <c r="DB5" s="90" t="s">
        <v>148</v>
      </c>
      <c r="DC5" s="90" t="s">
        <v>149</v>
      </c>
      <c r="DD5" s="90" t="s">
        <v>150</v>
      </c>
      <c r="DE5" s="90" t="s">
        <v>151</v>
      </c>
      <c r="DF5" s="90" t="s">
        <v>152</v>
      </c>
      <c r="DG5" s="90" t="s">
        <v>153</v>
      </c>
      <c r="DH5" s="90" t="s">
        <v>154</v>
      </c>
      <c r="DI5" s="90" t="s">
        <v>155</v>
      </c>
      <c r="DJ5" s="90" t="s">
        <v>157</v>
      </c>
      <c r="DK5" s="90" t="s">
        <v>158</v>
      </c>
      <c r="DL5" s="90" t="s">
        <v>159</v>
      </c>
      <c r="DM5" s="90" t="s">
        <v>160</v>
      </c>
      <c r="DN5" s="90" t="s">
        <v>161</v>
      </c>
      <c r="DO5" s="90" t="s">
        <v>162</v>
      </c>
      <c r="DP5" s="90" t="s">
        <v>163</v>
      </c>
      <c r="DQ5" s="90" t="s">
        <v>164</v>
      </c>
      <c r="DR5" s="90" t="s">
        <v>165</v>
      </c>
      <c r="DS5" s="90" t="s">
        <v>166</v>
      </c>
      <c r="DT5" s="90" t="s">
        <v>167</v>
      </c>
      <c r="DU5" s="90" t="s">
        <v>168</v>
      </c>
      <c r="DV5" s="90" t="s">
        <v>174</v>
      </c>
      <c r="DW5" s="90" t="s">
        <v>175</v>
      </c>
      <c r="DX5" s="90">
        <v>36</v>
      </c>
      <c r="DY5" s="90">
        <v>37</v>
      </c>
      <c r="DZ5" s="90">
        <v>38</v>
      </c>
      <c r="EA5" s="90">
        <v>39</v>
      </c>
      <c r="EB5" s="90">
        <v>40</v>
      </c>
      <c r="EC5" s="90">
        <v>41</v>
      </c>
      <c r="ED5" s="90">
        <v>42</v>
      </c>
      <c r="EE5" s="90">
        <v>43</v>
      </c>
      <c r="EF5" s="90">
        <v>44</v>
      </c>
      <c r="EG5" s="90">
        <v>45</v>
      </c>
      <c r="EH5" s="90">
        <v>46</v>
      </c>
      <c r="EI5" s="90">
        <v>47</v>
      </c>
      <c r="EJ5" s="90">
        <v>48</v>
      </c>
      <c r="EK5" s="90">
        <v>49</v>
      </c>
      <c r="EL5" s="90">
        <v>50</v>
      </c>
      <c r="EM5" s="90">
        <v>51</v>
      </c>
      <c r="EN5" s="90">
        <v>52</v>
      </c>
      <c r="EO5" s="90" t="s">
        <v>121</v>
      </c>
      <c r="EP5" s="90" t="s">
        <v>123</v>
      </c>
      <c r="EQ5" s="90" t="s">
        <v>124</v>
      </c>
      <c r="ER5" s="90" t="s">
        <v>125</v>
      </c>
      <c r="ES5" s="90" t="s">
        <v>126</v>
      </c>
      <c r="ET5" s="90" t="s">
        <v>170</v>
      </c>
      <c r="EU5" s="90" t="s">
        <v>172</v>
      </c>
      <c r="EV5" s="90" t="s">
        <v>142</v>
      </c>
      <c r="EW5" s="90" t="s">
        <v>143</v>
      </c>
      <c r="EX5" s="90">
        <v>10</v>
      </c>
      <c r="EY5" s="90">
        <v>11</v>
      </c>
      <c r="EZ5" s="90">
        <v>12</v>
      </c>
      <c r="FA5" s="90">
        <v>13</v>
      </c>
      <c r="FB5" s="90">
        <v>14</v>
      </c>
      <c r="FC5" s="90">
        <v>15</v>
      </c>
      <c r="FD5" s="90">
        <v>16</v>
      </c>
      <c r="FE5" s="90">
        <v>17</v>
      </c>
      <c r="FF5" s="90">
        <v>18</v>
      </c>
      <c r="FG5" s="90">
        <v>19</v>
      </c>
      <c r="FH5" s="90">
        <v>20</v>
      </c>
      <c r="FI5" s="90">
        <v>21</v>
      </c>
      <c r="FJ5" s="90">
        <v>22</v>
      </c>
      <c r="FK5" s="90">
        <v>23</v>
      </c>
      <c r="FL5" s="90">
        <v>24</v>
      </c>
      <c r="FM5" s="90">
        <v>25</v>
      </c>
      <c r="FN5" s="90">
        <v>26</v>
      </c>
      <c r="FO5" s="90">
        <v>27</v>
      </c>
      <c r="FP5" s="90">
        <v>28</v>
      </c>
      <c r="FQ5" s="90">
        <v>29</v>
      </c>
      <c r="FR5" s="90">
        <v>30</v>
      </c>
      <c r="FS5" s="90">
        <v>31</v>
      </c>
    </row>
    <row r="6" spans="1:175" ht="14">
      <c r="A6" s="9"/>
      <c r="B6" s="11" t="s">
        <v>29</v>
      </c>
      <c r="C6" s="9" t="s">
        <v>24</v>
      </c>
      <c r="D6" s="11" t="s">
        <v>137</v>
      </c>
      <c r="E6" s="50">
        <v>810</v>
      </c>
      <c r="F6" s="50">
        <v>810</v>
      </c>
      <c r="G6" s="50">
        <v>880</v>
      </c>
      <c r="H6" s="50">
        <v>900</v>
      </c>
      <c r="I6" s="50">
        <v>900</v>
      </c>
      <c r="J6" s="50">
        <v>870</v>
      </c>
      <c r="K6" s="50">
        <v>870</v>
      </c>
      <c r="L6" s="50">
        <v>870</v>
      </c>
      <c r="M6" s="50">
        <v>870</v>
      </c>
      <c r="N6" s="50">
        <v>850</v>
      </c>
      <c r="O6" s="50">
        <v>840</v>
      </c>
      <c r="P6" s="50">
        <v>825</v>
      </c>
      <c r="Q6" s="50">
        <f>+SUM(CL6:CO6)/COUNT(CL6:CO6)</f>
        <v>825</v>
      </c>
      <c r="R6" s="50">
        <f>+SUM(CP6:CS6)/COUNT(CP6:CS6)</f>
        <v>825</v>
      </c>
      <c r="S6" s="50">
        <f>+SUM(CT6:CW6)/COUNT(CT6:CW6)</f>
        <v>750</v>
      </c>
      <c r="T6" s="50">
        <f>+SUM(CX6:DA6)/COUNT(CX6:DA6)</f>
        <v>750</v>
      </c>
      <c r="U6" s="50">
        <v>750</v>
      </c>
      <c r="V6" s="50">
        <f>750-30</f>
        <v>720</v>
      </c>
      <c r="W6" s="50">
        <f>750-30</f>
        <v>720</v>
      </c>
      <c r="X6" s="50">
        <f>750-30</f>
        <v>720</v>
      </c>
      <c r="Y6" s="50">
        <f>750-30-20</f>
        <v>700</v>
      </c>
      <c r="Z6" s="50">
        <f>750-30-20</f>
        <v>700</v>
      </c>
      <c r="AA6" s="50">
        <f>750-30-20</f>
        <v>700</v>
      </c>
      <c r="AB6" s="50">
        <v>690</v>
      </c>
      <c r="AC6" s="50">
        <v>665</v>
      </c>
      <c r="AD6" s="50">
        <v>665</v>
      </c>
      <c r="AE6" s="50">
        <v>665</v>
      </c>
      <c r="AF6" s="50">
        <v>665</v>
      </c>
      <c r="AG6" s="50">
        <v>1160</v>
      </c>
      <c r="AH6" s="50">
        <v>1160</v>
      </c>
      <c r="AI6" s="50">
        <v>1065</v>
      </c>
      <c r="AJ6" s="50">
        <v>900</v>
      </c>
      <c r="AL6" s="11" t="s">
        <v>137</v>
      </c>
      <c r="AM6" s="50">
        <v>810</v>
      </c>
      <c r="AN6" s="50">
        <v>810</v>
      </c>
      <c r="AO6" s="50">
        <v>810</v>
      </c>
      <c r="AP6" s="50">
        <v>810</v>
      </c>
      <c r="AQ6" s="50">
        <v>810</v>
      </c>
      <c r="AR6" s="50">
        <v>810</v>
      </c>
      <c r="AS6" s="50">
        <v>810</v>
      </c>
      <c r="AT6" s="50">
        <v>810</v>
      </c>
      <c r="AU6" s="50">
        <v>810</v>
      </c>
      <c r="AV6" s="50">
        <v>880</v>
      </c>
      <c r="AW6" s="50">
        <v>880</v>
      </c>
      <c r="AX6" s="50">
        <v>880</v>
      </c>
      <c r="AY6" s="50">
        <v>900</v>
      </c>
      <c r="AZ6" s="50">
        <v>900</v>
      </c>
      <c r="BA6" s="50">
        <v>900</v>
      </c>
      <c r="BB6" s="50">
        <v>900</v>
      </c>
      <c r="BC6" s="50">
        <v>900</v>
      </c>
      <c r="BD6" s="50">
        <v>900</v>
      </c>
      <c r="BE6" s="50">
        <v>900</v>
      </c>
      <c r="BF6" s="50">
        <v>900</v>
      </c>
      <c r="BG6" s="50">
        <v>870</v>
      </c>
      <c r="BH6" s="50">
        <v>870</v>
      </c>
      <c r="BI6" s="50">
        <v>870</v>
      </c>
      <c r="BJ6" s="50">
        <v>870</v>
      </c>
      <c r="BK6" s="50">
        <v>870</v>
      </c>
      <c r="BL6" s="50">
        <v>870</v>
      </c>
      <c r="BM6" s="50">
        <v>870</v>
      </c>
      <c r="BN6" s="50">
        <v>870</v>
      </c>
      <c r="BO6" s="50">
        <v>870</v>
      </c>
      <c r="BP6" s="50">
        <v>870</v>
      </c>
      <c r="BQ6" s="50">
        <v>870</v>
      </c>
      <c r="BR6" s="50">
        <v>870</v>
      </c>
      <c r="BS6" s="50">
        <v>870</v>
      </c>
      <c r="BT6" s="50">
        <v>870</v>
      </c>
      <c r="BU6" s="50">
        <v>870</v>
      </c>
      <c r="BV6" s="50">
        <v>870</v>
      </c>
      <c r="BW6" s="50">
        <v>870</v>
      </c>
      <c r="BX6" s="50">
        <v>870</v>
      </c>
      <c r="BY6" s="50">
        <v>850</v>
      </c>
      <c r="BZ6" s="50">
        <v>850</v>
      </c>
      <c r="CA6" s="50">
        <v>850</v>
      </c>
      <c r="CB6" s="50">
        <v>850</v>
      </c>
      <c r="CC6" s="50">
        <v>840</v>
      </c>
      <c r="CD6" s="50">
        <v>840</v>
      </c>
      <c r="CE6" s="50">
        <v>840</v>
      </c>
      <c r="CF6" s="50">
        <v>840</v>
      </c>
      <c r="CG6" s="50">
        <v>825</v>
      </c>
      <c r="CH6" s="50">
        <v>825</v>
      </c>
      <c r="CI6" s="50">
        <v>825</v>
      </c>
      <c r="CJ6" s="50">
        <v>825</v>
      </c>
      <c r="CK6" s="50">
        <v>825</v>
      </c>
      <c r="CL6" s="50">
        <v>825</v>
      </c>
      <c r="CM6" s="50">
        <v>825</v>
      </c>
      <c r="CN6" s="50">
        <v>825</v>
      </c>
      <c r="CO6" s="50">
        <v>825</v>
      </c>
      <c r="CP6" s="50">
        <v>825</v>
      </c>
      <c r="CQ6" s="50">
        <v>825</v>
      </c>
      <c r="CR6" s="50">
        <v>825</v>
      </c>
      <c r="CS6" s="50">
        <v>825</v>
      </c>
      <c r="CT6" s="50">
        <v>750</v>
      </c>
      <c r="CU6" s="50">
        <v>750</v>
      </c>
      <c r="CV6" s="50">
        <v>750</v>
      </c>
      <c r="CW6" s="50">
        <v>750</v>
      </c>
      <c r="CX6" s="50">
        <v>750</v>
      </c>
      <c r="CY6" s="50">
        <v>750</v>
      </c>
      <c r="CZ6" s="50">
        <v>750</v>
      </c>
      <c r="DA6" s="50">
        <v>750</v>
      </c>
      <c r="DB6" s="50">
        <v>750</v>
      </c>
      <c r="DC6" s="50">
        <v>750</v>
      </c>
      <c r="DD6" s="50">
        <v>750</v>
      </c>
      <c r="DE6" s="50">
        <v>750</v>
      </c>
      <c r="DF6" s="50">
        <v>720</v>
      </c>
      <c r="DG6" s="50">
        <v>720</v>
      </c>
      <c r="DH6" s="50">
        <v>720</v>
      </c>
      <c r="DI6" s="50">
        <v>720</v>
      </c>
      <c r="DJ6" s="50">
        <v>720</v>
      </c>
      <c r="DK6" s="50">
        <v>720</v>
      </c>
      <c r="DL6" s="50">
        <v>720</v>
      </c>
      <c r="DM6" s="50">
        <v>720</v>
      </c>
      <c r="DN6" s="50">
        <v>720</v>
      </c>
      <c r="DO6" s="50">
        <v>720</v>
      </c>
      <c r="DP6" s="50">
        <v>720</v>
      </c>
      <c r="DQ6" s="50">
        <v>720</v>
      </c>
      <c r="DR6" s="50">
        <v>720</v>
      </c>
      <c r="DS6" s="50">
        <v>720</v>
      </c>
      <c r="DT6" s="50">
        <v>700</v>
      </c>
      <c r="DU6" s="50">
        <v>700</v>
      </c>
      <c r="DV6" s="50">
        <v>700</v>
      </c>
      <c r="DW6" s="50">
        <v>700</v>
      </c>
      <c r="DX6" s="50">
        <v>700</v>
      </c>
      <c r="DY6" s="50">
        <v>700</v>
      </c>
      <c r="DZ6" s="50">
        <v>700</v>
      </c>
      <c r="EA6" s="50">
        <v>700</v>
      </c>
      <c r="EB6" s="50">
        <v>700</v>
      </c>
      <c r="EC6" s="50">
        <v>700</v>
      </c>
      <c r="ED6" s="50">
        <v>700</v>
      </c>
      <c r="EE6" s="50">
        <v>700</v>
      </c>
      <c r="EF6" s="50">
        <v>700</v>
      </c>
      <c r="EG6" s="50">
        <v>690</v>
      </c>
      <c r="EH6" s="50">
        <v>690</v>
      </c>
      <c r="EI6" s="50">
        <v>690</v>
      </c>
      <c r="EJ6" s="50">
        <v>690</v>
      </c>
      <c r="EK6" s="50">
        <v>665</v>
      </c>
      <c r="EL6" s="50">
        <v>665</v>
      </c>
      <c r="EM6" s="50">
        <v>665</v>
      </c>
      <c r="EN6" s="50">
        <v>665</v>
      </c>
      <c r="EO6" s="50">
        <v>665</v>
      </c>
      <c r="EP6" s="50">
        <v>665</v>
      </c>
      <c r="EQ6" s="50">
        <v>665</v>
      </c>
      <c r="ER6" s="50">
        <v>665</v>
      </c>
      <c r="ES6" s="50">
        <v>665</v>
      </c>
      <c r="ET6" s="50">
        <v>665</v>
      </c>
      <c r="EU6" s="50">
        <v>665</v>
      </c>
      <c r="EV6" s="50">
        <v>665</v>
      </c>
      <c r="EW6" s="50">
        <v>665</v>
      </c>
      <c r="EX6" s="50">
        <v>665</v>
      </c>
      <c r="EY6" s="50">
        <v>665</v>
      </c>
      <c r="EZ6" s="50">
        <f>665+50</f>
        <v>715</v>
      </c>
      <c r="FA6" s="50">
        <f>665+50</f>
        <v>715</v>
      </c>
      <c r="FB6" s="50">
        <v>1160</v>
      </c>
      <c r="FC6" s="50">
        <v>1160</v>
      </c>
      <c r="FD6" s="50">
        <v>1160</v>
      </c>
      <c r="FE6" s="50">
        <v>1160</v>
      </c>
      <c r="FF6" s="50">
        <v>1160</v>
      </c>
      <c r="FG6" s="50">
        <v>1160</v>
      </c>
      <c r="FH6" s="50">
        <v>1160</v>
      </c>
      <c r="FI6" s="50">
        <v>1160</v>
      </c>
      <c r="FJ6" s="50">
        <v>1160</v>
      </c>
      <c r="FK6" s="50">
        <v>1065</v>
      </c>
      <c r="FL6" s="50">
        <v>1065</v>
      </c>
      <c r="FM6" s="50">
        <v>1065</v>
      </c>
      <c r="FN6" s="50">
        <v>1065</v>
      </c>
      <c r="FO6" s="50">
        <v>900</v>
      </c>
      <c r="FP6" s="50">
        <v>900</v>
      </c>
      <c r="FQ6" s="50"/>
      <c r="FR6" s="50"/>
      <c r="FS6" s="50"/>
    </row>
    <row r="7" spans="1:175" ht="14">
      <c r="A7" s="54" t="s">
        <v>41</v>
      </c>
      <c r="B7" s="59" t="s">
        <v>94</v>
      </c>
      <c r="C7" s="54" t="s">
        <v>24</v>
      </c>
      <c r="D7" s="111" t="s">
        <v>130</v>
      </c>
      <c r="E7" s="129">
        <f>+SUM(AM7:AQ7)/COUNT(AM7:AQ7)</f>
        <v>900</v>
      </c>
      <c r="F7" s="129">
        <f>+SUM(AR7:AU7)/COUNT(AR7:AU7)</f>
        <v>947.5</v>
      </c>
      <c r="G7" s="129">
        <f>+SUM(AV7:AX7)/COUNT(AV7:AX7)</f>
        <v>1010</v>
      </c>
      <c r="H7" s="129">
        <f>+SUM(AY7:BB7)/COUNT(AY7:BB7)</f>
        <v>995</v>
      </c>
      <c r="I7" s="129">
        <f>+SUM(BC7:BF7)/COUNT(BC7:BF7)</f>
        <v>975</v>
      </c>
      <c r="J7" s="129">
        <f>+SUM(BG7:BK7)/COUNT(BG7:BK7)</f>
        <v>956</v>
      </c>
      <c r="K7" s="129">
        <f>+SUM(BL7:BO7)/COUNT(BL7:BO7)</f>
        <v>980</v>
      </c>
      <c r="L7" s="129">
        <f>+SUM(BP7:BS7)/COUNT(BP7:BS7)</f>
        <v>975</v>
      </c>
      <c r="M7" s="129">
        <f>+SUM(BT7:BX7)/COUNT(BT7:BX7)</f>
        <v>946</v>
      </c>
      <c r="N7" s="129">
        <f>+SUM(BY7:CB7)/COUNT(BY7:CB7)</f>
        <v>932.5</v>
      </c>
      <c r="O7" s="129">
        <f>+SUM(CC7:CF7)/COUNT(CC7:CF7)</f>
        <v>925</v>
      </c>
      <c r="P7" s="129">
        <f>+SUM(CG7:CK7)/COUNT(CG7:CK7)</f>
        <v>940</v>
      </c>
      <c r="Q7" s="129">
        <f>+SUM(CL7:CO7)/COUNT(CL7:CO7)</f>
        <v>940</v>
      </c>
      <c r="R7" s="129">
        <f>+SUM(CP7:CS7)/COUNT(CP7:CS7)</f>
        <v>940</v>
      </c>
      <c r="S7" s="129">
        <f>+SUM(CT7:CW7)/COUNT(CT7:CW7)</f>
        <v>945</v>
      </c>
      <c r="T7" s="129">
        <f>+SUM(CX7:DA7)/COUNT(CX7:DA7)</f>
        <v>940</v>
      </c>
      <c r="U7" s="129">
        <f>+SUM(DB7:DE7)/COUNT(DB7:DE7)</f>
        <v>905</v>
      </c>
      <c r="V7" s="129">
        <f>+SUM(DF7:DJ7)/COUNT(DF7:DJ7)</f>
        <v>908</v>
      </c>
      <c r="W7" s="129">
        <f>+SUM(DK7:DN7)/COUNT(DK7:DN7)</f>
        <v>915</v>
      </c>
      <c r="X7" s="129">
        <f>+SUM(DO7:DS7)/COUNT(DO7:DS7)</f>
        <v>930</v>
      </c>
      <c r="Y7" s="129">
        <f>+SUM(DT7:DW7)/COUNT(DT7:DW7)</f>
        <v>930</v>
      </c>
      <c r="Z7" s="129">
        <f>+SUM(DX7:EA7)/COUNT(DX7:EA7)</f>
        <v>915</v>
      </c>
      <c r="AA7" s="129">
        <f>+SUM(EB7:EF7)/COUNT(EB7:EF7)</f>
        <v>870</v>
      </c>
      <c r="AB7" s="129">
        <f>+SUM(EG7:EJ7)/COUNT(EG7:EJ7)</f>
        <v>840</v>
      </c>
      <c r="AC7" s="129">
        <f>+SUM(EK7:EN7)/COUNT(EK7:EN7)</f>
        <v>830</v>
      </c>
      <c r="AD7" s="129">
        <f>+SUM(EO7:ES7)/COUNT(EO7:ES7)</f>
        <v>830</v>
      </c>
      <c r="AE7" s="129">
        <f>+SUM(ET7:EW7)/COUNT(ET7:EW7)</f>
        <v>830</v>
      </c>
      <c r="AF7" s="129">
        <f>+SUM(EX7:FA7)/COUNT(EX7:FA7)</f>
        <v>1268.75</v>
      </c>
      <c r="AG7" s="129">
        <f>+SUM(FB7:FF7)/COUNT(FB7:FF7)</f>
        <v>1450</v>
      </c>
      <c r="AH7" s="129">
        <f>+SUM(FG7:FJ7)/COUNT(FG7:FJ7)</f>
        <v>1390</v>
      </c>
      <c r="AI7" s="129">
        <f>+SUM(FK7:FN7)/COUNT(FK7:FN7)</f>
        <v>1247.5</v>
      </c>
      <c r="AJ7" s="129">
        <f>+SUM(FO7:FS7)/COUNT(FO7:FS7)</f>
        <v>1055</v>
      </c>
      <c r="AK7" s="51"/>
      <c r="AL7" s="111" t="s">
        <v>130</v>
      </c>
      <c r="AM7" s="118">
        <v>900</v>
      </c>
      <c r="AN7" s="118">
        <v>900</v>
      </c>
      <c r="AO7" s="118">
        <v>900</v>
      </c>
      <c r="AP7" s="118">
        <v>900</v>
      </c>
      <c r="AQ7" s="118">
        <v>900</v>
      </c>
      <c r="AR7" s="118">
        <v>900</v>
      </c>
      <c r="AS7" s="118">
        <v>930</v>
      </c>
      <c r="AT7" s="118">
        <v>930</v>
      </c>
      <c r="AU7" s="118">
        <v>1030</v>
      </c>
      <c r="AV7" s="118">
        <v>1030</v>
      </c>
      <c r="AW7" s="118">
        <v>1000</v>
      </c>
      <c r="AX7" s="118">
        <v>1000</v>
      </c>
      <c r="AY7" s="118">
        <v>1000</v>
      </c>
      <c r="AZ7" s="118">
        <v>1000</v>
      </c>
      <c r="BA7" s="118">
        <v>1000</v>
      </c>
      <c r="BB7" s="118">
        <v>980</v>
      </c>
      <c r="BC7" s="118">
        <v>980</v>
      </c>
      <c r="BD7" s="118">
        <v>980</v>
      </c>
      <c r="BE7" s="118">
        <v>980</v>
      </c>
      <c r="BF7" s="118">
        <v>960</v>
      </c>
      <c r="BG7" s="118">
        <v>950</v>
      </c>
      <c r="BH7" s="118">
        <v>950</v>
      </c>
      <c r="BI7" s="118">
        <v>950</v>
      </c>
      <c r="BJ7" s="118">
        <v>950</v>
      </c>
      <c r="BK7" s="118">
        <v>980</v>
      </c>
      <c r="BL7" s="118">
        <v>980</v>
      </c>
      <c r="BM7" s="118">
        <v>980</v>
      </c>
      <c r="BN7" s="118">
        <v>980</v>
      </c>
      <c r="BO7" s="118">
        <v>980</v>
      </c>
      <c r="BP7" s="118">
        <v>980</v>
      </c>
      <c r="BQ7" s="118">
        <v>980</v>
      </c>
      <c r="BR7" s="118">
        <v>980</v>
      </c>
      <c r="BS7" s="118">
        <v>960</v>
      </c>
      <c r="BT7" s="118">
        <v>950</v>
      </c>
      <c r="BU7" s="118">
        <v>950</v>
      </c>
      <c r="BV7" s="118">
        <v>950</v>
      </c>
      <c r="BW7" s="118">
        <v>940</v>
      </c>
      <c r="BX7" s="118">
        <v>940</v>
      </c>
      <c r="BY7" s="118">
        <v>940</v>
      </c>
      <c r="BZ7" s="118">
        <v>930</v>
      </c>
      <c r="CA7" s="118">
        <v>930</v>
      </c>
      <c r="CB7" s="118">
        <v>930</v>
      </c>
      <c r="CC7" s="118">
        <v>920</v>
      </c>
      <c r="CD7" s="118">
        <v>920</v>
      </c>
      <c r="CE7" s="118">
        <v>920</v>
      </c>
      <c r="CF7" s="118">
        <v>940</v>
      </c>
      <c r="CG7" s="118">
        <v>940</v>
      </c>
      <c r="CH7" s="118">
        <v>940</v>
      </c>
      <c r="CI7" s="118">
        <v>940</v>
      </c>
      <c r="CJ7" s="118">
        <v>940</v>
      </c>
      <c r="CK7" s="118">
        <v>940</v>
      </c>
      <c r="CL7" s="118">
        <v>940</v>
      </c>
      <c r="CM7" s="118">
        <v>940</v>
      </c>
      <c r="CN7" s="118">
        <v>940</v>
      </c>
      <c r="CO7" s="118">
        <v>940</v>
      </c>
      <c r="CP7" s="118">
        <v>940</v>
      </c>
      <c r="CQ7" s="118">
        <v>940</v>
      </c>
      <c r="CR7" s="118">
        <v>940</v>
      </c>
      <c r="CS7" s="118">
        <v>940</v>
      </c>
      <c r="CT7" s="118">
        <v>940</v>
      </c>
      <c r="CU7" s="118">
        <v>940</v>
      </c>
      <c r="CV7" s="118">
        <v>950</v>
      </c>
      <c r="CW7" s="118">
        <v>950</v>
      </c>
      <c r="CX7" s="118">
        <v>950</v>
      </c>
      <c r="CY7" s="118">
        <v>950</v>
      </c>
      <c r="CZ7" s="118">
        <v>950</v>
      </c>
      <c r="DA7" s="118">
        <v>910</v>
      </c>
      <c r="DB7" s="118">
        <v>910</v>
      </c>
      <c r="DC7" s="118">
        <v>900</v>
      </c>
      <c r="DD7" s="118">
        <v>900</v>
      </c>
      <c r="DE7" s="118">
        <v>910</v>
      </c>
      <c r="DF7" s="118">
        <v>910</v>
      </c>
      <c r="DG7" s="118">
        <v>910</v>
      </c>
      <c r="DH7" s="118">
        <v>910</v>
      </c>
      <c r="DI7" s="118">
        <v>910</v>
      </c>
      <c r="DJ7" s="118">
        <v>900</v>
      </c>
      <c r="DK7" s="118">
        <v>900</v>
      </c>
      <c r="DL7" s="118">
        <v>900</v>
      </c>
      <c r="DM7" s="118">
        <v>930</v>
      </c>
      <c r="DN7" s="118">
        <v>930</v>
      </c>
      <c r="DO7" s="118">
        <v>930</v>
      </c>
      <c r="DP7" s="118">
        <v>930</v>
      </c>
      <c r="DQ7" s="118">
        <v>930</v>
      </c>
      <c r="DR7" s="118">
        <v>930</v>
      </c>
      <c r="DS7" s="118">
        <v>930</v>
      </c>
      <c r="DT7" s="118">
        <v>930</v>
      </c>
      <c r="DU7" s="118">
        <v>930</v>
      </c>
      <c r="DV7" s="118">
        <v>930</v>
      </c>
      <c r="DW7" s="118">
        <v>930</v>
      </c>
      <c r="DX7" s="118">
        <v>930</v>
      </c>
      <c r="DY7" s="118">
        <v>930</v>
      </c>
      <c r="DZ7" s="118">
        <v>930</v>
      </c>
      <c r="EA7" s="118">
        <v>870</v>
      </c>
      <c r="EB7" s="118">
        <v>870</v>
      </c>
      <c r="EC7" s="118">
        <v>870</v>
      </c>
      <c r="ED7" s="118">
        <v>870</v>
      </c>
      <c r="EE7" s="118">
        <v>870</v>
      </c>
      <c r="EF7" s="118">
        <v>870</v>
      </c>
      <c r="EG7" s="118">
        <v>870</v>
      </c>
      <c r="EH7" s="118">
        <v>830</v>
      </c>
      <c r="EI7" s="118">
        <v>830</v>
      </c>
      <c r="EJ7" s="118">
        <v>830</v>
      </c>
      <c r="EK7" s="118">
        <v>830</v>
      </c>
      <c r="EL7" s="118">
        <v>830</v>
      </c>
      <c r="EM7" s="118">
        <v>830</v>
      </c>
      <c r="EN7" s="118">
        <v>830</v>
      </c>
      <c r="EO7" s="118">
        <v>830</v>
      </c>
      <c r="EP7" s="118">
        <v>830</v>
      </c>
      <c r="EQ7" s="118">
        <v>830</v>
      </c>
      <c r="ER7" s="118">
        <v>830</v>
      </c>
      <c r="ES7" s="118">
        <v>830</v>
      </c>
      <c r="ET7" s="118">
        <v>830</v>
      </c>
      <c r="EU7" s="118">
        <v>830</v>
      </c>
      <c r="EV7" s="118">
        <v>830</v>
      </c>
      <c r="EW7" s="118">
        <v>830</v>
      </c>
      <c r="EX7" s="118">
        <f>(950+1000)/2</f>
        <v>975</v>
      </c>
      <c r="EY7" s="118">
        <v>1250</v>
      </c>
      <c r="EZ7" s="118">
        <v>1400</v>
      </c>
      <c r="FA7" s="118">
        <v>1450</v>
      </c>
      <c r="FB7" s="118">
        <v>1450</v>
      </c>
      <c r="FC7" s="118">
        <v>1450</v>
      </c>
      <c r="FD7" s="118">
        <v>1450</v>
      </c>
      <c r="FE7" s="118">
        <v>1450</v>
      </c>
      <c r="FF7" s="118">
        <v>1450</v>
      </c>
      <c r="FG7" s="118">
        <v>1450</v>
      </c>
      <c r="FH7" s="118">
        <v>1400</v>
      </c>
      <c r="FI7" s="118">
        <v>1380</v>
      </c>
      <c r="FJ7" s="118">
        <v>1330</v>
      </c>
      <c r="FK7" s="118">
        <v>1300</v>
      </c>
      <c r="FL7" s="118">
        <v>1250</v>
      </c>
      <c r="FM7" s="118">
        <v>1220</v>
      </c>
      <c r="FN7" s="118">
        <v>1220</v>
      </c>
      <c r="FO7" s="118">
        <v>1100</v>
      </c>
      <c r="FP7" s="118">
        <v>1010</v>
      </c>
      <c r="FQ7" s="118"/>
      <c r="FR7" s="118"/>
      <c r="FS7" s="118"/>
    </row>
    <row r="8" spans="1:175" ht="14">
      <c r="B8" s="117"/>
      <c r="D8" s="117" t="s">
        <v>82</v>
      </c>
      <c r="E8" s="131">
        <f t="shared" ref="E8:J8" si="0">E7</f>
        <v>900</v>
      </c>
      <c r="F8" s="131">
        <f t="shared" si="0"/>
        <v>947.5</v>
      </c>
      <c r="G8" s="131">
        <f t="shared" si="0"/>
        <v>1010</v>
      </c>
      <c r="H8" s="131">
        <f t="shared" si="0"/>
        <v>995</v>
      </c>
      <c r="I8" s="131">
        <f t="shared" si="0"/>
        <v>975</v>
      </c>
      <c r="J8" s="131">
        <f t="shared" si="0"/>
        <v>956</v>
      </c>
      <c r="K8" s="131">
        <f t="shared" ref="K8:L8" si="1">K7</f>
        <v>980</v>
      </c>
      <c r="L8" s="131">
        <f t="shared" si="1"/>
        <v>975</v>
      </c>
      <c r="M8" s="131">
        <f t="shared" ref="M8:N8" si="2">M7</f>
        <v>946</v>
      </c>
      <c r="N8" s="131">
        <f t="shared" si="2"/>
        <v>932.5</v>
      </c>
      <c r="O8" s="131">
        <f t="shared" ref="O8:P8" si="3">O7</f>
        <v>925</v>
      </c>
      <c r="P8" s="131">
        <f t="shared" si="3"/>
        <v>940</v>
      </c>
      <c r="Q8" s="131">
        <f t="shared" ref="Q8:R8" si="4">Q7</f>
        <v>940</v>
      </c>
      <c r="R8" s="131">
        <f t="shared" si="4"/>
        <v>940</v>
      </c>
      <c r="S8" s="131">
        <f t="shared" ref="S8:T8" si="5">S7</f>
        <v>945</v>
      </c>
      <c r="T8" s="131">
        <f t="shared" si="5"/>
        <v>940</v>
      </c>
      <c r="U8" s="131">
        <f t="shared" ref="U8:Z8" si="6">U7</f>
        <v>905</v>
      </c>
      <c r="V8" s="131">
        <f t="shared" si="6"/>
        <v>908</v>
      </c>
      <c r="W8" s="131">
        <f t="shared" si="6"/>
        <v>915</v>
      </c>
      <c r="X8" s="131">
        <f t="shared" si="6"/>
        <v>930</v>
      </c>
      <c r="Y8" s="131">
        <f t="shared" si="6"/>
        <v>930</v>
      </c>
      <c r="Z8" s="131">
        <f t="shared" si="6"/>
        <v>915</v>
      </c>
      <c r="AA8" s="131">
        <f t="shared" ref="AA8:AB8" si="7">AA7</f>
        <v>870</v>
      </c>
      <c r="AB8" s="131">
        <f t="shared" si="7"/>
        <v>840</v>
      </c>
      <c r="AC8" s="131">
        <f t="shared" ref="AC8:AD8" si="8">AC7</f>
        <v>830</v>
      </c>
      <c r="AD8" s="131">
        <f t="shared" si="8"/>
        <v>830</v>
      </c>
      <c r="AE8" s="131">
        <f t="shared" ref="AE8:AF8" si="9">AE7</f>
        <v>830</v>
      </c>
      <c r="AF8" s="131">
        <f t="shared" si="9"/>
        <v>1268.75</v>
      </c>
      <c r="AG8" s="131">
        <f t="shared" ref="AG8:AH8" si="10">AG7</f>
        <v>1450</v>
      </c>
      <c r="AH8" s="131">
        <f t="shared" si="10"/>
        <v>1390</v>
      </c>
      <c r="AI8" s="131">
        <f t="shared" ref="AI8:AJ8" si="11">AI7</f>
        <v>1247.5</v>
      </c>
      <c r="AJ8" s="131">
        <f t="shared" si="11"/>
        <v>1055</v>
      </c>
      <c r="AL8" s="117" t="s">
        <v>82</v>
      </c>
      <c r="AM8" s="41">
        <f t="shared" ref="AM8:AP8" si="12">AM7</f>
        <v>900</v>
      </c>
      <c r="AN8" s="41">
        <f t="shared" si="12"/>
        <v>900</v>
      </c>
      <c r="AO8" s="41">
        <f t="shared" si="12"/>
        <v>900</v>
      </c>
      <c r="AP8" s="41">
        <f t="shared" si="12"/>
        <v>900</v>
      </c>
      <c r="AQ8" s="41">
        <f t="shared" ref="AQ8:AR8" si="13">AQ7</f>
        <v>900</v>
      </c>
      <c r="AR8" s="41">
        <f t="shared" si="13"/>
        <v>900</v>
      </c>
      <c r="AS8" s="41">
        <f t="shared" ref="AS8:AT8" si="14">AS7</f>
        <v>930</v>
      </c>
      <c r="AT8" s="41">
        <f t="shared" si="14"/>
        <v>930</v>
      </c>
      <c r="AU8" s="41">
        <f t="shared" ref="AU8:AV8" si="15">AU7</f>
        <v>1030</v>
      </c>
      <c r="AV8" s="41">
        <f t="shared" si="15"/>
        <v>1030</v>
      </c>
      <c r="AW8" s="41">
        <f t="shared" ref="AW8:AX8" si="16">AW7</f>
        <v>1000</v>
      </c>
      <c r="AX8" s="41">
        <f t="shared" si="16"/>
        <v>1000</v>
      </c>
      <c r="AY8" s="41">
        <f t="shared" ref="AY8:AZ8" si="17">AY7</f>
        <v>1000</v>
      </c>
      <c r="AZ8" s="41">
        <f t="shared" si="17"/>
        <v>1000</v>
      </c>
      <c r="BA8" s="41">
        <f t="shared" ref="BA8:BB8" si="18">BA7</f>
        <v>1000</v>
      </c>
      <c r="BB8" s="41">
        <f t="shared" si="18"/>
        <v>980</v>
      </c>
      <c r="BC8" s="41">
        <f t="shared" ref="BC8:BD8" si="19">BC7</f>
        <v>980</v>
      </c>
      <c r="BD8" s="41">
        <f t="shared" si="19"/>
        <v>980</v>
      </c>
      <c r="BE8" s="41">
        <f t="shared" ref="BE8:BF8" si="20">BE7</f>
        <v>980</v>
      </c>
      <c r="BF8" s="41">
        <f t="shared" si="20"/>
        <v>960</v>
      </c>
      <c r="BG8" s="41">
        <f t="shared" ref="BG8:BH8" si="21">BG7</f>
        <v>950</v>
      </c>
      <c r="BH8" s="41">
        <f t="shared" si="21"/>
        <v>950</v>
      </c>
      <c r="BI8" s="41">
        <f t="shared" ref="BI8:BJ8" si="22">BI7</f>
        <v>950</v>
      </c>
      <c r="BJ8" s="41">
        <f t="shared" si="22"/>
        <v>950</v>
      </c>
      <c r="BK8" s="41">
        <f t="shared" ref="BK8:BL8" si="23">BK7</f>
        <v>980</v>
      </c>
      <c r="BL8" s="41">
        <f t="shared" si="23"/>
        <v>980</v>
      </c>
      <c r="BM8" s="41">
        <f t="shared" ref="BM8:BN8" si="24">BM7</f>
        <v>980</v>
      </c>
      <c r="BN8" s="41">
        <f t="shared" si="24"/>
        <v>980</v>
      </c>
      <c r="BO8" s="41">
        <f t="shared" ref="BO8:BP8" si="25">BO7</f>
        <v>980</v>
      </c>
      <c r="BP8" s="41">
        <f t="shared" si="25"/>
        <v>980</v>
      </c>
      <c r="BQ8" s="41">
        <f t="shared" ref="BQ8:BR8" si="26">BQ7</f>
        <v>980</v>
      </c>
      <c r="BR8" s="41">
        <f t="shared" si="26"/>
        <v>980</v>
      </c>
      <c r="BS8" s="41">
        <f t="shared" ref="BS8:BT8" si="27">BS7</f>
        <v>960</v>
      </c>
      <c r="BT8" s="41">
        <f t="shared" si="27"/>
        <v>950</v>
      </c>
      <c r="BU8" s="41">
        <f t="shared" ref="BU8:BV8" si="28">BU7</f>
        <v>950</v>
      </c>
      <c r="BV8" s="41">
        <f t="shared" si="28"/>
        <v>950</v>
      </c>
      <c r="BW8" s="41">
        <f t="shared" ref="BW8:BX8" si="29">BW7</f>
        <v>940</v>
      </c>
      <c r="BX8" s="41">
        <f t="shared" si="29"/>
        <v>940</v>
      </c>
      <c r="BY8" s="41">
        <f t="shared" ref="BY8:BZ8" si="30">BY7</f>
        <v>940</v>
      </c>
      <c r="BZ8" s="41">
        <f t="shared" si="30"/>
        <v>930</v>
      </c>
      <c r="CA8" s="41">
        <f t="shared" ref="CA8:CB8" si="31">CA7</f>
        <v>930</v>
      </c>
      <c r="CB8" s="41">
        <f t="shared" si="31"/>
        <v>930</v>
      </c>
      <c r="CC8" s="41">
        <f t="shared" ref="CC8:CD8" si="32">CC7</f>
        <v>920</v>
      </c>
      <c r="CD8" s="41">
        <f t="shared" si="32"/>
        <v>920</v>
      </c>
      <c r="CE8" s="41">
        <f t="shared" ref="CE8:CF8" si="33">CE7</f>
        <v>920</v>
      </c>
      <c r="CF8" s="41">
        <f t="shared" si="33"/>
        <v>940</v>
      </c>
      <c r="CG8" s="41">
        <f t="shared" ref="CG8:CI8" si="34">CG7</f>
        <v>940</v>
      </c>
      <c r="CH8" s="41">
        <f t="shared" si="34"/>
        <v>940</v>
      </c>
      <c r="CI8" s="41">
        <f t="shared" si="34"/>
        <v>940</v>
      </c>
      <c r="CJ8" s="41">
        <f t="shared" ref="CJ8:CK8" si="35">CJ7</f>
        <v>940</v>
      </c>
      <c r="CK8" s="41">
        <f t="shared" si="35"/>
        <v>940</v>
      </c>
      <c r="CL8" s="41">
        <f t="shared" ref="CL8:CO8" si="36">CL7</f>
        <v>940</v>
      </c>
      <c r="CM8" s="41">
        <f t="shared" si="36"/>
        <v>940</v>
      </c>
      <c r="CN8" s="41">
        <f t="shared" si="36"/>
        <v>940</v>
      </c>
      <c r="CO8" s="41">
        <f t="shared" si="36"/>
        <v>940</v>
      </c>
      <c r="CP8" s="41">
        <f t="shared" ref="CP8:CR8" si="37">CP7</f>
        <v>940</v>
      </c>
      <c r="CQ8" s="41">
        <f t="shared" si="37"/>
        <v>940</v>
      </c>
      <c r="CR8" s="41">
        <f t="shared" si="37"/>
        <v>940</v>
      </c>
      <c r="CS8" s="41">
        <f t="shared" ref="CS8:CT8" si="38">CS7</f>
        <v>940</v>
      </c>
      <c r="CT8" s="41">
        <f t="shared" si="38"/>
        <v>940</v>
      </c>
      <c r="CU8" s="41">
        <f t="shared" ref="CU8:CV8" si="39">CU7</f>
        <v>940</v>
      </c>
      <c r="CV8" s="41">
        <f t="shared" si="39"/>
        <v>950</v>
      </c>
      <c r="CW8" s="41">
        <f t="shared" ref="CW8:CX8" si="40">CW7</f>
        <v>950</v>
      </c>
      <c r="CX8" s="41">
        <f t="shared" si="40"/>
        <v>950</v>
      </c>
      <c r="CY8" s="41">
        <f t="shared" ref="CY8:DA8" si="41">CY7</f>
        <v>950</v>
      </c>
      <c r="CZ8" s="41">
        <f t="shared" si="41"/>
        <v>950</v>
      </c>
      <c r="DA8" s="41">
        <f t="shared" si="41"/>
        <v>910</v>
      </c>
      <c r="DB8" s="41">
        <f t="shared" ref="DB8:DE8" si="42">DB7</f>
        <v>910</v>
      </c>
      <c r="DC8" s="41">
        <f t="shared" si="42"/>
        <v>900</v>
      </c>
      <c r="DD8" s="41">
        <f t="shared" si="42"/>
        <v>900</v>
      </c>
      <c r="DE8" s="41">
        <f t="shared" si="42"/>
        <v>910</v>
      </c>
      <c r="DF8" s="41">
        <f t="shared" ref="DF8:DJ8" si="43">DF7</f>
        <v>910</v>
      </c>
      <c r="DG8" s="41">
        <f t="shared" si="43"/>
        <v>910</v>
      </c>
      <c r="DH8" s="41">
        <f t="shared" si="43"/>
        <v>910</v>
      </c>
      <c r="DI8" s="41">
        <f t="shared" si="43"/>
        <v>910</v>
      </c>
      <c r="DJ8" s="41">
        <f t="shared" si="43"/>
        <v>900</v>
      </c>
      <c r="DK8" s="41">
        <f t="shared" ref="DK8:DN8" si="44">DK7</f>
        <v>900</v>
      </c>
      <c r="DL8" s="41">
        <f t="shared" si="44"/>
        <v>900</v>
      </c>
      <c r="DM8" s="41">
        <f t="shared" si="44"/>
        <v>930</v>
      </c>
      <c r="DN8" s="41">
        <f t="shared" si="44"/>
        <v>930</v>
      </c>
      <c r="DO8" s="41">
        <f t="shared" ref="DO8:DS8" si="45">DO7</f>
        <v>930</v>
      </c>
      <c r="DP8" s="41">
        <f t="shared" si="45"/>
        <v>930</v>
      </c>
      <c r="DQ8" s="41">
        <f t="shared" si="45"/>
        <v>930</v>
      </c>
      <c r="DR8" s="41">
        <f t="shared" si="45"/>
        <v>930</v>
      </c>
      <c r="DS8" s="41">
        <f t="shared" si="45"/>
        <v>930</v>
      </c>
      <c r="DT8" s="41">
        <f t="shared" ref="DT8:DW8" si="46">DT7</f>
        <v>930</v>
      </c>
      <c r="DU8" s="41">
        <f t="shared" si="46"/>
        <v>930</v>
      </c>
      <c r="DV8" s="41">
        <f t="shared" si="46"/>
        <v>930</v>
      </c>
      <c r="DW8" s="41">
        <f t="shared" si="46"/>
        <v>930</v>
      </c>
      <c r="DX8" s="41">
        <f t="shared" ref="DX8:EA8" si="47">DX7</f>
        <v>930</v>
      </c>
      <c r="DY8" s="41">
        <f t="shared" si="47"/>
        <v>930</v>
      </c>
      <c r="DZ8" s="41">
        <f t="shared" si="47"/>
        <v>930</v>
      </c>
      <c r="EA8" s="41">
        <f t="shared" si="47"/>
        <v>870</v>
      </c>
      <c r="EB8" s="41">
        <f t="shared" ref="EB8:EF8" si="48">EB7</f>
        <v>870</v>
      </c>
      <c r="EC8" s="41">
        <f t="shared" si="48"/>
        <v>870</v>
      </c>
      <c r="ED8" s="41">
        <f t="shared" si="48"/>
        <v>870</v>
      </c>
      <c r="EE8" s="41">
        <f t="shared" si="48"/>
        <v>870</v>
      </c>
      <c r="EF8" s="41">
        <f t="shared" si="48"/>
        <v>870</v>
      </c>
      <c r="EG8" s="41">
        <f t="shared" ref="EG8:EJ8" si="49">EG7</f>
        <v>870</v>
      </c>
      <c r="EH8" s="41">
        <f t="shared" si="49"/>
        <v>830</v>
      </c>
      <c r="EI8" s="41">
        <f t="shared" si="49"/>
        <v>830</v>
      </c>
      <c r="EJ8" s="41">
        <f t="shared" si="49"/>
        <v>830</v>
      </c>
      <c r="EK8" s="41">
        <f t="shared" ref="EK8:EN8" si="50">EK7</f>
        <v>830</v>
      </c>
      <c r="EL8" s="41">
        <f t="shared" si="50"/>
        <v>830</v>
      </c>
      <c r="EM8" s="41">
        <f t="shared" si="50"/>
        <v>830</v>
      </c>
      <c r="EN8" s="41">
        <f t="shared" si="50"/>
        <v>830</v>
      </c>
      <c r="EO8" s="41">
        <f t="shared" ref="EO8:ES8" si="51">EO7</f>
        <v>830</v>
      </c>
      <c r="EP8" s="41">
        <f t="shared" si="51"/>
        <v>830</v>
      </c>
      <c r="EQ8" s="41">
        <f t="shared" si="51"/>
        <v>830</v>
      </c>
      <c r="ER8" s="41">
        <f t="shared" si="51"/>
        <v>830</v>
      </c>
      <c r="ES8" s="41">
        <f t="shared" si="51"/>
        <v>830</v>
      </c>
      <c r="ET8" s="41">
        <f t="shared" ref="ET8:EW8" si="52">ET7</f>
        <v>830</v>
      </c>
      <c r="EU8" s="41">
        <f t="shared" si="52"/>
        <v>830</v>
      </c>
      <c r="EV8" s="41">
        <f t="shared" si="52"/>
        <v>830</v>
      </c>
      <c r="EW8" s="41">
        <f t="shared" si="52"/>
        <v>830</v>
      </c>
      <c r="EX8" s="41">
        <f t="shared" ref="EX8:EY8" si="53">EX7</f>
        <v>975</v>
      </c>
      <c r="EY8" s="41">
        <f t="shared" si="53"/>
        <v>1250</v>
      </c>
      <c r="EZ8" s="41">
        <f t="shared" ref="EZ8:FA8" si="54">EZ7</f>
        <v>1400</v>
      </c>
      <c r="FA8" s="41">
        <f t="shared" si="54"/>
        <v>1450</v>
      </c>
      <c r="FB8" s="41">
        <f t="shared" ref="FB8:FF8" si="55">FB7</f>
        <v>1450</v>
      </c>
      <c r="FC8" s="41">
        <f t="shared" si="55"/>
        <v>1450</v>
      </c>
      <c r="FD8" s="41">
        <f t="shared" si="55"/>
        <v>1450</v>
      </c>
      <c r="FE8" s="41">
        <f t="shared" si="55"/>
        <v>1450</v>
      </c>
      <c r="FF8" s="41">
        <f t="shared" si="55"/>
        <v>1450</v>
      </c>
      <c r="FG8" s="41">
        <f t="shared" ref="FG8:FJ8" si="56">FG7</f>
        <v>1450</v>
      </c>
      <c r="FH8" s="41">
        <f t="shared" si="56"/>
        <v>1400</v>
      </c>
      <c r="FI8" s="41">
        <f t="shared" si="56"/>
        <v>1380</v>
      </c>
      <c r="FJ8" s="41">
        <f t="shared" si="56"/>
        <v>1330</v>
      </c>
      <c r="FK8" s="41">
        <f t="shared" ref="FK8:FN8" si="57">FK7</f>
        <v>1300</v>
      </c>
      <c r="FL8" s="41">
        <f t="shared" si="57"/>
        <v>1250</v>
      </c>
      <c r="FM8" s="41">
        <f t="shared" si="57"/>
        <v>1220</v>
      </c>
      <c r="FN8" s="41">
        <f t="shared" si="57"/>
        <v>1220</v>
      </c>
      <c r="FO8" s="41">
        <f t="shared" ref="FO8:FS8" si="58">FO7</f>
        <v>1100</v>
      </c>
      <c r="FP8" s="41">
        <f t="shared" si="58"/>
        <v>1010</v>
      </c>
      <c r="FQ8" s="41">
        <f t="shared" si="58"/>
        <v>0</v>
      </c>
      <c r="FR8" s="41">
        <f t="shared" si="58"/>
        <v>0</v>
      </c>
      <c r="FS8" s="41">
        <f t="shared" si="58"/>
        <v>0</v>
      </c>
    </row>
    <row r="9" spans="1:175" ht="14">
      <c r="B9" s="117"/>
      <c r="D9" s="117" t="s">
        <v>83</v>
      </c>
      <c r="E9" s="41">
        <f t="shared" ref="E9:J9" si="59">+E6-E8</f>
        <v>-90</v>
      </c>
      <c r="F9" s="41">
        <f t="shared" si="59"/>
        <v>-137.5</v>
      </c>
      <c r="G9" s="41">
        <f t="shared" si="59"/>
        <v>-130</v>
      </c>
      <c r="H9" s="41">
        <f t="shared" si="59"/>
        <v>-95</v>
      </c>
      <c r="I9" s="41">
        <f t="shared" si="59"/>
        <v>-75</v>
      </c>
      <c r="J9" s="41">
        <f t="shared" si="59"/>
        <v>-86</v>
      </c>
      <c r="K9" s="41">
        <f t="shared" ref="K9:L9" si="60">+K6-K8</f>
        <v>-110</v>
      </c>
      <c r="L9" s="41">
        <f t="shared" si="60"/>
        <v>-105</v>
      </c>
      <c r="M9" s="41">
        <f t="shared" ref="M9:N9" si="61">+M6-M8</f>
        <v>-76</v>
      </c>
      <c r="N9" s="41">
        <f t="shared" si="61"/>
        <v>-82.5</v>
      </c>
      <c r="O9" s="41">
        <f t="shared" ref="O9:P9" si="62">+O6-O8</f>
        <v>-85</v>
      </c>
      <c r="P9" s="41">
        <f t="shared" si="62"/>
        <v>-115</v>
      </c>
      <c r="Q9" s="41">
        <f t="shared" ref="Q9:R9" si="63">+Q6-Q8</f>
        <v>-115</v>
      </c>
      <c r="R9" s="41">
        <f t="shared" si="63"/>
        <v>-115</v>
      </c>
      <c r="S9" s="41">
        <f t="shared" ref="S9:T9" si="64">+S6-S8</f>
        <v>-195</v>
      </c>
      <c r="T9" s="41">
        <f t="shared" si="64"/>
        <v>-190</v>
      </c>
      <c r="U9" s="41">
        <f t="shared" ref="U9:V9" si="65">+U6-U8</f>
        <v>-155</v>
      </c>
      <c r="V9" s="41">
        <f t="shared" si="65"/>
        <v>-188</v>
      </c>
      <c r="W9" s="41">
        <f t="shared" ref="W9:X9" si="66">+W6-W8</f>
        <v>-195</v>
      </c>
      <c r="X9" s="41">
        <f t="shared" si="66"/>
        <v>-210</v>
      </c>
      <c r="Y9" s="41">
        <f t="shared" ref="Y9:Z9" si="67">+Y6-Y8</f>
        <v>-230</v>
      </c>
      <c r="Z9" s="41">
        <f t="shared" si="67"/>
        <v>-215</v>
      </c>
      <c r="AA9" s="41">
        <f t="shared" ref="AA9:AB9" si="68">+AA6-AA8</f>
        <v>-170</v>
      </c>
      <c r="AB9" s="41">
        <f t="shared" si="68"/>
        <v>-150</v>
      </c>
      <c r="AC9" s="41">
        <f t="shared" ref="AC9:AD9" si="69">+AC6-AC8</f>
        <v>-165</v>
      </c>
      <c r="AD9" s="41">
        <f t="shared" si="69"/>
        <v>-165</v>
      </c>
      <c r="AE9" s="41">
        <f t="shared" ref="AE9:AF9" si="70">+AE6-AE8</f>
        <v>-165</v>
      </c>
      <c r="AF9" s="41">
        <f t="shared" si="70"/>
        <v>-603.75</v>
      </c>
      <c r="AG9" s="41">
        <f t="shared" ref="AG9:AH9" si="71">+AG6-AG8</f>
        <v>-290</v>
      </c>
      <c r="AH9" s="41">
        <f t="shared" si="71"/>
        <v>-230</v>
      </c>
      <c r="AI9" s="41">
        <f t="shared" ref="AI9:AJ9" si="72">+AI6-AI8</f>
        <v>-182.5</v>
      </c>
      <c r="AJ9" s="41">
        <f t="shared" si="72"/>
        <v>-155</v>
      </c>
      <c r="AL9" s="117" t="s">
        <v>83</v>
      </c>
      <c r="AM9" s="41">
        <f t="shared" ref="AM9:AR9" si="73">+AM6-AM8</f>
        <v>-90</v>
      </c>
      <c r="AN9" s="41">
        <f t="shared" si="73"/>
        <v>-90</v>
      </c>
      <c r="AO9" s="41">
        <f t="shared" si="73"/>
        <v>-90</v>
      </c>
      <c r="AP9" s="41">
        <f t="shared" si="73"/>
        <v>-90</v>
      </c>
      <c r="AQ9" s="41">
        <f t="shared" si="73"/>
        <v>-90</v>
      </c>
      <c r="AR9" s="41">
        <f t="shared" si="73"/>
        <v>-90</v>
      </c>
      <c r="AS9" s="41">
        <f t="shared" ref="AS9:AT9" si="74">+AS6-AS8</f>
        <v>-120</v>
      </c>
      <c r="AT9" s="41">
        <f t="shared" si="74"/>
        <v>-120</v>
      </c>
      <c r="AU9" s="41">
        <f t="shared" ref="AU9:AV9" si="75">+AU6-AU8</f>
        <v>-220</v>
      </c>
      <c r="AV9" s="41">
        <f t="shared" si="75"/>
        <v>-150</v>
      </c>
      <c r="AW9" s="41">
        <f t="shared" ref="AW9:AX9" si="76">+AW6-AW8</f>
        <v>-120</v>
      </c>
      <c r="AX9" s="41">
        <f t="shared" si="76"/>
        <v>-120</v>
      </c>
      <c r="AY9" s="41">
        <f t="shared" ref="AY9:AZ9" si="77">+AY6-AY8</f>
        <v>-100</v>
      </c>
      <c r="AZ9" s="41">
        <f t="shared" si="77"/>
        <v>-100</v>
      </c>
      <c r="BA9" s="41">
        <f t="shared" ref="BA9:BB9" si="78">+BA6-BA8</f>
        <v>-100</v>
      </c>
      <c r="BB9" s="41">
        <f t="shared" si="78"/>
        <v>-80</v>
      </c>
      <c r="BC9" s="41">
        <f t="shared" ref="BC9:BD9" si="79">+BC6-BC8</f>
        <v>-80</v>
      </c>
      <c r="BD9" s="41">
        <f t="shared" si="79"/>
        <v>-80</v>
      </c>
      <c r="BE9" s="41">
        <f t="shared" ref="BE9:BF9" si="80">+BE6-BE8</f>
        <v>-80</v>
      </c>
      <c r="BF9" s="41">
        <f t="shared" si="80"/>
        <v>-60</v>
      </c>
      <c r="BG9" s="41">
        <f t="shared" ref="BG9:BH9" si="81">+BG6-BG8</f>
        <v>-80</v>
      </c>
      <c r="BH9" s="41">
        <f t="shared" si="81"/>
        <v>-80</v>
      </c>
      <c r="BI9" s="41">
        <f t="shared" ref="BI9:BJ9" si="82">+BI6-BI8</f>
        <v>-80</v>
      </c>
      <c r="BJ9" s="41">
        <f t="shared" si="82"/>
        <v>-80</v>
      </c>
      <c r="BK9" s="41">
        <f t="shared" ref="BK9:BL9" si="83">+BK6-BK8</f>
        <v>-110</v>
      </c>
      <c r="BL9" s="41">
        <f t="shared" si="83"/>
        <v>-110</v>
      </c>
      <c r="BM9" s="41">
        <f t="shared" ref="BM9:BN9" si="84">+BM6-BM8</f>
        <v>-110</v>
      </c>
      <c r="BN9" s="41">
        <f t="shared" si="84"/>
        <v>-110</v>
      </c>
      <c r="BO9" s="41">
        <f t="shared" ref="BO9:BP9" si="85">+BO6-BO8</f>
        <v>-110</v>
      </c>
      <c r="BP9" s="41">
        <f t="shared" si="85"/>
        <v>-110</v>
      </c>
      <c r="BQ9" s="41">
        <f t="shared" ref="BQ9:BR9" si="86">+BQ6-BQ8</f>
        <v>-110</v>
      </c>
      <c r="BR9" s="41">
        <f t="shared" si="86"/>
        <v>-110</v>
      </c>
      <c r="BS9" s="41">
        <f t="shared" ref="BS9:BT9" si="87">+BS6-BS8</f>
        <v>-90</v>
      </c>
      <c r="BT9" s="41">
        <f t="shared" si="87"/>
        <v>-80</v>
      </c>
      <c r="BU9" s="41">
        <f t="shared" ref="BU9:BV9" si="88">+BU6-BU8</f>
        <v>-80</v>
      </c>
      <c r="BV9" s="41">
        <f t="shared" si="88"/>
        <v>-80</v>
      </c>
      <c r="BW9" s="41">
        <f t="shared" ref="BW9:BX9" si="89">+BW6-BW8</f>
        <v>-70</v>
      </c>
      <c r="BX9" s="41">
        <f t="shared" si="89"/>
        <v>-70</v>
      </c>
      <c r="BY9" s="41">
        <f t="shared" ref="BY9:BZ9" si="90">+BY6-BY8</f>
        <v>-90</v>
      </c>
      <c r="BZ9" s="41">
        <f t="shared" si="90"/>
        <v>-80</v>
      </c>
      <c r="CA9" s="41">
        <f t="shared" ref="CA9:CB9" si="91">+CA6-CA8</f>
        <v>-80</v>
      </c>
      <c r="CB9" s="41">
        <f t="shared" si="91"/>
        <v>-80</v>
      </c>
      <c r="CC9" s="41">
        <f t="shared" ref="CC9:CD9" si="92">+CC6-CC8</f>
        <v>-80</v>
      </c>
      <c r="CD9" s="41">
        <f t="shared" si="92"/>
        <v>-80</v>
      </c>
      <c r="CE9" s="41">
        <f t="shared" ref="CE9:CF9" si="93">+CE6-CE8</f>
        <v>-80</v>
      </c>
      <c r="CF9" s="41">
        <f t="shared" si="93"/>
        <v>-100</v>
      </c>
      <c r="CG9" s="41">
        <f t="shared" ref="CG9:CI9" si="94">+CG6-CG8</f>
        <v>-115</v>
      </c>
      <c r="CH9" s="41">
        <f t="shared" si="94"/>
        <v>-115</v>
      </c>
      <c r="CI9" s="41">
        <f t="shared" si="94"/>
        <v>-115</v>
      </c>
      <c r="CJ9" s="41">
        <f t="shared" ref="CJ9:CK9" si="95">+CJ6-CJ8</f>
        <v>-115</v>
      </c>
      <c r="CK9" s="41">
        <f t="shared" si="95"/>
        <v>-115</v>
      </c>
      <c r="CL9" s="41">
        <f t="shared" ref="CL9:CO9" si="96">+CL6-CL8</f>
        <v>-115</v>
      </c>
      <c r="CM9" s="41">
        <f t="shared" si="96"/>
        <v>-115</v>
      </c>
      <c r="CN9" s="41">
        <f t="shared" si="96"/>
        <v>-115</v>
      </c>
      <c r="CO9" s="41">
        <f t="shared" si="96"/>
        <v>-115</v>
      </c>
      <c r="CP9" s="41">
        <f t="shared" ref="CP9:CR9" si="97">+CP6-CP8</f>
        <v>-115</v>
      </c>
      <c r="CQ9" s="41">
        <f t="shared" si="97"/>
        <v>-115</v>
      </c>
      <c r="CR9" s="41">
        <f t="shared" si="97"/>
        <v>-115</v>
      </c>
      <c r="CS9" s="41">
        <f t="shared" ref="CS9:CT9" si="98">+CS6-CS8</f>
        <v>-115</v>
      </c>
      <c r="CT9" s="41">
        <f t="shared" si="98"/>
        <v>-190</v>
      </c>
      <c r="CU9" s="41">
        <f t="shared" ref="CU9:CV9" si="99">+CU6-CU8</f>
        <v>-190</v>
      </c>
      <c r="CV9" s="41">
        <f t="shared" si="99"/>
        <v>-200</v>
      </c>
      <c r="CW9" s="41">
        <f t="shared" ref="CW9:CX9" si="100">+CW6-CW8</f>
        <v>-200</v>
      </c>
      <c r="CX9" s="41">
        <f t="shared" si="100"/>
        <v>-200</v>
      </c>
      <c r="CY9" s="41">
        <f t="shared" ref="CY9:DA9" si="101">+CY6-CY8</f>
        <v>-200</v>
      </c>
      <c r="CZ9" s="41">
        <f t="shared" si="101"/>
        <v>-200</v>
      </c>
      <c r="DA9" s="41">
        <f t="shared" si="101"/>
        <v>-160</v>
      </c>
      <c r="DB9" s="41">
        <f t="shared" ref="DB9:DE9" si="102">+DB6-DB8</f>
        <v>-160</v>
      </c>
      <c r="DC9" s="41">
        <f t="shared" si="102"/>
        <v>-150</v>
      </c>
      <c r="DD9" s="41">
        <f t="shared" si="102"/>
        <v>-150</v>
      </c>
      <c r="DE9" s="41">
        <f t="shared" si="102"/>
        <v>-160</v>
      </c>
      <c r="DF9" s="41">
        <f t="shared" ref="DF9:DJ9" si="103">+DF6-DF8</f>
        <v>-190</v>
      </c>
      <c r="DG9" s="41">
        <f t="shared" si="103"/>
        <v>-190</v>
      </c>
      <c r="DH9" s="41">
        <f t="shared" si="103"/>
        <v>-190</v>
      </c>
      <c r="DI9" s="41">
        <f t="shared" si="103"/>
        <v>-190</v>
      </c>
      <c r="DJ9" s="41">
        <f t="shared" si="103"/>
        <v>-180</v>
      </c>
      <c r="DK9" s="41">
        <f t="shared" ref="DK9:DN9" si="104">+DK6-DK8</f>
        <v>-180</v>
      </c>
      <c r="DL9" s="41">
        <f t="shared" si="104"/>
        <v>-180</v>
      </c>
      <c r="DM9" s="41">
        <f t="shared" si="104"/>
        <v>-210</v>
      </c>
      <c r="DN9" s="41">
        <f t="shared" si="104"/>
        <v>-210</v>
      </c>
      <c r="DO9" s="41">
        <f t="shared" ref="DO9:DS9" si="105">+DO6-DO8</f>
        <v>-210</v>
      </c>
      <c r="DP9" s="41">
        <f t="shared" si="105"/>
        <v>-210</v>
      </c>
      <c r="DQ9" s="41">
        <f t="shared" si="105"/>
        <v>-210</v>
      </c>
      <c r="DR9" s="41">
        <f t="shared" si="105"/>
        <v>-210</v>
      </c>
      <c r="DS9" s="41">
        <f t="shared" si="105"/>
        <v>-210</v>
      </c>
      <c r="DT9" s="41">
        <f t="shared" ref="DT9:DW9" si="106">+DT6-DT8</f>
        <v>-230</v>
      </c>
      <c r="DU9" s="41">
        <f t="shared" si="106"/>
        <v>-230</v>
      </c>
      <c r="DV9" s="41">
        <f t="shared" si="106"/>
        <v>-230</v>
      </c>
      <c r="DW9" s="41">
        <f t="shared" si="106"/>
        <v>-230</v>
      </c>
      <c r="DX9" s="41">
        <f t="shared" ref="DX9:EA9" si="107">+DX6-DX8</f>
        <v>-230</v>
      </c>
      <c r="DY9" s="41">
        <f t="shared" si="107"/>
        <v>-230</v>
      </c>
      <c r="DZ9" s="41">
        <f t="shared" si="107"/>
        <v>-230</v>
      </c>
      <c r="EA9" s="41">
        <f t="shared" si="107"/>
        <v>-170</v>
      </c>
      <c r="EB9" s="41">
        <f t="shared" ref="EB9:EF9" si="108">+EB6-EB8</f>
        <v>-170</v>
      </c>
      <c r="EC9" s="41">
        <f t="shared" si="108"/>
        <v>-170</v>
      </c>
      <c r="ED9" s="41">
        <f t="shared" si="108"/>
        <v>-170</v>
      </c>
      <c r="EE9" s="41">
        <f t="shared" si="108"/>
        <v>-170</v>
      </c>
      <c r="EF9" s="41">
        <f t="shared" si="108"/>
        <v>-170</v>
      </c>
      <c r="EG9" s="41">
        <f t="shared" ref="EG9:EJ9" si="109">+EG6-EG8</f>
        <v>-180</v>
      </c>
      <c r="EH9" s="41">
        <f t="shared" si="109"/>
        <v>-140</v>
      </c>
      <c r="EI9" s="41">
        <f t="shared" si="109"/>
        <v>-140</v>
      </c>
      <c r="EJ9" s="41">
        <f t="shared" si="109"/>
        <v>-140</v>
      </c>
      <c r="EK9" s="41">
        <f t="shared" ref="EK9:EN9" si="110">+EK6-EK8</f>
        <v>-165</v>
      </c>
      <c r="EL9" s="41">
        <f t="shared" si="110"/>
        <v>-165</v>
      </c>
      <c r="EM9" s="41">
        <f t="shared" si="110"/>
        <v>-165</v>
      </c>
      <c r="EN9" s="41">
        <f t="shared" si="110"/>
        <v>-165</v>
      </c>
      <c r="EO9" s="41">
        <f t="shared" ref="EO9:ES9" si="111">+EO6-EO8</f>
        <v>-165</v>
      </c>
      <c r="EP9" s="41">
        <f t="shared" si="111"/>
        <v>-165</v>
      </c>
      <c r="EQ9" s="41">
        <f t="shared" si="111"/>
        <v>-165</v>
      </c>
      <c r="ER9" s="41">
        <f t="shared" si="111"/>
        <v>-165</v>
      </c>
      <c r="ES9" s="41">
        <f t="shared" si="111"/>
        <v>-165</v>
      </c>
      <c r="ET9" s="41">
        <f t="shared" ref="ET9:EW9" si="112">+ET6-ET8</f>
        <v>-165</v>
      </c>
      <c r="EU9" s="41">
        <f t="shared" si="112"/>
        <v>-165</v>
      </c>
      <c r="EV9" s="41">
        <f t="shared" si="112"/>
        <v>-165</v>
      </c>
      <c r="EW9" s="41">
        <f t="shared" si="112"/>
        <v>-165</v>
      </c>
      <c r="EX9" s="41">
        <f t="shared" ref="EX9:EY9" si="113">+EX6-EX8</f>
        <v>-310</v>
      </c>
      <c r="EY9" s="41">
        <f t="shared" si="113"/>
        <v>-585</v>
      </c>
      <c r="EZ9" s="41">
        <f t="shared" ref="EZ9:FA9" si="114">+EZ6-EZ8</f>
        <v>-685</v>
      </c>
      <c r="FA9" s="41">
        <f t="shared" si="114"/>
        <v>-735</v>
      </c>
      <c r="FB9" s="41">
        <f t="shared" ref="FB9:FF9" si="115">+FB6-FB8</f>
        <v>-290</v>
      </c>
      <c r="FC9" s="41">
        <f t="shared" si="115"/>
        <v>-290</v>
      </c>
      <c r="FD9" s="41">
        <f t="shared" si="115"/>
        <v>-290</v>
      </c>
      <c r="FE9" s="41">
        <f t="shared" si="115"/>
        <v>-290</v>
      </c>
      <c r="FF9" s="41">
        <f t="shared" si="115"/>
        <v>-290</v>
      </c>
      <c r="FG9" s="41">
        <f t="shared" ref="FG9:FJ9" si="116">+FG6-FG8</f>
        <v>-290</v>
      </c>
      <c r="FH9" s="41">
        <f t="shared" si="116"/>
        <v>-240</v>
      </c>
      <c r="FI9" s="41">
        <f t="shared" si="116"/>
        <v>-220</v>
      </c>
      <c r="FJ9" s="41">
        <f t="shared" si="116"/>
        <v>-170</v>
      </c>
      <c r="FK9" s="41">
        <f t="shared" ref="FK9:FN9" si="117">+FK6-FK8</f>
        <v>-235</v>
      </c>
      <c r="FL9" s="41">
        <f t="shared" si="117"/>
        <v>-185</v>
      </c>
      <c r="FM9" s="41">
        <f t="shared" si="117"/>
        <v>-155</v>
      </c>
      <c r="FN9" s="41">
        <f t="shared" si="117"/>
        <v>-155</v>
      </c>
      <c r="FO9" s="41">
        <f t="shared" ref="FO9:FS9" si="118">+FO6-FO8</f>
        <v>-200</v>
      </c>
      <c r="FP9" s="41">
        <f t="shared" si="118"/>
        <v>-110</v>
      </c>
      <c r="FQ9" s="41">
        <f t="shared" si="118"/>
        <v>0</v>
      </c>
      <c r="FR9" s="41">
        <f t="shared" si="118"/>
        <v>0</v>
      </c>
      <c r="FS9" s="41">
        <f t="shared" si="118"/>
        <v>0</v>
      </c>
    </row>
    <row r="10" spans="1:175">
      <c r="D10" s="1" t="s">
        <v>81</v>
      </c>
      <c r="E10" s="51">
        <f t="shared" ref="E10:J10" si="119">+E9/E8</f>
        <v>-0.1</v>
      </c>
      <c r="F10" s="51">
        <f t="shared" si="119"/>
        <v>-0.14511873350923482</v>
      </c>
      <c r="G10" s="51">
        <f t="shared" si="119"/>
        <v>-0.12871287128712872</v>
      </c>
      <c r="H10" s="51">
        <f t="shared" si="119"/>
        <v>-9.5477386934673364E-2</v>
      </c>
      <c r="I10" s="51">
        <f t="shared" si="119"/>
        <v>-7.6923076923076927E-2</v>
      </c>
      <c r="J10" s="51">
        <f t="shared" si="119"/>
        <v>-8.9958158995815898E-2</v>
      </c>
      <c r="K10" s="51">
        <f t="shared" ref="K10:L10" si="120">+K9/K8</f>
        <v>-0.11224489795918367</v>
      </c>
      <c r="L10" s="51">
        <f t="shared" si="120"/>
        <v>-0.1076923076923077</v>
      </c>
      <c r="M10" s="51">
        <f t="shared" ref="M10:N10" si="121">+M9/M8</f>
        <v>-8.0338266384778007E-2</v>
      </c>
      <c r="N10" s="51">
        <f t="shared" si="121"/>
        <v>-8.8471849865951746E-2</v>
      </c>
      <c r="O10" s="51">
        <f t="shared" ref="O10:P10" si="122">+O9/O8</f>
        <v>-9.1891891891891897E-2</v>
      </c>
      <c r="P10" s="51">
        <f t="shared" si="122"/>
        <v>-0.12234042553191489</v>
      </c>
      <c r="Q10" s="51">
        <f t="shared" ref="Q10:R10" si="123">+Q9/Q8</f>
        <v>-0.12234042553191489</v>
      </c>
      <c r="R10" s="51">
        <f t="shared" si="123"/>
        <v>-0.12234042553191489</v>
      </c>
      <c r="S10" s="51">
        <f t="shared" ref="S10:T10" si="124">+S9/S8</f>
        <v>-0.20634920634920634</v>
      </c>
      <c r="T10" s="51">
        <f t="shared" si="124"/>
        <v>-0.20212765957446807</v>
      </c>
      <c r="U10" s="51">
        <f t="shared" ref="U10:V10" si="125">+U9/U8</f>
        <v>-0.17127071823204421</v>
      </c>
      <c r="V10" s="51">
        <f t="shared" si="125"/>
        <v>-0.20704845814977973</v>
      </c>
      <c r="W10" s="51">
        <f t="shared" ref="W10:X10" si="126">+W9/W8</f>
        <v>-0.21311475409836064</v>
      </c>
      <c r="X10" s="51">
        <f t="shared" si="126"/>
        <v>-0.22580645161290322</v>
      </c>
      <c r="Y10" s="51">
        <f t="shared" ref="Y10:Z10" si="127">+Y9/Y8</f>
        <v>-0.24731182795698925</v>
      </c>
      <c r="Z10" s="51">
        <f t="shared" si="127"/>
        <v>-0.23497267759562843</v>
      </c>
      <c r="AA10" s="51">
        <f t="shared" ref="AA10:AB10" si="128">+AA9/AA8</f>
        <v>-0.19540229885057472</v>
      </c>
      <c r="AB10" s="51">
        <f t="shared" si="128"/>
        <v>-0.17857142857142858</v>
      </c>
      <c r="AC10" s="51">
        <f t="shared" ref="AC10:AD10" si="129">+AC9/AC8</f>
        <v>-0.19879518072289157</v>
      </c>
      <c r="AD10" s="51">
        <f t="shared" si="129"/>
        <v>-0.19879518072289157</v>
      </c>
      <c r="AE10" s="51">
        <f t="shared" ref="AE10:AF10" si="130">+AE9/AE8</f>
        <v>-0.19879518072289157</v>
      </c>
      <c r="AF10" s="51">
        <f t="shared" si="130"/>
        <v>-0.47586206896551725</v>
      </c>
      <c r="AG10" s="51">
        <f t="shared" ref="AG10:AH10" si="131">+AG9/AG8</f>
        <v>-0.2</v>
      </c>
      <c r="AH10" s="51">
        <f t="shared" si="131"/>
        <v>-0.16546762589928057</v>
      </c>
      <c r="AI10" s="51">
        <f t="shared" ref="AI10:AJ10" si="132">+AI9/AI8</f>
        <v>-0.14629258517034069</v>
      </c>
      <c r="AJ10" s="51">
        <f t="shared" si="132"/>
        <v>-0.14691943127962084</v>
      </c>
      <c r="AL10" s="1" t="s">
        <v>81</v>
      </c>
      <c r="AM10" s="51">
        <f t="shared" ref="AM10:AP10" si="133">+AM9/AM8</f>
        <v>-0.1</v>
      </c>
      <c r="AN10" s="51">
        <f t="shared" si="133"/>
        <v>-0.1</v>
      </c>
      <c r="AO10" s="51">
        <f t="shared" si="133"/>
        <v>-0.1</v>
      </c>
      <c r="AP10" s="51">
        <f t="shared" si="133"/>
        <v>-0.1</v>
      </c>
      <c r="AQ10" s="51">
        <f t="shared" ref="AQ10:AR10" si="134">+AQ9/AQ8</f>
        <v>-0.1</v>
      </c>
      <c r="AR10" s="51">
        <f t="shared" si="134"/>
        <v>-0.1</v>
      </c>
      <c r="AS10" s="51">
        <f t="shared" ref="AS10:AT10" si="135">+AS9/AS8</f>
        <v>-0.12903225806451613</v>
      </c>
      <c r="AT10" s="51">
        <f t="shared" si="135"/>
        <v>-0.12903225806451613</v>
      </c>
      <c r="AU10" s="51">
        <f t="shared" ref="AU10:AV10" si="136">+AU9/AU8</f>
        <v>-0.21359223300970873</v>
      </c>
      <c r="AV10" s="51">
        <f t="shared" si="136"/>
        <v>-0.14563106796116504</v>
      </c>
      <c r="AW10" s="51">
        <f t="shared" ref="AW10:AX10" si="137">+AW9/AW8</f>
        <v>-0.12</v>
      </c>
      <c r="AX10" s="51">
        <f t="shared" si="137"/>
        <v>-0.12</v>
      </c>
      <c r="AY10" s="51">
        <f t="shared" ref="AY10:AZ10" si="138">+AY9/AY8</f>
        <v>-0.1</v>
      </c>
      <c r="AZ10" s="51">
        <f t="shared" si="138"/>
        <v>-0.1</v>
      </c>
      <c r="BA10" s="51">
        <f t="shared" ref="BA10:BB10" si="139">+BA9/BA8</f>
        <v>-0.1</v>
      </c>
      <c r="BB10" s="51">
        <f t="shared" si="139"/>
        <v>-8.1632653061224483E-2</v>
      </c>
      <c r="BC10" s="51">
        <f t="shared" ref="BC10:BD10" si="140">+BC9/BC8</f>
        <v>-8.1632653061224483E-2</v>
      </c>
      <c r="BD10" s="51">
        <f t="shared" si="140"/>
        <v>-8.1632653061224483E-2</v>
      </c>
      <c r="BE10" s="51">
        <f t="shared" ref="BE10:BF10" si="141">+BE9/BE8</f>
        <v>-8.1632653061224483E-2</v>
      </c>
      <c r="BF10" s="51">
        <f t="shared" si="141"/>
        <v>-6.25E-2</v>
      </c>
      <c r="BG10" s="51">
        <f t="shared" ref="BG10:BH10" si="142">+BG9/BG8</f>
        <v>-8.4210526315789472E-2</v>
      </c>
      <c r="BH10" s="51">
        <f t="shared" si="142"/>
        <v>-8.4210526315789472E-2</v>
      </c>
      <c r="BI10" s="51">
        <f t="shared" ref="BI10:BJ10" si="143">+BI9/BI8</f>
        <v>-8.4210526315789472E-2</v>
      </c>
      <c r="BJ10" s="51">
        <f t="shared" si="143"/>
        <v>-8.4210526315789472E-2</v>
      </c>
      <c r="BK10" s="51">
        <f t="shared" ref="BK10:BL10" si="144">+BK9/BK8</f>
        <v>-0.11224489795918367</v>
      </c>
      <c r="BL10" s="51">
        <f t="shared" si="144"/>
        <v>-0.11224489795918367</v>
      </c>
      <c r="BM10" s="51">
        <f t="shared" ref="BM10:BN10" si="145">+BM9/BM8</f>
        <v>-0.11224489795918367</v>
      </c>
      <c r="BN10" s="51">
        <f t="shared" si="145"/>
        <v>-0.11224489795918367</v>
      </c>
      <c r="BO10" s="51">
        <f t="shared" ref="BO10:BP10" si="146">+BO9/BO8</f>
        <v>-0.11224489795918367</v>
      </c>
      <c r="BP10" s="51">
        <f t="shared" si="146"/>
        <v>-0.11224489795918367</v>
      </c>
      <c r="BQ10" s="51">
        <f t="shared" ref="BQ10:BR10" si="147">+BQ9/BQ8</f>
        <v>-0.11224489795918367</v>
      </c>
      <c r="BR10" s="51">
        <f t="shared" si="147"/>
        <v>-0.11224489795918367</v>
      </c>
      <c r="BS10" s="51">
        <f t="shared" ref="BS10:BT10" si="148">+BS9/BS8</f>
        <v>-9.375E-2</v>
      </c>
      <c r="BT10" s="51">
        <f t="shared" si="148"/>
        <v>-8.4210526315789472E-2</v>
      </c>
      <c r="BU10" s="51">
        <f t="shared" ref="BU10:BV10" si="149">+BU9/BU8</f>
        <v>-8.4210526315789472E-2</v>
      </c>
      <c r="BV10" s="51">
        <f t="shared" si="149"/>
        <v>-8.4210526315789472E-2</v>
      </c>
      <c r="BW10" s="51">
        <f t="shared" ref="BW10:BX10" si="150">+BW9/BW8</f>
        <v>-7.4468085106382975E-2</v>
      </c>
      <c r="BX10" s="51">
        <f t="shared" si="150"/>
        <v>-7.4468085106382975E-2</v>
      </c>
      <c r="BY10" s="51">
        <f t="shared" ref="BY10:BZ10" si="151">+BY9/BY8</f>
        <v>-9.5744680851063829E-2</v>
      </c>
      <c r="BZ10" s="51">
        <f t="shared" si="151"/>
        <v>-8.6021505376344093E-2</v>
      </c>
      <c r="CA10" s="51">
        <f t="shared" ref="CA10:CB10" si="152">+CA9/CA8</f>
        <v>-8.6021505376344093E-2</v>
      </c>
      <c r="CB10" s="51">
        <f t="shared" si="152"/>
        <v>-8.6021505376344093E-2</v>
      </c>
      <c r="CC10" s="51">
        <f t="shared" ref="CC10:CD10" si="153">+CC9/CC8</f>
        <v>-8.6956521739130432E-2</v>
      </c>
      <c r="CD10" s="51">
        <f t="shared" si="153"/>
        <v>-8.6956521739130432E-2</v>
      </c>
      <c r="CE10" s="51">
        <f t="shared" ref="CE10:CF10" si="154">+CE9/CE8</f>
        <v>-8.6956521739130432E-2</v>
      </c>
      <c r="CF10" s="51">
        <f t="shared" si="154"/>
        <v>-0.10638297872340426</v>
      </c>
      <c r="CG10" s="51">
        <f t="shared" ref="CG10:CI10" si="155">+CG9/CG8</f>
        <v>-0.12234042553191489</v>
      </c>
      <c r="CH10" s="51">
        <f t="shared" si="155"/>
        <v>-0.12234042553191489</v>
      </c>
      <c r="CI10" s="51">
        <f t="shared" si="155"/>
        <v>-0.12234042553191489</v>
      </c>
      <c r="CJ10" s="51">
        <f t="shared" ref="CJ10:CK10" si="156">+CJ9/CJ8</f>
        <v>-0.12234042553191489</v>
      </c>
      <c r="CK10" s="51">
        <f t="shared" si="156"/>
        <v>-0.12234042553191489</v>
      </c>
      <c r="CL10" s="51">
        <f t="shared" ref="CL10:CO10" si="157">+CL9/CL8</f>
        <v>-0.12234042553191489</v>
      </c>
      <c r="CM10" s="51">
        <f t="shared" si="157"/>
        <v>-0.12234042553191489</v>
      </c>
      <c r="CN10" s="51">
        <f t="shared" si="157"/>
        <v>-0.12234042553191489</v>
      </c>
      <c r="CO10" s="51">
        <f t="shared" si="157"/>
        <v>-0.12234042553191489</v>
      </c>
      <c r="CP10" s="51">
        <f t="shared" ref="CP10:CR10" si="158">+CP9/CP8</f>
        <v>-0.12234042553191489</v>
      </c>
      <c r="CQ10" s="51">
        <f t="shared" si="158"/>
        <v>-0.12234042553191489</v>
      </c>
      <c r="CR10" s="51">
        <f t="shared" si="158"/>
        <v>-0.12234042553191489</v>
      </c>
      <c r="CS10" s="51">
        <f t="shared" ref="CS10:CT10" si="159">+CS9/CS8</f>
        <v>-0.12234042553191489</v>
      </c>
      <c r="CT10" s="51">
        <f t="shared" si="159"/>
        <v>-0.20212765957446807</v>
      </c>
      <c r="CU10" s="51">
        <f t="shared" ref="CU10:CV10" si="160">+CU9/CU8</f>
        <v>-0.20212765957446807</v>
      </c>
      <c r="CV10" s="51">
        <f t="shared" si="160"/>
        <v>-0.21052631578947367</v>
      </c>
      <c r="CW10" s="51">
        <f t="shared" ref="CW10:CX10" si="161">+CW9/CW8</f>
        <v>-0.21052631578947367</v>
      </c>
      <c r="CX10" s="51">
        <f t="shared" si="161"/>
        <v>-0.21052631578947367</v>
      </c>
      <c r="CY10" s="51">
        <f t="shared" ref="CY10:DA10" si="162">+CY9/CY8</f>
        <v>-0.21052631578947367</v>
      </c>
      <c r="CZ10" s="51">
        <f t="shared" si="162"/>
        <v>-0.21052631578947367</v>
      </c>
      <c r="DA10" s="51">
        <f t="shared" si="162"/>
        <v>-0.17582417582417584</v>
      </c>
      <c r="DB10" s="51">
        <f t="shared" ref="DB10:DE10" si="163">+DB9/DB8</f>
        <v>-0.17582417582417584</v>
      </c>
      <c r="DC10" s="51">
        <f t="shared" si="163"/>
        <v>-0.16666666666666666</v>
      </c>
      <c r="DD10" s="51">
        <f t="shared" si="163"/>
        <v>-0.16666666666666666</v>
      </c>
      <c r="DE10" s="51">
        <f t="shared" si="163"/>
        <v>-0.17582417582417584</v>
      </c>
      <c r="DF10" s="51">
        <f t="shared" ref="DF10:DJ10" si="164">+DF9/DF8</f>
        <v>-0.2087912087912088</v>
      </c>
      <c r="DG10" s="51">
        <f t="shared" si="164"/>
        <v>-0.2087912087912088</v>
      </c>
      <c r="DH10" s="51">
        <f t="shared" si="164"/>
        <v>-0.2087912087912088</v>
      </c>
      <c r="DI10" s="51">
        <f t="shared" si="164"/>
        <v>-0.2087912087912088</v>
      </c>
      <c r="DJ10" s="51">
        <f t="shared" si="164"/>
        <v>-0.2</v>
      </c>
      <c r="DK10" s="51">
        <f t="shared" ref="DK10:DN10" si="165">+DK9/DK8</f>
        <v>-0.2</v>
      </c>
      <c r="DL10" s="51">
        <f t="shared" si="165"/>
        <v>-0.2</v>
      </c>
      <c r="DM10" s="51">
        <f t="shared" si="165"/>
        <v>-0.22580645161290322</v>
      </c>
      <c r="DN10" s="51">
        <f t="shared" si="165"/>
        <v>-0.22580645161290322</v>
      </c>
      <c r="DO10" s="51">
        <f t="shared" ref="DO10:DS10" si="166">+DO9/DO8</f>
        <v>-0.22580645161290322</v>
      </c>
      <c r="DP10" s="51">
        <f t="shared" si="166"/>
        <v>-0.22580645161290322</v>
      </c>
      <c r="DQ10" s="51">
        <f t="shared" si="166"/>
        <v>-0.22580645161290322</v>
      </c>
      <c r="DR10" s="51">
        <f t="shared" si="166"/>
        <v>-0.22580645161290322</v>
      </c>
      <c r="DS10" s="51">
        <f t="shared" si="166"/>
        <v>-0.22580645161290322</v>
      </c>
      <c r="DT10" s="51">
        <f t="shared" ref="DT10:DW10" si="167">+DT9/DT8</f>
        <v>-0.24731182795698925</v>
      </c>
      <c r="DU10" s="51">
        <f t="shared" si="167"/>
        <v>-0.24731182795698925</v>
      </c>
      <c r="DV10" s="51">
        <f t="shared" si="167"/>
        <v>-0.24731182795698925</v>
      </c>
      <c r="DW10" s="51">
        <f t="shared" si="167"/>
        <v>-0.24731182795698925</v>
      </c>
      <c r="DX10" s="51">
        <f t="shared" ref="DX10:EA10" si="168">+DX9/DX8</f>
        <v>-0.24731182795698925</v>
      </c>
      <c r="DY10" s="51">
        <f t="shared" si="168"/>
        <v>-0.24731182795698925</v>
      </c>
      <c r="DZ10" s="51">
        <f t="shared" si="168"/>
        <v>-0.24731182795698925</v>
      </c>
      <c r="EA10" s="51">
        <f t="shared" si="168"/>
        <v>-0.19540229885057472</v>
      </c>
      <c r="EB10" s="51">
        <f t="shared" ref="EB10:EF10" si="169">+EB9/EB8</f>
        <v>-0.19540229885057472</v>
      </c>
      <c r="EC10" s="51">
        <f t="shared" si="169"/>
        <v>-0.19540229885057472</v>
      </c>
      <c r="ED10" s="51">
        <f t="shared" si="169"/>
        <v>-0.19540229885057472</v>
      </c>
      <c r="EE10" s="51">
        <f t="shared" si="169"/>
        <v>-0.19540229885057472</v>
      </c>
      <c r="EF10" s="51">
        <f t="shared" si="169"/>
        <v>-0.19540229885057472</v>
      </c>
      <c r="EG10" s="51">
        <f t="shared" ref="EG10:EJ10" si="170">+EG9/EG8</f>
        <v>-0.20689655172413793</v>
      </c>
      <c r="EH10" s="51">
        <f t="shared" si="170"/>
        <v>-0.16867469879518071</v>
      </c>
      <c r="EI10" s="51">
        <f t="shared" si="170"/>
        <v>-0.16867469879518071</v>
      </c>
      <c r="EJ10" s="51">
        <f t="shared" si="170"/>
        <v>-0.16867469879518071</v>
      </c>
      <c r="EK10" s="51">
        <f t="shared" ref="EK10:EN10" si="171">+EK9/EK8</f>
        <v>-0.19879518072289157</v>
      </c>
      <c r="EL10" s="51">
        <f t="shared" si="171"/>
        <v>-0.19879518072289157</v>
      </c>
      <c r="EM10" s="51">
        <f t="shared" si="171"/>
        <v>-0.19879518072289157</v>
      </c>
      <c r="EN10" s="51">
        <f t="shared" si="171"/>
        <v>-0.19879518072289157</v>
      </c>
      <c r="EO10" s="51">
        <f t="shared" ref="EO10:ES10" si="172">+EO9/EO8</f>
        <v>-0.19879518072289157</v>
      </c>
      <c r="EP10" s="51">
        <f t="shared" si="172"/>
        <v>-0.19879518072289157</v>
      </c>
      <c r="EQ10" s="51">
        <f t="shared" si="172"/>
        <v>-0.19879518072289157</v>
      </c>
      <c r="ER10" s="51">
        <f t="shared" si="172"/>
        <v>-0.19879518072289157</v>
      </c>
      <c r="ES10" s="51">
        <f t="shared" si="172"/>
        <v>-0.19879518072289157</v>
      </c>
      <c r="ET10" s="51">
        <f t="shared" ref="ET10:EW10" si="173">+ET9/ET8</f>
        <v>-0.19879518072289157</v>
      </c>
      <c r="EU10" s="51">
        <f t="shared" si="173"/>
        <v>-0.19879518072289157</v>
      </c>
      <c r="EV10" s="51">
        <f t="shared" si="173"/>
        <v>-0.19879518072289157</v>
      </c>
      <c r="EW10" s="51">
        <f t="shared" si="173"/>
        <v>-0.19879518072289157</v>
      </c>
      <c r="EX10" s="51">
        <f t="shared" ref="EX10:EY10" si="174">+EX9/EX8</f>
        <v>-0.31794871794871793</v>
      </c>
      <c r="EY10" s="51">
        <f t="shared" si="174"/>
        <v>-0.46800000000000003</v>
      </c>
      <c r="EZ10" s="51">
        <f t="shared" ref="EZ10:FA10" si="175">+EZ9/EZ8</f>
        <v>-0.48928571428571427</v>
      </c>
      <c r="FA10" s="51">
        <f t="shared" si="175"/>
        <v>-0.50689655172413794</v>
      </c>
      <c r="FB10" s="51">
        <f t="shared" ref="FB10:FF10" si="176">+FB9/FB8</f>
        <v>-0.2</v>
      </c>
      <c r="FC10" s="51">
        <f t="shared" si="176"/>
        <v>-0.2</v>
      </c>
      <c r="FD10" s="51">
        <f t="shared" si="176"/>
        <v>-0.2</v>
      </c>
      <c r="FE10" s="51">
        <f t="shared" si="176"/>
        <v>-0.2</v>
      </c>
      <c r="FF10" s="51">
        <f t="shared" si="176"/>
        <v>-0.2</v>
      </c>
      <c r="FG10" s="51">
        <f t="shared" ref="FG10:FJ10" si="177">+FG9/FG8</f>
        <v>-0.2</v>
      </c>
      <c r="FH10" s="51">
        <f t="shared" si="177"/>
        <v>-0.17142857142857143</v>
      </c>
      <c r="FI10" s="51">
        <f t="shared" si="177"/>
        <v>-0.15942028985507245</v>
      </c>
      <c r="FJ10" s="51">
        <f t="shared" si="177"/>
        <v>-0.12781954887218044</v>
      </c>
      <c r="FK10" s="51">
        <f t="shared" ref="FK10:FN10" si="178">+FK9/FK8</f>
        <v>-0.18076923076923077</v>
      </c>
      <c r="FL10" s="51">
        <f t="shared" si="178"/>
        <v>-0.14799999999999999</v>
      </c>
      <c r="FM10" s="51">
        <f t="shared" si="178"/>
        <v>-0.12704918032786885</v>
      </c>
      <c r="FN10" s="51">
        <f t="shared" si="178"/>
        <v>-0.12704918032786885</v>
      </c>
      <c r="FO10" s="51">
        <f t="shared" ref="FO10:FS10" si="179">+FO9/FO8</f>
        <v>-0.18181818181818182</v>
      </c>
      <c r="FP10" s="51">
        <f t="shared" si="179"/>
        <v>-0.10891089108910891</v>
      </c>
      <c r="FQ10" s="51" t="e">
        <f t="shared" si="179"/>
        <v>#DIV/0!</v>
      </c>
      <c r="FR10" s="51" t="e">
        <f t="shared" si="179"/>
        <v>#DIV/0!</v>
      </c>
      <c r="FS10" s="51" t="e">
        <f t="shared" si="179"/>
        <v>#DIV/0!</v>
      </c>
    </row>
    <row r="11" spans="1:175" ht="15.5">
      <c r="B11" s="162"/>
      <c r="D11" s="163" t="s">
        <v>87</v>
      </c>
      <c r="E11" s="1">
        <v>607</v>
      </c>
      <c r="F11" s="1">
        <v>607</v>
      </c>
      <c r="G11" s="1">
        <v>603</v>
      </c>
      <c r="H11" s="1">
        <v>603</v>
      </c>
      <c r="I11" s="1">
        <v>595</v>
      </c>
      <c r="J11" s="1">
        <v>595</v>
      </c>
      <c r="K11" s="1">
        <v>595</v>
      </c>
      <c r="L11" s="1">
        <v>656</v>
      </c>
      <c r="M11" s="1">
        <v>661</v>
      </c>
      <c r="N11" s="1">
        <v>664</v>
      </c>
      <c r="O11" s="173">
        <v>665.95976317843451</v>
      </c>
      <c r="P11" s="173">
        <v>662.45159124912914</v>
      </c>
      <c r="Q11" s="173">
        <v>666.2008844592176</v>
      </c>
      <c r="R11" s="173">
        <v>673.72306796354871</v>
      </c>
      <c r="S11" s="173">
        <v>686.58247571857055</v>
      </c>
      <c r="T11" s="173">
        <v>717.72825827070665</v>
      </c>
      <c r="U11" s="173">
        <v>706.65663489602741</v>
      </c>
      <c r="V11" s="173">
        <v>684.45465379202574</v>
      </c>
      <c r="W11" s="173">
        <v>669.97726780885682</v>
      </c>
      <c r="X11" s="173">
        <v>676.40258353637296</v>
      </c>
      <c r="Y11" s="173">
        <v>675.58305269623997</v>
      </c>
      <c r="Z11" s="173">
        <v>690.17868644421151</v>
      </c>
      <c r="AA11" s="173">
        <v>524.58051926145572</v>
      </c>
      <c r="AB11" s="173">
        <v>523.8036567901039</v>
      </c>
      <c r="AC11" s="173">
        <v>541.07580104033718</v>
      </c>
      <c r="AD11" s="173">
        <v>570.49450264840164</v>
      </c>
      <c r="AE11" s="173">
        <v>600.85846313754803</v>
      </c>
      <c r="AF11" s="173">
        <v>615.4949916983893</v>
      </c>
      <c r="AG11" s="173">
        <v>640.71231347737239</v>
      </c>
      <c r="AH11" s="173">
        <v>591.4569546087946</v>
      </c>
      <c r="AI11" s="173">
        <v>629.03518561984299</v>
      </c>
      <c r="AJ11" s="173">
        <v>633.63769895528083</v>
      </c>
      <c r="AL11" s="163" t="s">
        <v>87</v>
      </c>
      <c r="AM11" s="1">
        <v>607</v>
      </c>
      <c r="AN11" s="1">
        <v>607</v>
      </c>
      <c r="AO11" s="1">
        <v>607</v>
      </c>
      <c r="AP11" s="1">
        <v>607</v>
      </c>
      <c r="AQ11" s="1">
        <v>607</v>
      </c>
      <c r="AR11" s="1">
        <v>607</v>
      </c>
      <c r="AS11" s="1">
        <v>607</v>
      </c>
      <c r="AT11" s="1">
        <v>607</v>
      </c>
      <c r="AU11" s="1">
        <v>607</v>
      </c>
      <c r="AV11" s="1">
        <v>603</v>
      </c>
      <c r="AW11" s="1">
        <v>603</v>
      </c>
      <c r="AX11" s="1">
        <v>603</v>
      </c>
      <c r="AY11" s="1">
        <v>603</v>
      </c>
      <c r="AZ11" s="1">
        <v>603</v>
      </c>
      <c r="BA11" s="1">
        <v>603</v>
      </c>
      <c r="BB11" s="1">
        <v>603</v>
      </c>
      <c r="BC11" s="3">
        <v>594.54980445043839</v>
      </c>
      <c r="BD11" s="3">
        <v>594.54980445043839</v>
      </c>
      <c r="BE11" s="3">
        <v>594.54980445043839</v>
      </c>
      <c r="BF11" s="3">
        <v>594.54980445043839</v>
      </c>
      <c r="BG11" s="3">
        <v>595</v>
      </c>
      <c r="BH11" s="3">
        <v>595</v>
      </c>
      <c r="BI11" s="3">
        <v>595</v>
      </c>
      <c r="BJ11" s="3">
        <v>595</v>
      </c>
      <c r="BK11" s="3">
        <v>595</v>
      </c>
      <c r="BL11" s="3">
        <v>595</v>
      </c>
      <c r="BM11" s="3">
        <v>595</v>
      </c>
      <c r="BN11" s="3">
        <v>595</v>
      </c>
      <c r="BO11" s="3">
        <v>595</v>
      </c>
      <c r="BP11" s="3">
        <v>656</v>
      </c>
      <c r="BQ11" s="3">
        <v>656</v>
      </c>
      <c r="BR11" s="3">
        <v>656</v>
      </c>
      <c r="BS11" s="3">
        <v>656</v>
      </c>
      <c r="BT11" s="3">
        <v>661</v>
      </c>
      <c r="BU11" s="3">
        <v>661</v>
      </c>
      <c r="BV11" s="3">
        <v>661</v>
      </c>
      <c r="BW11" s="3">
        <v>661</v>
      </c>
      <c r="BX11" s="3">
        <v>661</v>
      </c>
      <c r="BY11" s="3">
        <v>664</v>
      </c>
      <c r="BZ11" s="3">
        <v>664</v>
      </c>
      <c r="CA11" s="3">
        <v>664</v>
      </c>
      <c r="CB11" s="3">
        <v>664</v>
      </c>
      <c r="CC11" s="3">
        <v>665.95976317843451</v>
      </c>
      <c r="CD11" s="3">
        <v>665.95976317843451</v>
      </c>
      <c r="CE11" s="3">
        <v>665.95976317843451</v>
      </c>
      <c r="CF11" s="3">
        <v>665.95976317843451</v>
      </c>
      <c r="CG11" s="173">
        <v>662.45159124912914</v>
      </c>
      <c r="CH11" s="173">
        <v>662.45159124912914</v>
      </c>
      <c r="CI11" s="173">
        <v>662.45159124912914</v>
      </c>
      <c r="CJ11" s="173">
        <v>662.45159124912914</v>
      </c>
      <c r="CK11" s="173">
        <v>662.45159124912914</v>
      </c>
      <c r="CL11" s="173">
        <v>666.2008844592176</v>
      </c>
      <c r="CM11" s="173">
        <v>666.2008844592176</v>
      </c>
      <c r="CN11" s="173">
        <v>666.2008844592176</v>
      </c>
      <c r="CO11" s="173">
        <v>666.2008844592176</v>
      </c>
      <c r="CP11" s="173">
        <v>673.72306796354871</v>
      </c>
      <c r="CQ11" s="173">
        <v>673.72306796354871</v>
      </c>
      <c r="CR11" s="173">
        <v>673.72306796354871</v>
      </c>
      <c r="CS11" s="173">
        <v>673.72306796354871</v>
      </c>
      <c r="CT11" s="173">
        <v>686.58247571857055</v>
      </c>
      <c r="CU11" s="173">
        <v>686.58247571857055</v>
      </c>
      <c r="CV11" s="173">
        <v>686.58247571857055</v>
      </c>
      <c r="CW11" s="173">
        <v>686.58247571857055</v>
      </c>
      <c r="CX11" s="173">
        <v>717.72825827070665</v>
      </c>
      <c r="CY11" s="173">
        <v>717.72825827070665</v>
      </c>
      <c r="CZ11" s="173">
        <v>717.72825827070665</v>
      </c>
      <c r="DA11" s="173">
        <v>717.72825827070665</v>
      </c>
      <c r="DB11" s="173">
        <v>706.65663489602741</v>
      </c>
      <c r="DC11" s="173">
        <v>706.65663489602741</v>
      </c>
      <c r="DD11" s="173">
        <v>706.65663489602741</v>
      </c>
      <c r="DE11" s="173">
        <v>706.65663489602741</v>
      </c>
      <c r="DF11" s="173">
        <v>684.45465379202574</v>
      </c>
      <c r="DG11" s="173">
        <v>684.45465379202574</v>
      </c>
      <c r="DH11" s="173">
        <v>684.45465379202574</v>
      </c>
      <c r="DI11" s="173">
        <v>684.45465379202574</v>
      </c>
      <c r="DJ11" s="173">
        <v>684.45465379202574</v>
      </c>
      <c r="DK11" s="173">
        <v>669.97726780885682</v>
      </c>
      <c r="DL11" s="173">
        <v>669.97726780885682</v>
      </c>
      <c r="DM11" s="173">
        <v>669.97726780885682</v>
      </c>
      <c r="DN11" s="173">
        <v>669.97726780885682</v>
      </c>
      <c r="DO11" s="173">
        <v>676.40258353637296</v>
      </c>
      <c r="DP11" s="173">
        <v>676.40258353637296</v>
      </c>
      <c r="DQ11" s="173">
        <v>676.40258353637296</v>
      </c>
      <c r="DR11" s="173">
        <v>676.40258353637296</v>
      </c>
      <c r="DS11" s="173">
        <v>676.40258353637296</v>
      </c>
      <c r="DT11" s="173">
        <v>675.58305269623997</v>
      </c>
      <c r="DU11" s="173">
        <v>675.58305269623997</v>
      </c>
      <c r="DV11" s="173">
        <v>675.58305269623997</v>
      </c>
      <c r="DW11" s="173">
        <v>675.58305269623997</v>
      </c>
      <c r="DX11" s="173">
        <v>690.17868644421151</v>
      </c>
      <c r="DY11" s="173">
        <v>690.17868644421151</v>
      </c>
      <c r="DZ11" s="173">
        <v>690.17868644421151</v>
      </c>
      <c r="EA11" s="173">
        <v>690.17868644421151</v>
      </c>
      <c r="EB11" s="173">
        <v>524.58051926145572</v>
      </c>
      <c r="EC11" s="173">
        <v>524.58051926145572</v>
      </c>
      <c r="ED11" s="173">
        <v>524.58051926145572</v>
      </c>
      <c r="EE11" s="173">
        <v>524.58051926145572</v>
      </c>
      <c r="EF11" s="173">
        <v>524.58051926145572</v>
      </c>
      <c r="EG11" s="173">
        <v>523.8036567901039</v>
      </c>
      <c r="EH11" s="173">
        <v>523.8036567901039</v>
      </c>
      <c r="EI11" s="173">
        <v>523.8036567901039</v>
      </c>
      <c r="EJ11" s="173">
        <v>523.8036567901039</v>
      </c>
      <c r="EK11" s="173">
        <v>541.07580104033718</v>
      </c>
      <c r="EL11" s="173">
        <v>541.07580104033718</v>
      </c>
      <c r="EM11" s="173">
        <v>541.07580104033718</v>
      </c>
      <c r="EN11" s="173">
        <v>541.07580104033718</v>
      </c>
      <c r="EO11" s="173">
        <v>570.49450264840164</v>
      </c>
      <c r="EP11" s="173">
        <v>570.49450264840164</v>
      </c>
      <c r="EQ11" s="173">
        <v>570.49450264840164</v>
      </c>
      <c r="ER11" s="173">
        <v>570.49450264840164</v>
      </c>
      <c r="ES11" s="173">
        <v>570.49450264840164</v>
      </c>
      <c r="ET11" s="173">
        <v>600.85846313754803</v>
      </c>
      <c r="EU11" s="173">
        <v>600.85846313754803</v>
      </c>
      <c r="EV11" s="173">
        <v>600.85846313754803</v>
      </c>
      <c r="EW11" s="173">
        <v>600.85846313754803</v>
      </c>
      <c r="EX11" s="173">
        <v>615.4949916983893</v>
      </c>
      <c r="EY11" s="173">
        <v>615.4949916983893</v>
      </c>
      <c r="EZ11" s="173">
        <v>615.4949916983893</v>
      </c>
      <c r="FA11" s="173">
        <v>615.4949916983893</v>
      </c>
      <c r="FB11" s="173">
        <v>640.71231347737239</v>
      </c>
      <c r="FC11" s="173">
        <v>640.71231347737239</v>
      </c>
      <c r="FD11" s="173">
        <v>640.71231347737239</v>
      </c>
      <c r="FE11" s="173">
        <v>640.71231347737239</v>
      </c>
      <c r="FF11" s="173">
        <v>640.71231347737239</v>
      </c>
      <c r="FG11" s="173">
        <v>591.4569546087946</v>
      </c>
      <c r="FH11" s="173">
        <v>591.4569546087946</v>
      </c>
      <c r="FI11" s="173">
        <v>591.4569546087946</v>
      </c>
      <c r="FJ11" s="173">
        <v>591.4569546087946</v>
      </c>
      <c r="FK11" s="173">
        <v>629.03518561984299</v>
      </c>
      <c r="FL11" s="173">
        <v>629.03518561984299</v>
      </c>
      <c r="FM11" s="173">
        <v>629.03518561984299</v>
      </c>
      <c r="FN11" s="173">
        <v>629.03518561984299</v>
      </c>
      <c r="FO11" s="173">
        <v>633.63769895528083</v>
      </c>
      <c r="FP11" s="173">
        <v>633.63769895528083</v>
      </c>
      <c r="FQ11" s="173">
        <v>633.63769895528083</v>
      </c>
      <c r="FR11" s="173">
        <v>633.63769895528083</v>
      </c>
      <c r="FS11" s="173">
        <v>633.63769895528083</v>
      </c>
    </row>
    <row r="23" spans="2:4">
      <c r="B23" s="32"/>
      <c r="C23" s="32"/>
      <c r="D23" s="32"/>
    </row>
    <row r="24" spans="2:4">
      <c r="B24" s="32"/>
      <c r="C24" s="32"/>
      <c r="D24" s="32"/>
    </row>
    <row r="25" spans="2:4">
      <c r="B25" s="32"/>
      <c r="C25" s="32"/>
      <c r="D25" s="32"/>
    </row>
    <row r="26" spans="2:4">
      <c r="B26" s="32"/>
      <c r="C26" s="32"/>
      <c r="D26" s="32"/>
    </row>
    <row r="27" spans="2:4">
      <c r="B27" s="31"/>
      <c r="C27" s="32"/>
      <c r="D27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AC1225-46F0-49FF-9BA6-7DCE45CEBD9D}">
  <ds:schemaRefs>
    <ds:schemaRef ds:uri="http://purl.org/dc/dcmitype/"/>
    <ds:schemaRef ds:uri="http://www.w3.org/XML/1998/namespace"/>
    <ds:schemaRef ds:uri="863d5f0e-535b-4062-8420-5718c99a0d13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33b3170c-b016-4803-b803-d23387b71821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6</vt:i4>
      </vt:variant>
    </vt:vector>
  </HeadingPairs>
  <TitlesOfParts>
    <vt:vector size="27" baseType="lpstr">
      <vt:lpstr>PET-tháng</vt:lpstr>
      <vt:lpstr>PET_tuan</vt:lpstr>
      <vt:lpstr>Ma trận PET</vt:lpstr>
      <vt:lpstr>PET Fiber_tháng</vt:lpstr>
      <vt:lpstr>PET Fiber_tuan </vt:lpstr>
      <vt:lpstr>Ma trận PET- Fiber</vt:lpstr>
      <vt:lpstr>HD thổi-tháng</vt:lpstr>
      <vt:lpstr>HD thổi_tuần</vt:lpstr>
      <vt:lpstr>Ma trận HDPE thổi</vt:lpstr>
      <vt:lpstr>HD Ép-tháng</vt:lpstr>
      <vt:lpstr>HD Ép_tuần</vt:lpstr>
      <vt:lpstr>Ma trận HDPE Ép</vt:lpstr>
      <vt:lpstr>PP-tháng</vt:lpstr>
      <vt:lpstr>PP_tuần</vt:lpstr>
      <vt:lpstr>Ma trận giá bán rPP</vt:lpstr>
      <vt:lpstr>Vảy PP_tháng</vt:lpstr>
      <vt:lpstr>Vảy PP_tuần</vt:lpstr>
      <vt:lpstr>Ma trận giá bán vảy PP</vt:lpstr>
      <vt:lpstr>Vảy HD ÉP_tháng</vt:lpstr>
      <vt:lpstr>Vảy HD ÉP_tuần</vt:lpstr>
      <vt:lpstr>Ma trận giá bán vảy HDPE ÉP</vt:lpstr>
      <vt:lpstr>'HD thổi_tuần'!Print_Area</vt:lpstr>
      <vt:lpstr>'HD thổi-tháng'!Print_Area</vt:lpstr>
      <vt:lpstr>'PET Fiber_tuan '!Print_Area</vt:lpstr>
      <vt:lpstr>'PET Fiber_tháng'!Print_Area</vt:lpstr>
      <vt:lpstr>PET_tuan!Print_Area</vt:lpstr>
      <vt:lpstr>'PET-tháng'!Print_Area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Diễm, Nguyễn Thị Thanh</cp:lastModifiedBy>
  <cp:revision/>
  <cp:lastPrinted>2026-05-05T06:00:22Z</cp:lastPrinted>
  <dcterms:created xsi:type="dcterms:W3CDTF">2015-06-05T18:17:20Z</dcterms:created>
  <dcterms:modified xsi:type="dcterms:W3CDTF">2026-07-09T02:12:40Z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